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4113DF6D-84B1-4E8F-8A3A-5147F64020AB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Прил.3!$A$1:$H$129</definedName>
    <definedName name="_xlnm.Print_Area" localSheetId="6">'Прил.4 РМ'!$A$1:$E$48</definedName>
    <definedName name="_xlnm.Print_Area" localSheetId="7">'Прил.5 Расчет СМР и ОБ'!$A$1:$J$138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25" i="9"/>
  <c r="E25" i="9"/>
  <c r="G25" i="9" s="1"/>
  <c r="D25" i="9"/>
  <c r="C25" i="9"/>
  <c r="B25" i="9"/>
  <c r="F24" i="9"/>
  <c r="E24" i="9"/>
  <c r="G24" i="9" s="1"/>
  <c r="D24" i="9"/>
  <c r="C24" i="9"/>
  <c r="B24" i="9"/>
  <c r="F23" i="9"/>
  <c r="E23" i="9"/>
  <c r="G23" i="9" s="1"/>
  <c r="D23" i="9"/>
  <c r="C23" i="9"/>
  <c r="B23" i="9"/>
  <c r="F22" i="9"/>
  <c r="E22" i="9"/>
  <c r="G22" i="9" s="1"/>
  <c r="D22" i="9"/>
  <c r="C22" i="9"/>
  <c r="B22" i="9"/>
  <c r="F21" i="9"/>
  <c r="E21" i="9"/>
  <c r="G21" i="9" s="1"/>
  <c r="D21" i="9"/>
  <c r="C21" i="9"/>
  <c r="B21" i="9"/>
  <c r="F20" i="9"/>
  <c r="E20" i="9"/>
  <c r="G20" i="9" s="1"/>
  <c r="D20" i="9"/>
  <c r="C20" i="9"/>
  <c r="B20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G13" i="9" s="1"/>
  <c r="E13" i="9"/>
  <c r="D13" i="9"/>
  <c r="C13" i="9"/>
  <c r="B13" i="9"/>
  <c r="F12" i="9"/>
  <c r="G12" i="9" s="1"/>
  <c r="E12" i="9"/>
  <c r="D12" i="9"/>
  <c r="C12" i="9"/>
  <c r="B12" i="9"/>
  <c r="G123" i="8"/>
  <c r="J122" i="8"/>
  <c r="I122" i="8"/>
  <c r="G122" i="8"/>
  <c r="J121" i="8"/>
  <c r="I121" i="8"/>
  <c r="G121" i="8"/>
  <c r="J120" i="8"/>
  <c r="I120" i="8"/>
  <c r="G120" i="8"/>
  <c r="J119" i="8"/>
  <c r="I119" i="8"/>
  <c r="G119" i="8"/>
  <c r="J118" i="8"/>
  <c r="I118" i="8"/>
  <c r="G118" i="8"/>
  <c r="J117" i="8"/>
  <c r="I117" i="8"/>
  <c r="G117" i="8"/>
  <c r="J116" i="8"/>
  <c r="I116" i="8"/>
  <c r="G116" i="8"/>
  <c r="J115" i="8"/>
  <c r="I115" i="8"/>
  <c r="G115" i="8"/>
  <c r="J114" i="8"/>
  <c r="I114" i="8"/>
  <c r="G114" i="8"/>
  <c r="J113" i="8"/>
  <c r="I113" i="8"/>
  <c r="G113" i="8"/>
  <c r="J112" i="8"/>
  <c r="I112" i="8"/>
  <c r="G112" i="8"/>
  <c r="J111" i="8"/>
  <c r="I111" i="8"/>
  <c r="G111" i="8"/>
  <c r="J110" i="8"/>
  <c r="I110" i="8"/>
  <c r="G110" i="8"/>
  <c r="J109" i="8"/>
  <c r="I109" i="8"/>
  <c r="G109" i="8"/>
  <c r="J108" i="8"/>
  <c r="I108" i="8"/>
  <c r="G108" i="8"/>
  <c r="J107" i="8"/>
  <c r="I107" i="8"/>
  <c r="G107" i="8"/>
  <c r="J106" i="8"/>
  <c r="I106" i="8"/>
  <c r="G106" i="8"/>
  <c r="J105" i="8"/>
  <c r="I105" i="8"/>
  <c r="G105" i="8"/>
  <c r="J104" i="8"/>
  <c r="I104" i="8"/>
  <c r="G104" i="8"/>
  <c r="J103" i="8"/>
  <c r="I103" i="8"/>
  <c r="G103" i="8"/>
  <c r="J102" i="8"/>
  <c r="I102" i="8"/>
  <c r="G102" i="8"/>
  <c r="J101" i="8"/>
  <c r="I101" i="8"/>
  <c r="G101" i="8"/>
  <c r="J100" i="8"/>
  <c r="I100" i="8"/>
  <c r="G100" i="8"/>
  <c r="J99" i="8"/>
  <c r="I99" i="8"/>
  <c r="G99" i="8"/>
  <c r="J98" i="8"/>
  <c r="I98" i="8"/>
  <c r="G98" i="8"/>
  <c r="J97" i="8"/>
  <c r="I97" i="8"/>
  <c r="G97" i="8"/>
  <c r="J96" i="8"/>
  <c r="I96" i="8"/>
  <c r="G96" i="8"/>
  <c r="J95" i="8"/>
  <c r="I95" i="8"/>
  <c r="G95" i="8"/>
  <c r="J94" i="8"/>
  <c r="I94" i="8"/>
  <c r="G94" i="8"/>
  <c r="J93" i="8"/>
  <c r="I93" i="8"/>
  <c r="G93" i="8"/>
  <c r="J92" i="8"/>
  <c r="I92" i="8"/>
  <c r="G92" i="8"/>
  <c r="J91" i="8"/>
  <c r="I91" i="8"/>
  <c r="G91" i="8"/>
  <c r="J90" i="8"/>
  <c r="I90" i="8"/>
  <c r="G90" i="8"/>
  <c r="J89" i="8"/>
  <c r="I89" i="8"/>
  <c r="G89" i="8"/>
  <c r="J88" i="8"/>
  <c r="I88" i="8"/>
  <c r="G88" i="8"/>
  <c r="J87" i="8"/>
  <c r="I87" i="8"/>
  <c r="G87" i="8"/>
  <c r="J86" i="8"/>
  <c r="I86" i="8"/>
  <c r="G86" i="8"/>
  <c r="J85" i="8"/>
  <c r="I85" i="8"/>
  <c r="G85" i="8"/>
  <c r="J84" i="8"/>
  <c r="I84" i="8"/>
  <c r="G84" i="8"/>
  <c r="J83" i="8"/>
  <c r="I83" i="8"/>
  <c r="G83" i="8"/>
  <c r="J82" i="8"/>
  <c r="I82" i="8"/>
  <c r="G82" i="8"/>
  <c r="J81" i="8"/>
  <c r="I81" i="8"/>
  <c r="G81" i="8"/>
  <c r="J80" i="8"/>
  <c r="I80" i="8"/>
  <c r="G80" i="8"/>
  <c r="J79" i="8"/>
  <c r="I79" i="8"/>
  <c r="G79" i="8"/>
  <c r="J78" i="8"/>
  <c r="I78" i="8"/>
  <c r="G78" i="8"/>
  <c r="J77" i="8"/>
  <c r="I77" i="8"/>
  <c r="G77" i="8"/>
  <c r="J76" i="8"/>
  <c r="I76" i="8"/>
  <c r="G76" i="8"/>
  <c r="J75" i="8"/>
  <c r="I75" i="8"/>
  <c r="G75" i="8"/>
  <c r="J74" i="8"/>
  <c r="I74" i="8"/>
  <c r="G74" i="8"/>
  <c r="G73" i="8"/>
  <c r="J72" i="8"/>
  <c r="I72" i="8"/>
  <c r="G72" i="8"/>
  <c r="J71" i="8"/>
  <c r="I71" i="8"/>
  <c r="G71" i="8"/>
  <c r="J70" i="8"/>
  <c r="I70" i="8"/>
  <c r="G70" i="8"/>
  <c r="J69" i="8"/>
  <c r="I69" i="8"/>
  <c r="G69" i="8"/>
  <c r="J68" i="8"/>
  <c r="I68" i="8"/>
  <c r="G68" i="8"/>
  <c r="J67" i="8"/>
  <c r="I67" i="8"/>
  <c r="G67" i="8"/>
  <c r="J66" i="8"/>
  <c r="I66" i="8"/>
  <c r="G66" i="8"/>
  <c r="J65" i="8"/>
  <c r="I65" i="8"/>
  <c r="G65" i="8"/>
  <c r="J64" i="8"/>
  <c r="I64" i="8"/>
  <c r="G64" i="8"/>
  <c r="J63" i="8"/>
  <c r="I63" i="8"/>
  <c r="G63" i="8"/>
  <c r="J62" i="8"/>
  <c r="I62" i="8"/>
  <c r="G62" i="8"/>
  <c r="J61" i="8"/>
  <c r="I61" i="8"/>
  <c r="G61" i="8"/>
  <c r="J60" i="8"/>
  <c r="I60" i="8"/>
  <c r="G60" i="8"/>
  <c r="J59" i="8"/>
  <c r="I59" i="8"/>
  <c r="G59" i="8"/>
  <c r="J58" i="8"/>
  <c r="J73" i="8" s="1"/>
  <c r="I58" i="8"/>
  <c r="G58" i="8"/>
  <c r="J57" i="8"/>
  <c r="I57" i="8"/>
  <c r="G57" i="8"/>
  <c r="J56" i="8"/>
  <c r="I56" i="8"/>
  <c r="G56" i="8"/>
  <c r="I50" i="8"/>
  <c r="J50" i="8" s="1"/>
  <c r="G50" i="8"/>
  <c r="J49" i="8"/>
  <c r="I49" i="8"/>
  <c r="G49" i="8"/>
  <c r="I48" i="8"/>
  <c r="J48" i="8" s="1"/>
  <c r="G48" i="8"/>
  <c r="J47" i="8"/>
  <c r="I47" i="8"/>
  <c r="G47" i="8"/>
  <c r="I46" i="8"/>
  <c r="J46" i="8" s="1"/>
  <c r="G46" i="8"/>
  <c r="J45" i="8"/>
  <c r="I45" i="8"/>
  <c r="G45" i="8"/>
  <c r="I44" i="8"/>
  <c r="J44" i="8" s="1"/>
  <c r="G44" i="8"/>
  <c r="J43" i="8"/>
  <c r="I43" i="8"/>
  <c r="G43" i="8"/>
  <c r="I42" i="8"/>
  <c r="J42" i="8" s="1"/>
  <c r="G42" i="8"/>
  <c r="J41" i="8"/>
  <c r="I41" i="8"/>
  <c r="G41" i="8"/>
  <c r="I40" i="8"/>
  <c r="J40" i="8" s="1"/>
  <c r="G40" i="8"/>
  <c r="J39" i="8"/>
  <c r="I39" i="8"/>
  <c r="G39" i="8"/>
  <c r="G51" i="8" s="1"/>
  <c r="J38" i="8"/>
  <c r="G38" i="8"/>
  <c r="J37" i="8"/>
  <c r="G37" i="8"/>
  <c r="F37" i="8"/>
  <c r="J36" i="8"/>
  <c r="G36" i="8"/>
  <c r="F36" i="8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J20" i="8"/>
  <c r="G20" i="8"/>
  <c r="J19" i="8"/>
  <c r="I19" i="8"/>
  <c r="G19" i="8"/>
  <c r="G16" i="8"/>
  <c r="F16" i="8"/>
  <c r="I16" i="8" s="1"/>
  <c r="J16" i="8" s="1"/>
  <c r="C15" i="7" s="1"/>
  <c r="J14" i="8"/>
  <c r="E14" i="8"/>
  <c r="J13" i="8"/>
  <c r="I13" i="8"/>
  <c r="G13" i="8"/>
  <c r="G14" i="8" s="1"/>
  <c r="C33" i="7"/>
  <c r="C11" i="7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32" i="8" l="1"/>
  <c r="C13" i="7" s="1"/>
  <c r="G32" i="8"/>
  <c r="J51" i="8"/>
  <c r="J52" i="8" s="1"/>
  <c r="G124" i="8"/>
  <c r="H123" i="8" s="1"/>
  <c r="J123" i="8"/>
  <c r="C17" i="7" s="1"/>
  <c r="C18" i="7"/>
  <c r="G26" i="9"/>
  <c r="C16" i="7"/>
  <c r="J124" i="8"/>
  <c r="J33" i="8"/>
  <c r="J125" i="8" s="1"/>
  <c r="H122" i="8"/>
  <c r="H119" i="8"/>
  <c r="H110" i="8"/>
  <c r="H107" i="8"/>
  <c r="H104" i="8"/>
  <c r="H101" i="8"/>
  <c r="H95" i="8"/>
  <c r="H92" i="8"/>
  <c r="H89" i="8"/>
  <c r="H86" i="8"/>
  <c r="H83" i="8"/>
  <c r="H77" i="8"/>
  <c r="H74" i="8"/>
  <c r="H66" i="8"/>
  <c r="H63" i="8"/>
  <c r="H60" i="8"/>
  <c r="H72" i="8"/>
  <c r="H69" i="8"/>
  <c r="H120" i="8"/>
  <c r="H117" i="8"/>
  <c r="H114" i="8"/>
  <c r="H108" i="8"/>
  <c r="H105" i="8"/>
  <c r="H102" i="8"/>
  <c r="H99" i="8"/>
  <c r="H96" i="8"/>
  <c r="H90" i="8"/>
  <c r="H87" i="8"/>
  <c r="H84" i="8"/>
  <c r="H81" i="8"/>
  <c r="H78" i="8"/>
  <c r="H97" i="8"/>
  <c r="H82" i="8"/>
  <c r="H79" i="8"/>
  <c r="H124" i="8"/>
  <c r="H68" i="8"/>
  <c r="H56" i="8"/>
  <c r="H70" i="8"/>
  <c r="H67" i="8"/>
  <c r="H64" i="8"/>
  <c r="H61" i="8"/>
  <c r="H91" i="8"/>
  <c r="H85" i="8"/>
  <c r="H76" i="8"/>
  <c r="H71" i="8"/>
  <c r="H65" i="8"/>
  <c r="H121" i="8"/>
  <c r="H118" i="8"/>
  <c r="H115" i="8"/>
  <c r="H112" i="8"/>
  <c r="H109" i="8"/>
  <c r="H103" i="8"/>
  <c r="H100" i="8"/>
  <c r="H94" i="8"/>
  <c r="H88" i="8"/>
  <c r="J53" i="8"/>
  <c r="C26" i="7" s="1"/>
  <c r="C25" i="7"/>
  <c r="G52" i="8"/>
  <c r="H73" i="8"/>
  <c r="C12" i="7"/>
  <c r="C14" i="7" s="1"/>
  <c r="C22" i="7"/>
  <c r="C20" i="7"/>
  <c r="D127" i="8"/>
  <c r="J127" i="8" s="1"/>
  <c r="H13" i="8"/>
  <c r="D126" i="8"/>
  <c r="J126" i="8" s="1"/>
  <c r="G33" i="8" l="1"/>
  <c r="H32" i="8"/>
  <c r="H113" i="8"/>
  <c r="G128" i="8"/>
  <c r="G129" i="8" s="1"/>
  <c r="G130" i="8" s="1"/>
  <c r="H106" i="8"/>
  <c r="H59" i="8"/>
  <c r="H58" i="8"/>
  <c r="H62" i="8"/>
  <c r="H75" i="8"/>
  <c r="H93" i="8"/>
  <c r="H111" i="8"/>
  <c r="H57" i="8"/>
  <c r="H80" i="8"/>
  <c r="H98" i="8"/>
  <c r="H116" i="8"/>
  <c r="H51" i="8"/>
  <c r="H48" i="8"/>
  <c r="H45" i="8"/>
  <c r="H42" i="8"/>
  <c r="H39" i="8"/>
  <c r="H37" i="8"/>
  <c r="H50" i="8"/>
  <c r="H47" i="8"/>
  <c r="H41" i="8"/>
  <c r="H36" i="8"/>
  <c r="H49" i="8"/>
  <c r="H46" i="8"/>
  <c r="H43" i="8"/>
  <c r="H40" i="8"/>
  <c r="H44" i="8"/>
  <c r="H38" i="8"/>
  <c r="H52" i="8" s="1"/>
  <c r="G27" i="9"/>
  <c r="G53" i="8"/>
  <c r="C19" i="7"/>
  <c r="C24" i="7" s="1"/>
  <c r="J128" i="8"/>
  <c r="J129" i="8" s="1"/>
  <c r="J130" i="8" s="1"/>
  <c r="H19" i="8" l="1"/>
  <c r="H20" i="8"/>
  <c r="H25" i="8"/>
  <c r="H29" i="8"/>
  <c r="G125" i="8"/>
  <c r="H31" i="8"/>
  <c r="H22" i="8"/>
  <c r="H28" i="8"/>
  <c r="H21" i="8"/>
  <c r="H30" i="8"/>
  <c r="H24" i="8"/>
  <c r="H23" i="8"/>
  <c r="H27" i="8"/>
  <c r="H26" i="8"/>
  <c r="C29" i="7"/>
  <c r="C30" i="7" s="1"/>
  <c r="D18" i="7"/>
  <c r="D16" i="7"/>
  <c r="D14" i="7"/>
  <c r="D12" i="7"/>
  <c r="D13" i="7"/>
  <c r="C27" i="7"/>
  <c r="D24" i="7"/>
  <c r="D17" i="7"/>
  <c r="D11" i="7"/>
  <c r="D15" i="7"/>
  <c r="D22" i="7"/>
  <c r="D20" i="7"/>
  <c r="C32" i="7" l="1"/>
  <c r="C35" i="7"/>
  <c r="C34" i="7"/>
  <c r="C36" i="7" l="1"/>
  <c r="C37" i="7"/>
  <c r="C38" i="7" l="1"/>
  <c r="C39" i="7" l="1"/>
  <c r="E39" i="7" l="1"/>
  <c r="C40" i="7"/>
  <c r="E14" i="7" l="1"/>
  <c r="E40" i="7"/>
  <c r="E31" i="7"/>
  <c r="E13" i="7"/>
  <c r="E11" i="7"/>
  <c r="E33" i="7"/>
  <c r="C41" i="7"/>
  <c r="D11" i="10" s="1"/>
  <c r="E17" i="7"/>
  <c r="E26" i="7"/>
  <c r="E25" i="7"/>
  <c r="E18" i="7"/>
  <c r="E16" i="7"/>
  <c r="E12" i="7"/>
  <c r="E15" i="7"/>
  <c r="E20" i="7"/>
  <c r="E22" i="7"/>
  <c r="E24" i="7"/>
  <c r="E27" i="7"/>
  <c r="E30" i="7"/>
  <c r="E29" i="7"/>
  <c r="E36" i="7"/>
  <c r="E32" i="7"/>
  <c r="E34" i="7"/>
  <c r="E35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<sst xmlns="http://schemas.openxmlformats.org/spreadsheetml/2006/main" count="1077" uniqueCount="568">
  <si>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</si>
  <si>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</si>
  <si>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</si>
  <si>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</si>
  <si>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</si>
  <si>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</si>
  <si>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</si>
  <si>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</si>
  <si>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</si>
  <si>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</si>
  <si>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</si>
  <si>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</si>
  <si>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</si>
  <si>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</si>
  <si>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</si>
  <si>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</si>
  <si>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</si>
  <si>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</si>
  <si>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</si>
  <si>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</si>
  <si>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</si>
  <si>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</si>
  <si>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</si>
  <si>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</si>
  <si>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</si>
  <si>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</si>
  <si>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</si>
  <si>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</si>
  <si>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</si>
  <si>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</si>
  <si>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</si>
  <si>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</si>
  <si>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</si>
  <si>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</si>
  <si>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</si>
  <si>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</si>
  <si>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</si>
  <si>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</si>
  <si>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</si>
  <si>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</si>
  <si>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</si>
  <si>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</si>
  <si>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</si>
  <si>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</si>
  <si>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</si>
  <si>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</si>
  <si>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</si>
  <si>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</si>
  <si>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СКС ПС 220 кВ</t>
  </si>
  <si>
    <t>Сопоставимый уровень цен: 3 квартал 2021г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</si>
  <si>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</si>
  <si>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</si>
  <si>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</si>
  <si>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</si>
  <si>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</si>
  <si>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</si>
  <si>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</si>
  <si>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</si>
  <si>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</si>
  <si>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</si>
  <si>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</si>
  <si>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 комплект СКС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</si>
  <si>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</si>
  <si>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</si>
  <si>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</si>
  <si>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</si>
  <si>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</si>
  <si>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</si>
  <si>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</si>
  <si>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</si>
  <si>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</si>
  <si>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</si>
  <si>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</si>
  <si>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</si>
  <si>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</si>
  <si>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</si>
  <si>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</si>
  <si>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</si>
  <si>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</si>
  <si>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</si>
  <si>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</si>
  <si>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</si>
  <si>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</si>
  <si>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</si>
  <si>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</si>
  <si>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</si>
  <si>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</si>
  <si>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</si>
  <si>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</si>
  <si>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</si>
  <si>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</si>
  <si>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СКС ПС 220 кВ</t>
  </si>
  <si>
    <t>Всего по объекту:</t>
  </si>
  <si>
    <t>Всего по объекту в сопоставимом уровне цен __кв. 20__г: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</si>
  <si>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</si>
  <si>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</si>
  <si>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</si>
  <si>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</si>
  <si>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СКС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</si>
  <si>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</si>
  <si>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</si>
  <si>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</si>
  <si>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</si>
  <si>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</si>
  <si>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</si>
  <si>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</si>
  <si>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</si>
  <si>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</si>
  <si>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</si>
  <si>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</si>
  <si>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</si>
  <si>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</si>
  <si>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</si>
  <si>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</si>
  <si>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</si>
  <si>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</si>
  <si>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</si>
  <si>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</si>
  <si>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</si>
  <si>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</si>
  <si>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</si>
  <si>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</si>
  <si>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</si>
  <si>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</si>
  <si>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</si>
  <si>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</si>
  <si>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</si>
  <si>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</si>
  <si>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</si>
  <si>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</si>
  <si>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</si>
  <si>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</si>
  <si>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</si>
  <si>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</si>
  <si>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</si>
  <si>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</si>
  <si>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</si>
  <si>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</si>
  <si>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</si>
  <si>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</si>
  <si>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</si>
  <si>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</si>
  <si>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</si>
  <si>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</si>
  <si>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</si>
  <si>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</si>
  <si>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</si>
  <si>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</si>
  <si>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</si>
  <si>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</si>
  <si>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</si>
  <si>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</si>
  <si>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</si>
  <si>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</si>
  <si>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</si>
  <si>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</si>
  <si>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</si>
  <si>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</si>
  <si>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</si>
  <si>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</si>
  <si>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</si>
  <si>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</si>
  <si>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 xml:space="preserve">Оборудование структурированной кабельной сети в комплекте </t>
  </si>
  <si>
    <t>компл</t>
  </si>
  <si>
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</si>
  <si>
    <t>Блок-контакт состояния</t>
  </si>
  <si>
    <t>шт</t>
  </si>
  <si>
    <t>2.1.01.09-0042</t>
  </si>
  <si>
    <t>Выключатели автоматические: «IEK» ВА47-100 4Р 63А, характеристика</t>
  </si>
  <si>
    <t>PDA-DN 80 Рамка под два модуля</t>
  </si>
  <si>
    <t>20.4.03.03-0013</t>
  </si>
  <si>
    <t>Розетка телефонная для открытой проводки, РТ-4, белая</t>
  </si>
  <si>
    <t>100 шт</t>
  </si>
  <si>
    <t>20.1.02.15-0013</t>
  </si>
  <si>
    <t>Соединитель восьмиканальный модульный (интернет-розетка)</t>
  </si>
  <si>
    <t xml:space="preserve">Заглушка VIVA 1мод     </t>
  </si>
  <si>
    <t xml:space="preserve">Суппорт BRAVA 4мод. для башенок TOR и каб.-канала TBN  </t>
  </si>
  <si>
    <t>21.1.04.01-0005</t>
  </si>
  <si>
    <t>Кабель (витая пара) UTP 19C-U5-03GY-B305</t>
  </si>
  <si>
    <t>1000 м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</si>
  <si>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</si>
  <si>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</si>
  <si>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</si>
  <si>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</si>
  <si>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</si>
  <si>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</si>
  <si>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</si>
  <si>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</si>
  <si>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</si>
  <si>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</si>
  <si>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</si>
  <si>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</si>
  <si>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</si>
  <si>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</si>
  <si>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</si>
  <si>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</si>
  <si>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</si>
  <si>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</si>
  <si>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</si>
  <si>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</si>
  <si>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</si>
  <si>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</si>
  <si>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</si>
  <si>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</si>
  <si>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</si>
  <si>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</si>
  <si>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</si>
  <si>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</si>
  <si>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</si>
  <si>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</si>
  <si>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</si>
  <si>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</si>
  <si>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</si>
  <si>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</si>
  <si>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</si>
  <si>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</si>
  <si>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</si>
  <si>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</si>
  <si>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</si>
  <si>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</si>
  <si>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</si>
  <si>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</si>
  <si>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</si>
  <si>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</si>
  <si>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</si>
  <si>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</si>
  <si>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</si>
  <si>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</si>
  <si>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</si>
  <si>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</si>
  <si>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</si>
  <si>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</si>
  <si>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</si>
  <si>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</si>
  <si>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</si>
  <si>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</si>
  <si>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</si>
  <si>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</si>
  <si>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</si>
  <si>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</si>
  <si>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</si>
  <si>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</si>
  <si>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</si>
  <si>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</si>
  <si>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</si>
  <si>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</si>
  <si>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</si>
  <si>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</si>
  <si>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</si>
  <si>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</si>
  <si>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</si>
  <si>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</si>
  <si>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</si>
  <si>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</si>
  <si>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</si>
  <si>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</si>
  <si>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</si>
  <si>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</si>
  <si>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</si>
  <si>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</si>
  <si>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</si>
  <si>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</si>
  <si>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</si>
  <si>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</si>
  <si>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</si>
  <si>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</si>
  <si>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</si>
  <si>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</si>
  <si>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</si>
  <si>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</si>
  <si>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</si>
  <si>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</si>
  <si>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</si>
  <si>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</si>
  <si>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</si>
  <si>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</si>
  <si>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</si>
  <si>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</si>
  <si>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</si>
  <si>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</si>
  <si>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</si>
  <si>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</si>
  <si>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</si>
  <si>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</si>
  <si>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</si>
  <si>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</si>
  <si>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</si>
  <si>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</si>
  <si>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</si>
  <si>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</si>
  <si>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</si>
  <si>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</si>
  <si>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</si>
  <si>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</si>
  <si>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</si>
  <si>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</si>
  <si>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</si>
  <si>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</si>
  <si>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</si>
  <si>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</si>
  <si>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</si>
  <si>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</si>
  <si>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</si>
  <si>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</si>
  <si>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</si>
  <si>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</si>
  <si>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</si>
  <si>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</si>
  <si>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</si>
  <si>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</si>
  <si>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</si>
  <si>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</si>
  <si>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</si>
  <si>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</si>
  <si>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</si>
  <si>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</si>
  <si>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</si>
  <si>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</si>
  <si>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</si>
  <si>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</si>
  <si>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</si>
  <si>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</si>
  <si>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</si>
  <si>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</si>
  <si>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</si>
  <si>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СКС ПС 220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</si>
  <si>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</si>
  <si>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</si>
  <si>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</si>
  <si>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</si>
  <si>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</si>
  <si>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</si>
  <si>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</si>
  <si>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</si>
  <si>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</si>
  <si>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</si>
  <si>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</si>
  <si>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</si>
  <si>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</si>
  <si>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</si>
  <si>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</si>
  <si>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</si>
  <si>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</si>
  <si>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</si>
  <si>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</si>
  <si>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</si>
  <si>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</si>
  <si>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</si>
  <si>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</si>
  <si>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</si>
  <si>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</si>
  <si>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</si>
  <si>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</si>
  <si>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</si>
  <si>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</si>
  <si>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</si>
  <si>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</si>
  <si>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</si>
  <si>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</si>
  <si>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</si>
  <si>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</si>
  <si>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</si>
  <si>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</si>
  <si>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</si>
  <si>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</si>
  <si>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</si>
  <si>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</si>
  <si>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</si>
  <si>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СКС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</si>
  <si>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</si>
  <si>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</si>
  <si>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</si>
  <si>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</si>
  <si>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</si>
  <si>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</si>
  <si>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</si>
  <si>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</si>
  <si>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</si>
  <si>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</si>
  <si>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</si>
  <si>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</si>
  <si>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</si>
  <si>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</si>
  <si>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</si>
  <si>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</si>
  <si>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</si>
  <si>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</si>
  <si>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</si>
  <si>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</si>
  <si>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</si>
  <si>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</si>
  <si>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</si>
  <si>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</si>
  <si>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</si>
  <si>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</si>
  <si>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</si>
  <si>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</si>
  <si>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</si>
  <si>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</si>
  <si>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</si>
  <si>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</si>
  <si>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</si>
  <si>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</si>
  <si>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</si>
  <si>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</si>
  <si>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</si>
  <si>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</si>
  <si>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</si>
  <si>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</si>
  <si>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</si>
  <si>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</si>
  <si>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</si>
  <si>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</si>
  <si>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З1_ПС_СКС_220_кВ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</si>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</sst>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#,##0.0"/>
    <numFmt numFmtId="170" formatCode="#,##0.000"/>
    <numFmt numFmtId="171" formatCode="0.00000"/>
    <numFmt numFmtId="172" formatCode="0.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10" fontId="19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20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20" fillId="0" borderId="0" xfId="0" applyFont="1"/>
    <xf numFmtId="168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9" fontId="16" fillId="0" borderId="1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172" fontId="1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331107</xdr:colOff>
      <xdr:row>28</xdr:row>
      <xdr:rowOff>101602</xdr:rowOff>
    </xdr:from>
    <xdr:to>
      <xdr:col>2</xdr:col>
      <xdr:colOff>1275909</xdr:colOff>
      <xdr:row>31</xdr:row>
      <xdr:rowOff>17575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53FC504-58CA-4CE3-BBC9-A77E1ACE9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15191923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493033</xdr:colOff>
      <xdr:row>26</xdr:row>
      <xdr:rowOff>286658</xdr:rowOff>
    </xdr:from>
    <xdr:to>
      <xdr:col>2</xdr:col>
      <xdr:colOff>1331232</xdr:colOff>
      <xdr:row>28</xdr:row>
      <xdr:rowOff>61762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F0FEAFA-753E-4A2A-8D77-6E9E9389C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676" y="14696622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836839</xdr:colOff>
      <xdr:row>18</xdr:row>
      <xdr:rowOff>62139</xdr:rowOff>
    </xdr:from>
    <xdr:to>
      <xdr:col>2</xdr:col>
      <xdr:colOff>1781641</xdr:colOff>
      <xdr:row>21</xdr:row>
      <xdr:rowOff>14852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84628BD-E13F-4F27-839E-5B5D6CFA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553" y="4266746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998765</xdr:colOff>
      <xdr:row>15</xdr:row>
      <xdr:rowOff>138339</xdr:rowOff>
    </xdr:from>
    <xdr:to>
      <xdr:col>2</xdr:col>
      <xdr:colOff>1836964</xdr:colOff>
      <xdr:row>18</xdr:row>
      <xdr:rowOff>22299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0D40291-B424-4E5F-A8B8-27E2A311F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479" y="3771446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346363</xdr:colOff>
      <xdr:row>123</xdr:row>
      <xdr:rowOff>129886</xdr:rowOff>
    </xdr:from>
    <xdr:to>
      <xdr:col>2</xdr:col>
      <xdr:colOff>1291165</xdr:colOff>
      <xdr:row>126</xdr:row>
      <xdr:rowOff>54024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6405984-1433-44C8-B4BA-359D2271D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772" y="32151204"/>
          <a:ext cx="944802" cy="547593"/>
        </a:xfrm>
        <a:prstGeom prst="rect">
          <a:avLst/>
        </a:prstGeom>
      </xdr:spPr>
    </xdr:pic>
    <xdr:clientData/>
  </xdr:twoCellAnchor>
  <xdr:twoCellAnchor editAs="oneCell">
    <xdr:from>
      <xdr:col>2</xdr:col>
      <xdr:colOff>508289</xdr:colOff>
      <xdr:row>121</xdr:row>
      <xdr:rowOff>34636</xdr:rowOff>
    </xdr:from>
    <xdr:to>
      <xdr:col>2</xdr:col>
      <xdr:colOff>1346488</xdr:colOff>
      <xdr:row>123</xdr:row>
      <xdr:rowOff>90046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5970CAF-337B-4937-A313-F8FE44C92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5698" y="31640318"/>
          <a:ext cx="838199" cy="4710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</xdr:colOff>
      <xdr:row>43</xdr:row>
      <xdr:rowOff>95250</xdr:rowOff>
    </xdr:from>
    <xdr:to>
      <xdr:col>1</xdr:col>
      <xdr:colOff>1744902</xdr:colOff>
      <xdr:row>46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95A36E6-96B1-46B8-A756-5A44AF205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118776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942976</xdr:colOff>
      <xdr:row>40</xdr:row>
      <xdr:rowOff>123825</xdr:rowOff>
    </xdr:from>
    <xdr:to>
      <xdr:col>1</xdr:col>
      <xdr:colOff>1781175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7553890-F21C-4CAE-8E58-AFC92DCD8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113347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703933</xdr:colOff>
      <xdr:row>132</xdr:row>
      <xdr:rowOff>32802</xdr:rowOff>
    </xdr:from>
    <xdr:to>
      <xdr:col>2</xdr:col>
      <xdr:colOff>143785</xdr:colOff>
      <xdr:row>135</xdr:row>
      <xdr:rowOff>37470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7ABB1D7-0632-40B9-A288-29268629E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933" y="35448484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865859</xdr:colOff>
      <xdr:row>129</xdr:row>
      <xdr:rowOff>334139</xdr:rowOff>
    </xdr:from>
    <xdr:to>
      <xdr:col>2</xdr:col>
      <xdr:colOff>199108</xdr:colOff>
      <xdr:row>131</xdr:row>
      <xdr:rowOff>166144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F9765DD-87FA-477B-A255-99EA1FD53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859" y="34953184"/>
          <a:ext cx="839931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29</xdr:row>
      <xdr:rowOff>47625</xdr:rowOff>
    </xdr:from>
    <xdr:to>
      <xdr:col>2</xdr:col>
      <xdr:colOff>135177</xdr:colOff>
      <xdr:row>32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F8CECA4-4875-4D92-B5D9-3713DF200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91059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523876</xdr:colOff>
      <xdr:row>26</xdr:row>
      <xdr:rowOff>180975</xdr:rowOff>
    </xdr:from>
    <xdr:to>
      <xdr:col>2</xdr:col>
      <xdr:colOff>190500</xdr:colOff>
      <xdr:row>29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5FD4D93-CC39-4153-96C9-87EE1EA9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86106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A326B23-CFB4-40E9-B4DA-AB6E651F2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57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10</xdr:row>
      <xdr:rowOff>781050</xdr:rowOff>
    </xdr:from>
    <xdr:to>
      <xdr:col>1</xdr:col>
      <xdr:colOff>857250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1611C5A-50F7-4BED-A8B4-C3639680E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6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3175</xdr:rowOff>
    </xdr:from>
    <xdr:to>
      <xdr:col>1</xdr:col>
      <xdr:colOff>1754427</xdr:colOff>
      <xdr:row>28</xdr:row>
      <xdr:rowOff>146388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0BC3B49-0028-4C1C-80E0-7AD1FBD16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61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971551</xdr:colOff>
      <xdr:row>23</xdr:row>
      <xdr:rowOff>79375</xdr:rowOff>
    </xdr:from>
    <xdr:to>
      <xdr:col>1</xdr:col>
      <xdr:colOff>1809750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B70B137-A021-459D-95CC-918C8DE23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1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6" t="s">
        <v>0</v>
      </c>
      <c r="B2" s="206"/>
      <c r="C2" s="206"/>
    </row>
    <row r="3" spans="1:3" x14ac:dyDescent="0.25">
      <c r="A3" s="1"/>
      <c r="B3" s="1"/>
      <c r="C3" s="1"/>
    </row>
    <row r="4" spans="1:3" x14ac:dyDescent="0.25">
      <c r="A4" s="207" t="s">
        <v>1</v>
      </c>
      <c r="B4" s="207"/>
      <c r="C4" s="20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8" t="s">
        <v>3</v>
      </c>
      <c r="C6" s="208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2"/>
      <c r="B1" s="112"/>
      <c r="C1" s="112"/>
      <c r="D1" s="112" t="s">
        <v>406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4" t="s">
        <v>407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customHeight="1" x14ac:dyDescent="0.25">
      <c r="A5" s="258" t="s">
        <v>408</v>
      </c>
      <c r="B5" s="258"/>
      <c r="C5" s="258"/>
      <c r="D5" s="196" t="str">
        <f>'Прил.5 Расчет СМР и ОБ'!D6:J6</f>
        <v>Постоянная часть ПС, СКС ПС 220 кВ</v>
      </c>
    </row>
    <row r="6" spans="1:4" ht="15.75" customHeight="1" x14ac:dyDescent="0.25">
      <c r="A6" s="200" t="s">
        <v>50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19" t="s">
        <v>5</v>
      </c>
      <c r="B8" s="219" t="s">
        <v>6</v>
      </c>
      <c r="C8" s="219" t="s">
        <v>409</v>
      </c>
      <c r="D8" s="219" t="s">
        <v>410</v>
      </c>
    </row>
    <row r="9" spans="1:4" x14ac:dyDescent="0.25">
      <c r="A9" s="219"/>
      <c r="B9" s="219"/>
      <c r="C9" s="219"/>
      <c r="D9" s="219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customHeight="1" x14ac:dyDescent="0.25">
      <c r="A11" s="198" t="s">
        <v>411</v>
      </c>
      <c r="B11" s="198" t="s">
        <v>412</v>
      </c>
      <c r="C11" s="197" t="s">
        <v>413</v>
      </c>
      <c r="D11" s="139">
        <f>'Прил.4 РМ'!C41/1000</f>
        <v>1343.2411100000002</v>
      </c>
    </row>
    <row r="13" spans="1:4" x14ac:dyDescent="0.25">
      <c r="A13" s="4" t="s">
        <v>414</v>
      </c>
      <c r="B13" s="12"/>
      <c r="C13" s="12"/>
      <c r="D13" s="24"/>
    </row>
    <row r="14" spans="1:4" x14ac:dyDescent="0.25">
      <c r="A14" s="115" t="s">
        <v>77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78</v>
      </c>
      <c r="B16" s="12"/>
      <c r="C16" s="12"/>
      <c r="D16" s="24"/>
    </row>
    <row r="17" spans="1:4" x14ac:dyDescent="0.25">
      <c r="A17" s="115" t="s">
        <v>79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defaultRowHeight="15" x14ac:dyDescent="0.25"/>
  <cols>
    <col min="1" max="1" width="9.140625" customWidth="1"/>
    <col min="2" max="2" width="40.7109375" customWidth="1"/>
    <col min="3" max="3" width="37.5703125" customWidth="1"/>
    <col min="4" max="4" width="32" customWidth="1"/>
    <col min="5" max="5" width="9.140625" customWidth="1"/>
  </cols>
  <sheetData>
    <row r="4" spans="2:5" ht="15.75" customHeight="1" x14ac:dyDescent="0.25">
      <c r="B4" s="213" t="s">
        <v>415</v>
      </c>
      <c r="C4" s="213"/>
      <c r="D4" s="213"/>
    </row>
    <row r="5" spans="2:5" ht="18.75" customHeight="1" x14ac:dyDescent="0.25">
      <c r="B5" s="106"/>
    </row>
    <row r="6" spans="2:5" ht="15.75" customHeight="1" x14ac:dyDescent="0.25">
      <c r="B6" s="214" t="s">
        <v>416</v>
      </c>
      <c r="C6" s="214"/>
      <c r="D6" s="214"/>
    </row>
    <row r="7" spans="2:5" x14ac:dyDescent="0.25">
      <c r="B7" s="259"/>
      <c r="C7" s="259"/>
      <c r="D7" s="259"/>
      <c r="E7" s="259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417</v>
      </c>
      <c r="C9" s="108" t="s">
        <v>418</v>
      </c>
      <c r="D9" s="108" t="s">
        <v>419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420</v>
      </c>
      <c r="C11" s="108" t="s">
        <v>421</v>
      </c>
      <c r="D11" s="108">
        <v>46.83</v>
      </c>
    </row>
    <row r="12" spans="2:5" ht="29.25" customHeight="1" x14ac:dyDescent="0.25">
      <c r="B12" s="108" t="s">
        <v>422</v>
      </c>
      <c r="C12" s="108" t="s">
        <v>421</v>
      </c>
      <c r="D12" s="108">
        <v>11.96</v>
      </c>
    </row>
    <row r="13" spans="2:5" ht="29.25" customHeight="1" x14ac:dyDescent="0.25">
      <c r="B13" s="108" t="s">
        <v>423</v>
      </c>
      <c r="C13" s="108" t="s">
        <v>421</v>
      </c>
      <c r="D13" s="108">
        <v>9.84</v>
      </c>
    </row>
    <row r="14" spans="2:5" ht="30.75" customHeight="1" x14ac:dyDescent="0.25">
      <c r="B14" s="108" t="s">
        <v>424</v>
      </c>
      <c r="C14" s="105" t="s">
        <v>425</v>
      </c>
      <c r="D14" s="108">
        <v>6.26</v>
      </c>
    </row>
    <row r="15" spans="2:5" ht="89.25" customHeight="1" x14ac:dyDescent="0.25">
      <c r="B15" s="108" t="s">
        <v>426</v>
      </c>
      <c r="C15" s="108" t="s">
        <v>427</v>
      </c>
      <c r="D15" s="109">
        <v>3.9E-2</v>
      </c>
    </row>
    <row r="16" spans="2:5" ht="78.75" customHeight="1" x14ac:dyDescent="0.25">
      <c r="B16" s="108" t="s">
        <v>428</v>
      </c>
      <c r="C16" s="108" t="s">
        <v>429</v>
      </c>
      <c r="D16" s="109">
        <v>2.1000000000000001E-2</v>
      </c>
    </row>
    <row r="17" spans="2:4" ht="31.5" customHeight="1" x14ac:dyDescent="0.25">
      <c r="B17" s="108" t="s">
        <v>430</v>
      </c>
      <c r="C17" s="108" t="s">
        <v>431</v>
      </c>
      <c r="D17" s="109">
        <v>2.1399999999999999E-2</v>
      </c>
    </row>
    <row r="18" spans="2:4" ht="31.5" customHeight="1" x14ac:dyDescent="0.25">
      <c r="B18" s="108" t="s">
        <v>356</v>
      </c>
      <c r="C18" s="108" t="s">
        <v>432</v>
      </c>
      <c r="D18" s="109">
        <v>2E-3</v>
      </c>
    </row>
    <row r="19" spans="2:4" ht="24" customHeight="1" x14ac:dyDescent="0.25">
      <c r="B19" s="108" t="s">
        <v>358</v>
      </c>
      <c r="C19" s="108" t="s">
        <v>433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434</v>
      </c>
      <c r="C26" s="12"/>
    </row>
    <row r="27" spans="2:4" x14ac:dyDescent="0.25">
      <c r="B27" s="115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398</v>
      </c>
      <c r="C29" s="12"/>
    </row>
    <row r="30" spans="2:4" x14ac:dyDescent="0.25">
      <c r="B30" s="115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4" t="s">
        <v>435</v>
      </c>
      <c r="B2" s="214"/>
      <c r="C2" s="214"/>
      <c r="D2" s="214"/>
      <c r="E2" s="214"/>
      <c r="F2" s="214"/>
    </row>
    <row r="4" spans="1:7" ht="18" customHeight="1" x14ac:dyDescent="0.25">
      <c r="A4" s="174" t="s">
        <v>436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75" t="s">
        <v>13</v>
      </c>
      <c r="B5" s="175" t="s">
        <v>437</v>
      </c>
      <c r="C5" s="175" t="s">
        <v>438</v>
      </c>
      <c r="D5" s="175" t="s">
        <v>439</v>
      </c>
      <c r="E5" s="175" t="s">
        <v>440</v>
      </c>
      <c r="F5" s="175" t="s">
        <v>441</v>
      </c>
      <c r="G5" s="112"/>
    </row>
    <row r="6" spans="1:7" ht="15.75" customHeight="1" x14ac:dyDescent="0.25">
      <c r="A6" s="175">
        <v>1</v>
      </c>
      <c r="B6" s="175">
        <v>2</v>
      </c>
      <c r="C6" s="175">
        <v>3</v>
      </c>
      <c r="D6" s="175">
        <v>4</v>
      </c>
      <c r="E6" s="175">
        <v>5</v>
      </c>
      <c r="F6" s="175">
        <v>6</v>
      </c>
      <c r="G6" s="112"/>
    </row>
    <row r="7" spans="1:7" ht="110.25" customHeight="1" x14ac:dyDescent="0.25">
      <c r="A7" s="176" t="s">
        <v>442</v>
      </c>
      <c r="B7" s="143" t="s">
        <v>443</v>
      </c>
      <c r="C7" s="108" t="s">
        <v>444</v>
      </c>
      <c r="D7" s="108" t="s">
        <v>445</v>
      </c>
      <c r="E7" s="139">
        <v>47872.94</v>
      </c>
      <c r="F7" s="143" t="s">
        <v>446</v>
      </c>
      <c r="G7" s="112"/>
    </row>
    <row r="8" spans="1:7" ht="31.5" customHeight="1" x14ac:dyDescent="0.25">
      <c r="A8" s="176" t="s">
        <v>447</v>
      </c>
      <c r="B8" s="143" t="s">
        <v>448</v>
      </c>
      <c r="C8" s="108" t="s">
        <v>449</v>
      </c>
      <c r="D8" s="108" t="s">
        <v>450</v>
      </c>
      <c r="E8" s="139">
        <f>1973/12</f>
        <v>164.41666666667001</v>
      </c>
      <c r="F8" s="143" t="s">
        <v>451</v>
      </c>
      <c r="G8" s="177"/>
    </row>
    <row r="9" spans="1:7" ht="15.75" customHeight="1" x14ac:dyDescent="0.25">
      <c r="A9" s="176" t="s">
        <v>452</v>
      </c>
      <c r="B9" s="143" t="s">
        <v>453</v>
      </c>
      <c r="C9" s="108" t="s">
        <v>454</v>
      </c>
      <c r="D9" s="108" t="s">
        <v>445</v>
      </c>
      <c r="E9" s="139">
        <v>1</v>
      </c>
      <c r="F9" s="143"/>
      <c r="G9" s="177"/>
    </row>
    <row r="10" spans="1:7" ht="15.75" customHeight="1" x14ac:dyDescent="0.25">
      <c r="A10" s="176" t="s">
        <v>455</v>
      </c>
      <c r="B10" s="143" t="s">
        <v>456</v>
      </c>
      <c r="C10" s="108"/>
      <c r="D10" s="108"/>
      <c r="E10" s="178">
        <v>4.0999999999999996</v>
      </c>
      <c r="F10" s="143" t="s">
        <v>457</v>
      </c>
      <c r="G10" s="177"/>
    </row>
    <row r="11" spans="1:7" ht="78.75" customHeight="1" x14ac:dyDescent="0.25">
      <c r="A11" s="176" t="s">
        <v>458</v>
      </c>
      <c r="B11" s="143" t="s">
        <v>459</v>
      </c>
      <c r="C11" s="108" t="s">
        <v>460</v>
      </c>
      <c r="D11" s="108" t="s">
        <v>445</v>
      </c>
      <c r="E11" s="179">
        <v>1.359</v>
      </c>
      <c r="F11" s="143" t="s">
        <v>461</v>
      </c>
      <c r="G11" s="112"/>
    </row>
    <row r="12" spans="1:7" ht="78.75" customHeight="1" x14ac:dyDescent="0.25">
      <c r="A12" s="176" t="s">
        <v>462</v>
      </c>
      <c r="B12" s="142" t="s">
        <v>463</v>
      </c>
      <c r="C12" s="108" t="s">
        <v>464</v>
      </c>
      <c r="D12" s="108" t="s">
        <v>445</v>
      </c>
      <c r="E12" s="180">
        <v>1.139</v>
      </c>
      <c r="F12" s="181" t="s">
        <v>465</v>
      </c>
      <c r="G12" s="177"/>
    </row>
    <row r="13" spans="1:7" ht="63" customHeight="1" x14ac:dyDescent="0.25">
      <c r="A13" s="176" t="s">
        <v>466</v>
      </c>
      <c r="B13" s="182" t="s">
        <v>467</v>
      </c>
      <c r="C13" s="108" t="s">
        <v>468</v>
      </c>
      <c r="D13" s="108" t="s">
        <v>469</v>
      </c>
      <c r="E13" s="183">
        <f>((E7*E9/E8)*E11)*E12</f>
        <v>450.69987855412</v>
      </c>
      <c r="F13" s="143" t="s">
        <v>470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60" t="s">
        <v>471</v>
      </c>
      <c r="B1" s="260"/>
      <c r="C1" s="260"/>
      <c r="D1" s="260"/>
      <c r="E1" s="260"/>
      <c r="F1" s="260"/>
      <c r="G1" s="260"/>
      <c r="H1" s="260"/>
      <c r="I1" s="260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9" t="e">
        <f>#REF!</f>
        <v>#REF!</v>
      </c>
      <c r="B3" s="209"/>
      <c r="C3" s="209"/>
      <c r="D3" s="209"/>
      <c r="E3" s="209"/>
      <c r="F3" s="209"/>
      <c r="G3" s="209"/>
      <c r="H3" s="209"/>
      <c r="I3" s="209"/>
    </row>
    <row r="4" spans="1:13" s="4" customFormat="1" ht="15.75" customHeight="1" x14ac:dyDescent="0.2">
      <c r="A4" s="261"/>
      <c r="B4" s="261"/>
      <c r="C4" s="261"/>
      <c r="D4" s="261"/>
      <c r="E4" s="261"/>
      <c r="F4" s="261"/>
      <c r="G4" s="261"/>
      <c r="H4" s="261"/>
      <c r="I4" s="261"/>
    </row>
    <row r="5" spans="1:13" s="29" customFormat="1" ht="36.6" customHeight="1" x14ac:dyDescent="0.35">
      <c r="A5" s="262" t="s">
        <v>13</v>
      </c>
      <c r="B5" s="262" t="s">
        <v>472</v>
      </c>
      <c r="C5" s="262" t="s">
        <v>473</v>
      </c>
      <c r="D5" s="262" t="s">
        <v>474</v>
      </c>
      <c r="E5" s="257" t="s">
        <v>475</v>
      </c>
      <c r="F5" s="257"/>
      <c r="G5" s="257"/>
      <c r="H5" s="257"/>
      <c r="I5" s="257"/>
    </row>
    <row r="6" spans="1:13" s="24" customFormat="1" ht="31.5" customHeight="1" x14ac:dyDescent="0.2">
      <c r="A6" s="262"/>
      <c r="B6" s="262"/>
      <c r="C6" s="262"/>
      <c r="D6" s="262"/>
      <c r="E6" s="30" t="s">
        <v>87</v>
      </c>
      <c r="F6" s="30" t="s">
        <v>88</v>
      </c>
      <c r="G6" s="30" t="s">
        <v>43</v>
      </c>
      <c r="H6" s="30" t="s">
        <v>476</v>
      </c>
      <c r="I6" s="30" t="s">
        <v>477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346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478</v>
      </c>
      <c r="C9" s="8" t="s">
        <v>479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480</v>
      </c>
      <c r="C11" s="8" t="s">
        <v>428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481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482</v>
      </c>
      <c r="C12" s="8" t="s">
        <v>483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484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431</v>
      </c>
      <c r="C14" s="8" t="s">
        <v>485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486</v>
      </c>
      <c r="C16" s="8" t="s">
        <v>487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488</v>
      </c>
    </row>
    <row r="17" spans="1:10" s="24" customFormat="1" ht="81.75" customHeight="1" x14ac:dyDescent="0.2">
      <c r="A17" s="31">
        <v>7</v>
      </c>
      <c r="B17" s="8" t="s">
        <v>486</v>
      </c>
      <c r="C17" s="8" t="s">
        <v>489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490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491</v>
      </c>
      <c r="C20" s="8" t="s">
        <v>358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492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493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494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495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496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4" t="s">
        <v>497</v>
      </c>
      <c r="O2" s="264"/>
    </row>
    <row r="3" spans="1:16" x14ac:dyDescent="0.25">
      <c r="A3" s="265" t="s">
        <v>498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</row>
    <row r="5" spans="1:16" ht="37.5" customHeight="1" x14ac:dyDescent="0.25">
      <c r="A5" s="266" t="s">
        <v>499</v>
      </c>
      <c r="B5" s="269" t="s">
        <v>500</v>
      </c>
      <c r="C5" s="272" t="s">
        <v>501</v>
      </c>
      <c r="D5" s="275" t="s">
        <v>502</v>
      </c>
      <c r="E5" s="276"/>
      <c r="F5" s="276"/>
      <c r="G5" s="276"/>
      <c r="H5" s="276"/>
      <c r="I5" s="275" t="s">
        <v>503</v>
      </c>
      <c r="J5" s="276"/>
      <c r="K5" s="276"/>
      <c r="L5" s="276"/>
      <c r="M5" s="276"/>
      <c r="N5" s="276"/>
      <c r="O5" s="47" t="s">
        <v>504</v>
      </c>
    </row>
    <row r="6" spans="1:16" s="50" customFormat="1" ht="150" customHeight="1" x14ac:dyDescent="0.25">
      <c r="A6" s="267"/>
      <c r="B6" s="270"/>
      <c r="C6" s="273"/>
      <c r="D6" s="272" t="s">
        <v>505</v>
      </c>
      <c r="E6" s="277" t="s">
        <v>506</v>
      </c>
      <c r="F6" s="278"/>
      <c r="G6" s="279"/>
      <c r="H6" s="48" t="s">
        <v>507</v>
      </c>
      <c r="I6" s="280" t="s">
        <v>508</v>
      </c>
      <c r="J6" s="280" t="s">
        <v>505</v>
      </c>
      <c r="K6" s="281" t="s">
        <v>506</v>
      </c>
      <c r="L6" s="281"/>
      <c r="M6" s="281"/>
      <c r="N6" s="48" t="s">
        <v>507</v>
      </c>
      <c r="O6" s="49" t="s">
        <v>509</v>
      </c>
    </row>
    <row r="7" spans="1:16" s="50" customFormat="1" ht="30.75" customHeight="1" x14ac:dyDescent="0.25">
      <c r="A7" s="268"/>
      <c r="B7" s="271"/>
      <c r="C7" s="274"/>
      <c r="D7" s="274"/>
      <c r="E7" s="47" t="s">
        <v>87</v>
      </c>
      <c r="F7" s="47" t="s">
        <v>88</v>
      </c>
      <c r="G7" s="47" t="s">
        <v>43</v>
      </c>
      <c r="H7" s="51" t="s">
        <v>510</v>
      </c>
      <c r="I7" s="280"/>
      <c r="J7" s="280"/>
      <c r="K7" s="47" t="s">
        <v>87</v>
      </c>
      <c r="L7" s="47" t="s">
        <v>88</v>
      </c>
      <c r="M7" s="47" t="s">
        <v>43</v>
      </c>
      <c r="N7" s="51" t="s">
        <v>510</v>
      </c>
      <c r="O7" s="47" t="s">
        <v>511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66" t="s">
        <v>512</v>
      </c>
      <c r="C9" s="53" t="s">
        <v>513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68"/>
      <c r="C10" s="56" t="s">
        <v>514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66" t="s">
        <v>515</v>
      </c>
      <c r="C11" s="56" t="s">
        <v>516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68"/>
      <c r="C12" s="56" t="s">
        <v>517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66" t="s">
        <v>518</v>
      </c>
      <c r="C13" s="53" t="s">
        <v>519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68"/>
      <c r="C14" s="56" t="s">
        <v>520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521</v>
      </c>
      <c r="C15" s="56" t="s">
        <v>522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523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524</v>
      </c>
    </row>
    <row r="19" spans="1:15" ht="30.75" customHeight="1" x14ac:dyDescent="0.25">
      <c r="L19" s="68"/>
    </row>
    <row r="20" spans="1:15" ht="15" customHeight="1" outlineLevel="1" x14ac:dyDescent="0.25">
      <c r="G20" s="263" t="s">
        <v>525</v>
      </c>
      <c r="H20" s="263"/>
      <c r="I20" s="263"/>
      <c r="J20" s="263"/>
      <c r="K20" s="263"/>
      <c r="L20" s="263"/>
      <c r="M20" s="263"/>
      <c r="N20" s="263"/>
    </row>
    <row r="21" spans="1:15" ht="15.75" customHeight="1" outlineLevel="1" x14ac:dyDescent="0.25">
      <c r="G21" s="69"/>
      <c r="H21" s="69" t="s">
        <v>526</v>
      </c>
      <c r="I21" s="69" t="s">
        <v>527</v>
      </c>
      <c r="J21" s="69" t="s">
        <v>528</v>
      </c>
      <c r="K21" s="70" t="s">
        <v>529</v>
      </c>
      <c r="L21" s="69" t="s">
        <v>530</v>
      </c>
      <c r="M21" s="69" t="s">
        <v>531</v>
      </c>
      <c r="N21" s="69" t="s">
        <v>532</v>
      </c>
      <c r="O21" s="63"/>
    </row>
    <row r="22" spans="1:15" ht="15.75" customHeight="1" outlineLevel="1" x14ac:dyDescent="0.25">
      <c r="G22" s="283" t="s">
        <v>533</v>
      </c>
      <c r="H22" s="282">
        <v>6.09</v>
      </c>
      <c r="I22" s="284">
        <v>6.44</v>
      </c>
      <c r="J22" s="282">
        <v>5.77</v>
      </c>
      <c r="K22" s="284">
        <v>5.77</v>
      </c>
      <c r="L22" s="282">
        <v>5.23</v>
      </c>
      <c r="M22" s="282">
        <v>5.77</v>
      </c>
      <c r="N22" s="71">
        <v>6.29</v>
      </c>
      <c r="O22" t="s">
        <v>534</v>
      </c>
    </row>
    <row r="23" spans="1:15" ht="15.75" customHeight="1" outlineLevel="1" x14ac:dyDescent="0.25">
      <c r="G23" s="283"/>
      <c r="H23" s="282"/>
      <c r="I23" s="284"/>
      <c r="J23" s="282"/>
      <c r="K23" s="284"/>
      <c r="L23" s="282"/>
      <c r="M23" s="282"/>
      <c r="N23" s="71">
        <v>6.56</v>
      </c>
      <c r="O23" t="s">
        <v>535</v>
      </c>
    </row>
    <row r="24" spans="1:15" ht="15.75" customHeight="1" outlineLevel="1" x14ac:dyDescent="0.25">
      <c r="G24" s="72" t="s">
        <v>536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510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537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538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476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300" t="s">
        <v>539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</row>
    <row r="4" spans="1:18" ht="36.75" customHeight="1" x14ac:dyDescent="0.25">
      <c r="A4" s="266" t="s">
        <v>499</v>
      </c>
      <c r="B4" s="269" t="s">
        <v>500</v>
      </c>
      <c r="C4" s="272" t="s">
        <v>540</v>
      </c>
      <c r="D4" s="272" t="s">
        <v>541</v>
      </c>
      <c r="E4" s="275" t="s">
        <v>542</v>
      </c>
      <c r="F4" s="276"/>
      <c r="G4" s="276"/>
      <c r="H4" s="276"/>
      <c r="I4" s="276"/>
      <c r="J4" s="276"/>
      <c r="K4" s="276"/>
      <c r="L4" s="276"/>
      <c r="M4" s="276"/>
      <c r="N4" s="301" t="s">
        <v>543</v>
      </c>
      <c r="O4" s="302"/>
      <c r="P4" s="302"/>
      <c r="Q4" s="302"/>
      <c r="R4" s="303"/>
    </row>
    <row r="5" spans="1:18" ht="60" customHeight="1" x14ac:dyDescent="0.25">
      <c r="A5" s="267"/>
      <c r="B5" s="270"/>
      <c r="C5" s="273"/>
      <c r="D5" s="273"/>
      <c r="E5" s="280" t="s">
        <v>544</v>
      </c>
      <c r="F5" s="280" t="s">
        <v>545</v>
      </c>
      <c r="G5" s="277" t="s">
        <v>506</v>
      </c>
      <c r="H5" s="278"/>
      <c r="I5" s="278"/>
      <c r="J5" s="279"/>
      <c r="K5" s="280" t="s">
        <v>546</v>
      </c>
      <c r="L5" s="280"/>
      <c r="M5" s="280"/>
      <c r="N5" s="74" t="s">
        <v>547</v>
      </c>
      <c r="O5" s="74" t="s">
        <v>548</v>
      </c>
      <c r="P5" s="74" t="s">
        <v>549</v>
      </c>
      <c r="Q5" s="75" t="s">
        <v>550</v>
      </c>
      <c r="R5" s="74" t="s">
        <v>551</v>
      </c>
    </row>
    <row r="6" spans="1:18" ht="49.5" customHeight="1" x14ac:dyDescent="0.25">
      <c r="A6" s="268"/>
      <c r="B6" s="271"/>
      <c r="C6" s="274"/>
      <c r="D6" s="274"/>
      <c r="E6" s="280"/>
      <c r="F6" s="280"/>
      <c r="G6" s="47" t="s">
        <v>87</v>
      </c>
      <c r="H6" s="47" t="s">
        <v>88</v>
      </c>
      <c r="I6" s="47" t="s">
        <v>43</v>
      </c>
      <c r="J6" s="47" t="s">
        <v>476</v>
      </c>
      <c r="K6" s="47" t="s">
        <v>547</v>
      </c>
      <c r="L6" s="47" t="s">
        <v>548</v>
      </c>
      <c r="M6" s="47" t="s">
        <v>549</v>
      </c>
      <c r="N6" s="47" t="s">
        <v>552</v>
      </c>
      <c r="O6" s="47" t="s">
        <v>553</v>
      </c>
      <c r="P6" s="47" t="s">
        <v>554</v>
      </c>
      <c r="Q6" s="48" t="s">
        <v>555</v>
      </c>
      <c r="R6" s="47" t="s">
        <v>556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66">
        <v>1</v>
      </c>
      <c r="B9" s="266" t="s">
        <v>557</v>
      </c>
      <c r="C9" s="293" t="s">
        <v>513</v>
      </c>
      <c r="D9" s="53" t="s">
        <v>558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599999999999994" hidden="1" customHeight="1" x14ac:dyDescent="0.25">
      <c r="A10" s="268"/>
      <c r="B10" s="267"/>
      <c r="C10" s="294"/>
      <c r="D10" s="53" t="s">
        <v>559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66">
        <v>2</v>
      </c>
      <c r="B11" s="267"/>
      <c r="C11" s="293" t="s">
        <v>560</v>
      </c>
      <c r="D11" s="53" t="s">
        <v>558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68"/>
      <c r="B12" s="268"/>
      <c r="C12" s="294"/>
      <c r="D12" s="53" t="s">
        <v>559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66">
        <v>3</v>
      </c>
      <c r="B13" s="266" t="s">
        <v>515</v>
      </c>
      <c r="C13" s="296" t="s">
        <v>516</v>
      </c>
      <c r="D13" s="53" t="s">
        <v>561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" hidden="1" customHeight="1" x14ac:dyDescent="0.25">
      <c r="A14" s="268"/>
      <c r="B14" s="267"/>
      <c r="C14" s="297"/>
      <c r="D14" s="53" t="s">
        <v>559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66">
        <v>4</v>
      </c>
      <c r="B15" s="267"/>
      <c r="C15" s="298" t="s">
        <v>517</v>
      </c>
      <c r="D15" s="56" t="s">
        <v>561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68"/>
      <c r="B16" s="268"/>
      <c r="C16" s="299"/>
      <c r="D16" s="56" t="s">
        <v>559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66">
        <v>5</v>
      </c>
      <c r="B17" s="281" t="s">
        <v>518</v>
      </c>
      <c r="C17" s="293" t="s">
        <v>562</v>
      </c>
      <c r="D17" s="53" t="s">
        <v>563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68"/>
      <c r="B18" s="281"/>
      <c r="C18" s="294"/>
      <c r="D18" s="53" t="s">
        <v>559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66">
        <v>6</v>
      </c>
      <c r="B19" s="281"/>
      <c r="C19" s="293" t="s">
        <v>520</v>
      </c>
      <c r="D19" s="56" t="s">
        <v>561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68"/>
      <c r="B20" s="281"/>
      <c r="C20" s="294"/>
      <c r="D20" s="56" t="s">
        <v>559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66">
        <v>7</v>
      </c>
      <c r="B21" s="266" t="s">
        <v>521</v>
      </c>
      <c r="C21" s="293" t="s">
        <v>522</v>
      </c>
      <c r="D21" s="56" t="s">
        <v>564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68"/>
      <c r="B22" s="268"/>
      <c r="C22" s="294"/>
      <c r="D22" s="79" t="s">
        <v>559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565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95" t="s">
        <v>566</v>
      </c>
      <c r="E26" s="295"/>
      <c r="F26" s="295"/>
      <c r="G26" s="295"/>
      <c r="H26" s="295"/>
      <c r="I26" s="295"/>
      <c r="J26" s="295"/>
      <c r="K26" s="295"/>
      <c r="L26" s="68"/>
      <c r="R26" s="86"/>
    </row>
    <row r="27" spans="1:18" outlineLevel="1" x14ac:dyDescent="0.25">
      <c r="D27" s="87"/>
      <c r="E27" s="87" t="s">
        <v>526</v>
      </c>
      <c r="F27" s="87" t="s">
        <v>527</v>
      </c>
      <c r="G27" s="87" t="s">
        <v>528</v>
      </c>
      <c r="H27" s="88" t="s">
        <v>529</v>
      </c>
      <c r="I27" s="88" t="s">
        <v>530</v>
      </c>
      <c r="J27" s="88" t="s">
        <v>531</v>
      </c>
      <c r="K27" s="59" t="s">
        <v>532</v>
      </c>
    </row>
    <row r="28" spans="1:18" outlineLevel="1" x14ac:dyDescent="0.25">
      <c r="D28" s="289" t="s">
        <v>533</v>
      </c>
      <c r="E28" s="287">
        <v>6.09</v>
      </c>
      <c r="F28" s="291">
        <v>6.63</v>
      </c>
      <c r="G28" s="287">
        <v>5.77</v>
      </c>
      <c r="H28" s="285">
        <v>5.77</v>
      </c>
      <c r="I28" s="285">
        <v>6.35</v>
      </c>
      <c r="J28" s="287">
        <v>5.77</v>
      </c>
      <c r="K28" s="89">
        <v>6.29</v>
      </c>
      <c r="L28" t="s">
        <v>534</v>
      </c>
    </row>
    <row r="29" spans="1:18" outlineLevel="1" x14ac:dyDescent="0.25">
      <c r="D29" s="290"/>
      <c r="E29" s="288"/>
      <c r="F29" s="292"/>
      <c r="G29" s="288"/>
      <c r="H29" s="286"/>
      <c r="I29" s="286"/>
      <c r="J29" s="288"/>
      <c r="K29" s="89">
        <v>6.56</v>
      </c>
      <c r="L29" t="s">
        <v>535</v>
      </c>
    </row>
    <row r="30" spans="1:18" outlineLevel="1" x14ac:dyDescent="0.25">
      <c r="D30" s="90" t="s">
        <v>536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9" t="s">
        <v>510</v>
      </c>
      <c r="E31" s="287">
        <v>11.37</v>
      </c>
      <c r="F31" s="291">
        <v>13.56</v>
      </c>
      <c r="G31" s="287">
        <v>15.91</v>
      </c>
      <c r="H31" s="285">
        <v>15.91</v>
      </c>
      <c r="I31" s="285">
        <v>14.03</v>
      </c>
      <c r="J31" s="287">
        <v>15.91</v>
      </c>
      <c r="K31" s="89">
        <v>8.2899999999999991</v>
      </c>
      <c r="L31" t="s">
        <v>534</v>
      </c>
    </row>
    <row r="32" spans="1:18" outlineLevel="1" x14ac:dyDescent="0.25">
      <c r="D32" s="290"/>
      <c r="E32" s="288"/>
      <c r="F32" s="292"/>
      <c r="G32" s="288"/>
      <c r="H32" s="286"/>
      <c r="I32" s="286"/>
      <c r="J32" s="288"/>
      <c r="K32" s="89">
        <v>11.84</v>
      </c>
      <c r="L32" t="s">
        <v>535</v>
      </c>
    </row>
    <row r="33" spans="4:12" ht="15" customHeight="1" outlineLevel="1" x14ac:dyDescent="0.25">
      <c r="D33" s="91" t="s">
        <v>537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567</v>
      </c>
    </row>
    <row r="34" spans="4:12" outlineLevel="1" x14ac:dyDescent="0.25">
      <c r="D34" s="91" t="s">
        <v>538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567</v>
      </c>
    </row>
    <row r="35" spans="4:12" outlineLevel="1" x14ac:dyDescent="0.25">
      <c r="D35" s="90" t="s">
        <v>476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6" t="s">
        <v>10</v>
      </c>
      <c r="B2" s="206"/>
      <c r="C2" s="206"/>
      <c r="D2" s="206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9"/>
    </row>
    <row r="5" spans="1:4" x14ac:dyDescent="0.25">
      <c r="A5" s="5"/>
      <c r="B5" s="1"/>
      <c r="C5" s="1"/>
    </row>
    <row r="6" spans="1:4" x14ac:dyDescent="0.25">
      <c r="A6" s="206" t="s">
        <v>12</v>
      </c>
      <c r="B6" s="206"/>
      <c r="C6" s="206"/>
      <c r="D6" s="20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0" t="s">
        <v>5</v>
      </c>
      <c r="B15" s="211" t="s">
        <v>15</v>
      </c>
      <c r="C15" s="211"/>
      <c r="D15" s="211"/>
    </row>
    <row r="16" spans="1:4" x14ac:dyDescent="0.25">
      <c r="A16" s="210"/>
      <c r="B16" s="210" t="s">
        <v>17</v>
      </c>
      <c r="C16" s="211" t="s">
        <v>28</v>
      </c>
      <c r="D16" s="211"/>
    </row>
    <row r="17" spans="1:4" ht="39" customHeight="1" x14ac:dyDescent="0.25">
      <c r="A17" s="210"/>
      <c r="B17" s="21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2" t="s">
        <v>29</v>
      </c>
      <c r="B2" s="212"/>
      <c r="C2" s="212"/>
      <c r="D2" s="212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E32"/>
  <sheetViews>
    <sheetView view="pageBreakPreview" topLeftCell="A19" zoomScale="70" zoomScaleNormal="55" workbookViewId="0">
      <selection activeCell="C56" sqref="C56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9.140625" style="112"/>
  </cols>
  <sheetData>
    <row r="3" spans="2:4" x14ac:dyDescent="0.25">
      <c r="B3" s="213" t="s">
        <v>45</v>
      </c>
      <c r="C3" s="213"/>
      <c r="D3" s="213"/>
    </row>
    <row r="4" spans="2:4" x14ac:dyDescent="0.25">
      <c r="B4" s="214" t="s">
        <v>46</v>
      </c>
      <c r="C4" s="214"/>
      <c r="D4" s="214"/>
    </row>
    <row r="5" spans="2:4" ht="84" customHeight="1" x14ac:dyDescent="0.25">
      <c r="B5" s="216" t="s">
        <v>47</v>
      </c>
      <c r="C5" s="216"/>
      <c r="D5" s="216"/>
    </row>
    <row r="6" spans="2:4" ht="18.75" customHeight="1" x14ac:dyDescent="0.25">
      <c r="B6" s="140"/>
      <c r="C6" s="140"/>
      <c r="D6" s="140"/>
    </row>
    <row r="7" spans="2:4" ht="64.5" customHeight="1" x14ac:dyDescent="0.25">
      <c r="B7" s="215" t="s">
        <v>48</v>
      </c>
      <c r="C7" s="215"/>
      <c r="D7" s="215"/>
    </row>
    <row r="8" spans="2:4" ht="31.5" customHeight="1" x14ac:dyDescent="0.25">
      <c r="B8" s="215" t="s">
        <v>49</v>
      </c>
      <c r="C8" s="215"/>
      <c r="D8" s="215"/>
    </row>
    <row r="9" spans="2:4" ht="15.75" customHeight="1" x14ac:dyDescent="0.25">
      <c r="B9" s="215" t="s">
        <v>50</v>
      </c>
      <c r="C9" s="215"/>
      <c r="D9" s="215"/>
    </row>
    <row r="10" spans="2:4" x14ac:dyDescent="0.25">
      <c r="B10" s="141"/>
    </row>
    <row r="11" spans="2:4" x14ac:dyDescent="0.25">
      <c r="B11" s="108" t="s">
        <v>33</v>
      </c>
      <c r="C11" s="108" t="s">
        <v>51</v>
      </c>
      <c r="D11" s="108" t="s">
        <v>52</v>
      </c>
    </row>
    <row r="12" spans="2:4" ht="96.75" customHeight="1" x14ac:dyDescent="0.25">
      <c r="B12" s="108">
        <v>1</v>
      </c>
      <c r="C12" s="142" t="s">
        <v>53</v>
      </c>
      <c r="D12" s="108" t="s">
        <v>54</v>
      </c>
    </row>
    <row r="13" spans="2:4" x14ac:dyDescent="0.25">
      <c r="B13" s="108">
        <v>2</v>
      </c>
      <c r="C13" s="142" t="s">
        <v>55</v>
      </c>
      <c r="D13" s="108" t="s">
        <v>56</v>
      </c>
    </row>
    <row r="14" spans="2:4" x14ac:dyDescent="0.25">
      <c r="B14" s="108">
        <v>3</v>
      </c>
      <c r="C14" s="142" t="s">
        <v>57</v>
      </c>
      <c r="D14" s="108" t="s">
        <v>58</v>
      </c>
    </row>
    <row r="15" spans="2:4" x14ac:dyDescent="0.25">
      <c r="B15" s="108">
        <v>4</v>
      </c>
      <c r="C15" s="142" t="s">
        <v>59</v>
      </c>
      <c r="D15" s="108">
        <v>1</v>
      </c>
    </row>
    <row r="16" spans="2:4" ht="252" customHeight="1" x14ac:dyDescent="0.25">
      <c r="B16" s="108">
        <v>5</v>
      </c>
      <c r="C16" s="105" t="s">
        <v>60</v>
      </c>
      <c r="D16" s="143" t="s">
        <v>61</v>
      </c>
    </row>
    <row r="17" spans="2:4" ht="79.5" customHeight="1" x14ac:dyDescent="0.25">
      <c r="B17" s="108">
        <v>6</v>
      </c>
      <c r="C17" s="105" t="s">
        <v>62</v>
      </c>
      <c r="D17" s="144">
        <f>D18+D19</f>
        <v>883.31828370000005</v>
      </c>
    </row>
    <row r="18" spans="2:4" x14ac:dyDescent="0.25">
      <c r="B18" s="145" t="s">
        <v>63</v>
      </c>
      <c r="C18" s="142" t="s">
        <v>64</v>
      </c>
      <c r="D18" s="144">
        <f>'Прил.2 Расч стоим'!F14</f>
        <v>36.6604989</v>
      </c>
    </row>
    <row r="19" spans="2:4" ht="15.75" customHeight="1" x14ac:dyDescent="0.25">
      <c r="B19" s="145" t="s">
        <v>65</v>
      </c>
      <c r="C19" s="142" t="s">
        <v>66</v>
      </c>
      <c r="D19" s="144">
        <f>'Прил.2 Расч стоим'!H14</f>
        <v>846.65778479999994</v>
      </c>
    </row>
    <row r="20" spans="2:4" ht="16.5" customHeight="1" x14ac:dyDescent="0.25">
      <c r="B20" s="145" t="s">
        <v>67</v>
      </c>
      <c r="C20" s="142" t="s">
        <v>68</v>
      </c>
      <c r="D20" s="144"/>
    </row>
    <row r="21" spans="2:4" ht="35.25" customHeight="1" x14ac:dyDescent="0.25">
      <c r="B21" s="145" t="s">
        <v>69</v>
      </c>
      <c r="C21" s="146" t="s">
        <v>70</v>
      </c>
      <c r="D21" s="144"/>
    </row>
    <row r="22" spans="2:4" x14ac:dyDescent="0.25">
      <c r="B22" s="108">
        <v>7</v>
      </c>
      <c r="C22" s="146" t="s">
        <v>71</v>
      </c>
      <c r="D22" s="147" t="s">
        <v>72</v>
      </c>
    </row>
    <row r="23" spans="2:4" ht="123" customHeight="1" x14ac:dyDescent="0.25">
      <c r="B23" s="108">
        <v>8</v>
      </c>
      <c r="C23" s="148" t="s">
        <v>73</v>
      </c>
      <c r="D23" s="144">
        <f>D17</f>
        <v>883.31828370000005</v>
      </c>
    </row>
    <row r="24" spans="2:4" ht="60.75" customHeight="1" x14ac:dyDescent="0.25">
      <c r="B24" s="108">
        <v>9</v>
      </c>
      <c r="C24" s="105" t="s">
        <v>74</v>
      </c>
      <c r="D24" s="144">
        <f>D17/D15</f>
        <v>883.31828370000005</v>
      </c>
    </row>
    <row r="25" spans="2:4" ht="48" customHeight="1" x14ac:dyDescent="0.25">
      <c r="B25" s="108">
        <v>10</v>
      </c>
      <c r="C25" s="142" t="s">
        <v>75</v>
      </c>
      <c r="D25" s="108"/>
    </row>
    <row r="26" spans="2:4" x14ac:dyDescent="0.25">
      <c r="B26" s="149"/>
      <c r="C26" s="150"/>
      <c r="D26" s="150"/>
    </row>
    <row r="27" spans="2:4" ht="37.5" customHeight="1" x14ac:dyDescent="0.25">
      <c r="B27" s="116"/>
    </row>
    <row r="28" spans="2:4" x14ac:dyDescent="0.25">
      <c r="B28" s="112" t="s">
        <v>76</v>
      </c>
    </row>
    <row r="29" spans="2:4" x14ac:dyDescent="0.25">
      <c r="B29" s="116" t="s">
        <v>77</v>
      </c>
    </row>
    <row r="31" spans="2:4" x14ac:dyDescent="0.25">
      <c r="B31" s="112" t="s">
        <v>78</v>
      </c>
    </row>
    <row r="32" spans="2:4" x14ac:dyDescent="0.25">
      <c r="B32" s="116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28"/>
  <sheetViews>
    <sheetView view="pageBreakPreview" zoomScale="70" zoomScaleNormal="70" workbookViewId="0">
      <selection activeCell="F21" sqref="F20:F21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2:10" x14ac:dyDescent="0.25">
      <c r="B3" s="213" t="s">
        <v>80</v>
      </c>
      <c r="C3" s="213"/>
      <c r="D3" s="213"/>
      <c r="E3" s="213"/>
      <c r="F3" s="213"/>
      <c r="G3" s="213"/>
      <c r="H3" s="213"/>
      <c r="I3" s="213"/>
      <c r="J3" s="213"/>
    </row>
    <row r="4" spans="2:10" x14ac:dyDescent="0.25">
      <c r="B4" s="214" t="s">
        <v>81</v>
      </c>
      <c r="C4" s="214"/>
      <c r="D4" s="214"/>
      <c r="E4" s="214"/>
      <c r="F4" s="214"/>
      <c r="G4" s="214"/>
      <c r="H4" s="214"/>
      <c r="I4" s="214"/>
      <c r="J4" s="214"/>
    </row>
    <row r="5" spans="2:10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2:10" ht="29.25" customHeight="1" x14ac:dyDescent="0.25">
      <c r="B6" s="215" t="str">
        <f>'Прил.1 Сравнит табл'!B7:D7</f>
        <v>Наименование разрабатываемого показателя УНЦ - Постоянная часть ПС, СКС ПС 220 кВ</v>
      </c>
      <c r="C6" s="215"/>
      <c r="D6" s="215"/>
      <c r="E6" s="215"/>
      <c r="F6" s="215"/>
      <c r="G6" s="215"/>
      <c r="H6" s="215"/>
      <c r="I6" s="215"/>
      <c r="J6" s="215"/>
    </row>
    <row r="7" spans="2:10" x14ac:dyDescent="0.25">
      <c r="B7" s="215" t="str">
        <f>'Прил.1 Сравнит табл'!B9:D9</f>
        <v>Единица измерения  — 1 ПС</v>
      </c>
      <c r="C7" s="215"/>
      <c r="D7" s="215"/>
      <c r="E7" s="215"/>
      <c r="F7" s="215"/>
      <c r="G7" s="215"/>
      <c r="H7" s="215"/>
      <c r="I7" s="215"/>
      <c r="J7" s="215"/>
    </row>
    <row r="8" spans="2:10" ht="18.75" customHeight="1" x14ac:dyDescent="0.25">
      <c r="B8" s="107"/>
    </row>
    <row r="9" spans="2:10" ht="15.75" customHeight="1" x14ac:dyDescent="0.25">
      <c r="B9" s="219" t="s">
        <v>33</v>
      </c>
      <c r="C9" s="219" t="s">
        <v>82</v>
      </c>
      <c r="D9" s="219" t="s">
        <v>83</v>
      </c>
      <c r="E9" s="219"/>
      <c r="F9" s="219"/>
      <c r="G9" s="219"/>
      <c r="H9" s="219"/>
      <c r="I9" s="219"/>
      <c r="J9" s="219"/>
    </row>
    <row r="10" spans="2:10" ht="15.75" customHeight="1" x14ac:dyDescent="0.25">
      <c r="B10" s="219"/>
      <c r="C10" s="219"/>
      <c r="D10" s="219" t="s">
        <v>84</v>
      </c>
      <c r="E10" s="219" t="s">
        <v>85</v>
      </c>
      <c r="F10" s="219" t="s">
        <v>86</v>
      </c>
      <c r="G10" s="219"/>
      <c r="H10" s="219"/>
      <c r="I10" s="219"/>
      <c r="J10" s="219"/>
    </row>
    <row r="11" spans="2:10" ht="31.5" customHeight="1" x14ac:dyDescent="0.25">
      <c r="B11" s="220"/>
      <c r="C11" s="220"/>
      <c r="D11" s="220"/>
      <c r="E11" s="220"/>
      <c r="F11" s="153" t="s">
        <v>87</v>
      </c>
      <c r="G11" s="153" t="s">
        <v>88</v>
      </c>
      <c r="H11" s="153" t="s">
        <v>43</v>
      </c>
      <c r="I11" s="153" t="s">
        <v>89</v>
      </c>
      <c r="J11" s="153" t="s">
        <v>90</v>
      </c>
    </row>
    <row r="12" spans="2:10" ht="31.5" customHeight="1" x14ac:dyDescent="0.25">
      <c r="B12" s="205"/>
      <c r="C12" s="205" t="s">
        <v>91</v>
      </c>
      <c r="D12" s="205"/>
      <c r="E12" s="205"/>
      <c r="F12" s="221">
        <v>36.6604989</v>
      </c>
      <c r="G12" s="222"/>
      <c r="H12" s="205">
        <v>846.65778479999994</v>
      </c>
      <c r="I12" s="205"/>
      <c r="J12" s="205">
        <v>883.31828370000005</v>
      </c>
    </row>
    <row r="13" spans="2:10" ht="15.75" customHeight="1" x14ac:dyDescent="0.25">
      <c r="B13" s="217" t="s">
        <v>92</v>
      </c>
      <c r="C13" s="217"/>
      <c r="D13" s="217"/>
      <c r="E13" s="217"/>
      <c r="F13" s="204"/>
      <c r="G13" s="204"/>
      <c r="H13" s="204"/>
      <c r="I13" s="204"/>
      <c r="J13" s="204"/>
    </row>
    <row r="14" spans="2:10" x14ac:dyDescent="0.25">
      <c r="B14" s="218" t="s">
        <v>93</v>
      </c>
      <c r="C14" s="218"/>
      <c r="D14" s="218"/>
      <c r="E14" s="218"/>
      <c r="F14" s="223">
        <f>F12</f>
        <v>36.6604989</v>
      </c>
      <c r="G14" s="224"/>
      <c r="H14" s="114">
        <f>H12</f>
        <v>846.65778479999994</v>
      </c>
      <c r="I14" s="114"/>
      <c r="J14" s="114">
        <f>J12</f>
        <v>883.31828370000005</v>
      </c>
    </row>
    <row r="15" spans="2:10" ht="15" customHeight="1" x14ac:dyDescent="0.25"/>
    <row r="16" spans="2:10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115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115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127"/>
  <sheetViews>
    <sheetView view="pageBreakPreview" topLeftCell="A41" zoomScale="55" zoomScaleSheetLayoutView="55" workbookViewId="0">
      <selection activeCell="D141" sqref="D141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</cols>
  <sheetData>
    <row r="2" spans="1:10" x14ac:dyDescent="0.25">
      <c r="A2" s="200"/>
      <c r="B2" s="200"/>
      <c r="C2" s="200"/>
      <c r="D2" s="200"/>
      <c r="E2" s="200"/>
      <c r="F2" s="200"/>
      <c r="G2" s="200"/>
      <c r="H2" s="200"/>
    </row>
    <row r="3" spans="1:10" x14ac:dyDescent="0.25">
      <c r="A3" s="213" t="s">
        <v>95</v>
      </c>
      <c r="B3" s="213"/>
      <c r="C3" s="213"/>
      <c r="D3" s="213"/>
      <c r="E3" s="213"/>
      <c r="F3" s="213"/>
      <c r="G3" s="213"/>
      <c r="H3" s="213"/>
    </row>
    <row r="4" spans="1:10" x14ac:dyDescent="0.25">
      <c r="A4" s="214" t="s">
        <v>96</v>
      </c>
      <c r="B4" s="214"/>
      <c r="C4" s="214"/>
      <c r="D4" s="214"/>
      <c r="E4" s="214"/>
      <c r="F4" s="214"/>
      <c r="G4" s="214"/>
      <c r="H4" s="214"/>
    </row>
    <row r="5" spans="1:10" ht="18.75" customHeight="1" x14ac:dyDescent="0.25">
      <c r="A5" s="151"/>
      <c r="B5" s="151"/>
      <c r="C5" s="226" t="s">
        <v>97</v>
      </c>
      <c r="D5" s="226"/>
      <c r="E5" s="226"/>
      <c r="F5" s="226"/>
      <c r="G5" s="226"/>
      <c r="H5" s="226"/>
    </row>
    <row r="6" spans="1:10" x14ac:dyDescent="0.25">
      <c r="A6" s="141"/>
    </row>
    <row r="7" spans="1:10" ht="33.75" customHeight="1" x14ac:dyDescent="0.25">
      <c r="A7" s="225" t="s">
        <v>98</v>
      </c>
      <c r="B7" s="225"/>
      <c r="C7" s="225"/>
      <c r="D7" s="225"/>
      <c r="E7" s="225"/>
      <c r="F7" s="225"/>
      <c r="G7" s="225"/>
      <c r="H7" s="225"/>
    </row>
    <row r="8" spans="1:10" x14ac:dyDescent="0.25">
      <c r="A8" s="152"/>
      <c r="B8" s="152"/>
      <c r="C8" s="152"/>
      <c r="D8" s="152"/>
      <c r="E8" s="152"/>
      <c r="F8" s="152"/>
      <c r="G8" s="152"/>
      <c r="H8" s="152"/>
    </row>
    <row r="9" spans="1:10" ht="38.25" customHeight="1" x14ac:dyDescent="0.25">
      <c r="A9" s="219" t="s">
        <v>99</v>
      </c>
      <c r="B9" s="219" t="s">
        <v>100</v>
      </c>
      <c r="C9" s="219" t="s">
        <v>101</v>
      </c>
      <c r="D9" s="219" t="s">
        <v>102</v>
      </c>
      <c r="E9" s="219" t="s">
        <v>103</v>
      </c>
      <c r="F9" s="219" t="s">
        <v>104</v>
      </c>
      <c r="G9" s="219" t="s">
        <v>105</v>
      </c>
      <c r="H9" s="219"/>
    </row>
    <row r="10" spans="1:10" ht="40.5" customHeight="1" x14ac:dyDescent="0.25">
      <c r="A10" s="219"/>
      <c r="B10" s="219"/>
      <c r="C10" s="219"/>
      <c r="D10" s="219"/>
      <c r="E10" s="219"/>
      <c r="F10" s="219"/>
      <c r="G10" s="108" t="s">
        <v>106</v>
      </c>
      <c r="H10" s="108" t="s">
        <v>107</v>
      </c>
    </row>
    <row r="11" spans="1:10" x14ac:dyDescent="0.25">
      <c r="A11" s="153">
        <v>1</v>
      </c>
      <c r="B11" s="153"/>
      <c r="C11" s="153">
        <v>2</v>
      </c>
      <c r="D11" s="153" t="s">
        <v>108</v>
      </c>
      <c r="E11" s="153">
        <v>4</v>
      </c>
      <c r="F11" s="153">
        <v>5</v>
      </c>
      <c r="G11" s="153">
        <v>6</v>
      </c>
      <c r="H11" s="153">
        <v>7</v>
      </c>
    </row>
    <row r="12" spans="1:10" s="154" customFormat="1" x14ac:dyDescent="0.25">
      <c r="A12" s="228" t="s">
        <v>109</v>
      </c>
      <c r="B12" s="229"/>
      <c r="C12" s="230"/>
      <c r="D12" s="230"/>
      <c r="E12" s="229"/>
      <c r="F12" s="123">
        <f>SUM(F13:F23)</f>
        <v>187.94571439878001</v>
      </c>
      <c r="G12" s="10"/>
      <c r="H12" s="123">
        <f>SUM(H13:H23)</f>
        <v>1883.42</v>
      </c>
      <c r="I12" s="112"/>
      <c r="J12" s="112"/>
    </row>
    <row r="13" spans="1:10" x14ac:dyDescent="0.25">
      <c r="A13" s="131">
        <v>1</v>
      </c>
      <c r="B13" s="124"/>
      <c r="C13" s="129" t="s">
        <v>110</v>
      </c>
      <c r="D13" s="130" t="s">
        <v>111</v>
      </c>
      <c r="E13" s="131" t="s">
        <v>112</v>
      </c>
      <c r="F13" s="155">
        <v>59.938452984676999</v>
      </c>
      <c r="G13" s="125">
        <v>8.5299999999999994</v>
      </c>
      <c r="H13" s="125">
        <f t="shared" ref="H13:H23" si="0">ROUND(F13*G13,2)</f>
        <v>511.28</v>
      </c>
    </row>
    <row r="14" spans="1:10" x14ac:dyDescent="0.25">
      <c r="A14" s="131">
        <v>2</v>
      </c>
      <c r="B14" s="124"/>
      <c r="C14" s="129" t="s">
        <v>113</v>
      </c>
      <c r="D14" s="130" t="s">
        <v>114</v>
      </c>
      <c r="E14" s="131" t="s">
        <v>112</v>
      </c>
      <c r="F14" s="155">
        <v>50.221042769733003</v>
      </c>
      <c r="G14" s="125">
        <v>9.6199999999999992</v>
      </c>
      <c r="H14" s="125">
        <f t="shared" si="0"/>
        <v>483.13</v>
      </c>
    </row>
    <row r="15" spans="1:10" x14ac:dyDescent="0.25">
      <c r="A15" s="131">
        <v>3</v>
      </c>
      <c r="B15" s="124"/>
      <c r="C15" s="129" t="s">
        <v>115</v>
      </c>
      <c r="D15" s="130" t="s">
        <v>116</v>
      </c>
      <c r="E15" s="131" t="s">
        <v>112</v>
      </c>
      <c r="F15" s="155">
        <v>35.642727278965999</v>
      </c>
      <c r="G15" s="125">
        <v>12.92</v>
      </c>
      <c r="H15" s="125">
        <f t="shared" si="0"/>
        <v>460.5</v>
      </c>
    </row>
    <row r="16" spans="1:10" x14ac:dyDescent="0.25">
      <c r="A16" s="131">
        <v>4</v>
      </c>
      <c r="B16" s="124"/>
      <c r="C16" s="129" t="s">
        <v>117</v>
      </c>
      <c r="D16" s="130" t="s">
        <v>118</v>
      </c>
      <c r="E16" s="131" t="s">
        <v>112</v>
      </c>
      <c r="F16" s="155">
        <v>28.704863080220001</v>
      </c>
      <c r="G16" s="125">
        <v>10.35</v>
      </c>
      <c r="H16" s="125">
        <f t="shared" si="0"/>
        <v>297.10000000000002</v>
      </c>
    </row>
    <row r="17" spans="1:10" x14ac:dyDescent="0.25">
      <c r="A17" s="131">
        <v>5</v>
      </c>
      <c r="B17" s="124"/>
      <c r="C17" s="129" t="s">
        <v>119</v>
      </c>
      <c r="D17" s="130" t="s">
        <v>120</v>
      </c>
      <c r="E17" s="131" t="s">
        <v>112</v>
      </c>
      <c r="F17" s="155">
        <v>4.3255309771880004</v>
      </c>
      <c r="G17" s="125">
        <v>11.09</v>
      </c>
      <c r="H17" s="125">
        <f t="shared" si="0"/>
        <v>47.97</v>
      </c>
    </row>
    <row r="18" spans="1:10" x14ac:dyDescent="0.25">
      <c r="A18" s="131">
        <v>6</v>
      </c>
      <c r="B18" s="124"/>
      <c r="C18" s="129" t="s">
        <v>121</v>
      </c>
      <c r="D18" s="130" t="s">
        <v>122</v>
      </c>
      <c r="E18" s="131" t="s">
        <v>112</v>
      </c>
      <c r="F18" s="155">
        <v>2.0593575761179999</v>
      </c>
      <c r="G18" s="125">
        <v>9.51</v>
      </c>
      <c r="H18" s="125">
        <f t="shared" si="0"/>
        <v>19.579999999999998</v>
      </c>
    </row>
    <row r="19" spans="1:10" x14ac:dyDescent="0.25">
      <c r="A19" s="131">
        <v>7</v>
      </c>
      <c r="B19" s="124"/>
      <c r="C19" s="129" t="s">
        <v>123</v>
      </c>
      <c r="D19" s="130" t="s">
        <v>124</v>
      </c>
      <c r="E19" s="131" t="s">
        <v>112</v>
      </c>
      <c r="F19" s="155">
        <v>1.8422742988634</v>
      </c>
      <c r="G19" s="125">
        <v>9.4</v>
      </c>
      <c r="H19" s="125">
        <f t="shared" si="0"/>
        <v>17.32</v>
      </c>
    </row>
    <row r="20" spans="1:10" x14ac:dyDescent="0.25">
      <c r="A20" s="131">
        <v>8</v>
      </c>
      <c r="B20" s="124"/>
      <c r="C20" s="129" t="s">
        <v>125</v>
      </c>
      <c r="D20" s="130" t="s">
        <v>126</v>
      </c>
      <c r="E20" s="131" t="s">
        <v>112</v>
      </c>
      <c r="F20" s="155">
        <v>1.9698840631954999</v>
      </c>
      <c r="G20" s="125">
        <v>8.74</v>
      </c>
      <c r="H20" s="125">
        <f t="shared" si="0"/>
        <v>17.22</v>
      </c>
    </row>
    <row r="21" spans="1:10" x14ac:dyDescent="0.25">
      <c r="A21" s="131">
        <v>9</v>
      </c>
      <c r="B21" s="124"/>
      <c r="C21" s="129" t="s">
        <v>127</v>
      </c>
      <c r="D21" s="130" t="s">
        <v>128</v>
      </c>
      <c r="E21" s="131" t="s">
        <v>112</v>
      </c>
      <c r="F21" s="155">
        <v>1.8129387208559999</v>
      </c>
      <c r="G21" s="125">
        <v>8.64</v>
      </c>
      <c r="H21" s="125">
        <f t="shared" si="0"/>
        <v>15.66</v>
      </c>
    </row>
    <row r="22" spans="1:10" x14ac:dyDescent="0.25">
      <c r="A22" s="131">
        <v>10</v>
      </c>
      <c r="B22" s="124"/>
      <c r="C22" s="129" t="s">
        <v>129</v>
      </c>
      <c r="D22" s="130" t="s">
        <v>130</v>
      </c>
      <c r="E22" s="131" t="s">
        <v>112</v>
      </c>
      <c r="F22" s="155">
        <v>0.82432974200734999</v>
      </c>
      <c r="G22" s="125">
        <v>9.92</v>
      </c>
      <c r="H22" s="125">
        <f t="shared" si="0"/>
        <v>8.18</v>
      </c>
    </row>
    <row r="23" spans="1:10" x14ac:dyDescent="0.25">
      <c r="A23" s="131">
        <v>11</v>
      </c>
      <c r="B23" s="124"/>
      <c r="C23" s="129" t="s">
        <v>131</v>
      </c>
      <c r="D23" s="130" t="s">
        <v>132</v>
      </c>
      <c r="E23" s="131" t="s">
        <v>112</v>
      </c>
      <c r="F23" s="155">
        <v>0.60431290695201001</v>
      </c>
      <c r="G23" s="125">
        <v>9.07</v>
      </c>
      <c r="H23" s="125">
        <f t="shared" si="0"/>
        <v>5.48</v>
      </c>
    </row>
    <row r="24" spans="1:10" x14ac:dyDescent="0.25">
      <c r="A24" s="227" t="s">
        <v>133</v>
      </c>
      <c r="B24" s="227"/>
      <c r="C24" s="227"/>
      <c r="D24" s="227"/>
      <c r="E24" s="227"/>
      <c r="F24" s="184"/>
      <c r="G24" s="126"/>
      <c r="H24" s="123">
        <f>H25</f>
        <v>632.17999999999995</v>
      </c>
    </row>
    <row r="25" spans="1:10" x14ac:dyDescent="0.25">
      <c r="A25" s="131">
        <v>12</v>
      </c>
      <c r="B25" s="128"/>
      <c r="C25" s="129">
        <v>2</v>
      </c>
      <c r="D25" s="130" t="s">
        <v>133</v>
      </c>
      <c r="E25" s="131" t="s">
        <v>134</v>
      </c>
      <c r="F25" s="155">
        <v>8.9142857142857004</v>
      </c>
      <c r="G25" s="125"/>
      <c r="H25" s="156">
        <v>632.17999999999995</v>
      </c>
    </row>
    <row r="26" spans="1:10" s="154" customFormat="1" x14ac:dyDescent="0.25">
      <c r="A26" s="228" t="s">
        <v>135</v>
      </c>
      <c r="B26" s="229"/>
      <c r="C26" s="230"/>
      <c r="D26" s="230"/>
      <c r="E26" s="229"/>
      <c r="F26" s="184"/>
      <c r="G26" s="126"/>
      <c r="H26" s="123">
        <f>SUM(H27:H38)</f>
        <v>801.73</v>
      </c>
      <c r="I26" s="112"/>
      <c r="J26" s="112"/>
    </row>
    <row r="27" spans="1:10" x14ac:dyDescent="0.25">
      <c r="A27" s="131">
        <v>13</v>
      </c>
      <c r="B27" s="128"/>
      <c r="C27" s="129" t="s">
        <v>136</v>
      </c>
      <c r="D27" s="130" t="s">
        <v>137</v>
      </c>
      <c r="E27" s="131" t="s">
        <v>138</v>
      </c>
      <c r="F27" s="131">
        <v>8.3256997114244999</v>
      </c>
      <c r="G27" s="157">
        <v>89.99</v>
      </c>
      <c r="H27" s="125">
        <f t="shared" ref="H27:H38" si="1">ROUND(F27*G27,2)</f>
        <v>749.23</v>
      </c>
    </row>
    <row r="28" spans="1:10" x14ac:dyDescent="0.25">
      <c r="A28" s="131">
        <v>14</v>
      </c>
      <c r="B28" s="128"/>
      <c r="C28" s="129" t="s">
        <v>139</v>
      </c>
      <c r="D28" s="130" t="s">
        <v>140</v>
      </c>
      <c r="E28" s="131" t="s">
        <v>138</v>
      </c>
      <c r="F28" s="131">
        <v>0.12142637174074999</v>
      </c>
      <c r="G28" s="157">
        <v>111.99</v>
      </c>
      <c r="H28" s="125">
        <f t="shared" si="1"/>
        <v>13.6</v>
      </c>
    </row>
    <row r="29" spans="1:10" s="154" customFormat="1" x14ac:dyDescent="0.25">
      <c r="A29" s="131">
        <v>15</v>
      </c>
      <c r="B29" s="128"/>
      <c r="C29" s="129" t="s">
        <v>141</v>
      </c>
      <c r="D29" s="130" t="s">
        <v>142</v>
      </c>
      <c r="E29" s="131" t="s">
        <v>138</v>
      </c>
      <c r="F29" s="131">
        <v>0.15857100739869001</v>
      </c>
      <c r="G29" s="157">
        <v>70</v>
      </c>
      <c r="H29" s="125">
        <f t="shared" si="1"/>
        <v>11.1</v>
      </c>
      <c r="I29" s="112"/>
      <c r="J29" s="112"/>
    </row>
    <row r="30" spans="1:10" s="154" customFormat="1" x14ac:dyDescent="0.25">
      <c r="A30" s="131">
        <v>16</v>
      </c>
      <c r="B30" s="128"/>
      <c r="C30" s="129" t="s">
        <v>143</v>
      </c>
      <c r="D30" s="130" t="s">
        <v>144</v>
      </c>
      <c r="E30" s="131" t="s">
        <v>138</v>
      </c>
      <c r="F30" s="131">
        <v>0.14285705426553</v>
      </c>
      <c r="G30" s="157">
        <v>65.709999999999994</v>
      </c>
      <c r="H30" s="125">
        <f t="shared" si="1"/>
        <v>9.39</v>
      </c>
      <c r="I30" s="112"/>
      <c r="J30" s="112"/>
    </row>
    <row r="31" spans="1:10" s="154" customFormat="1" x14ac:dyDescent="0.25">
      <c r="A31" s="131">
        <v>17</v>
      </c>
      <c r="B31" s="128"/>
      <c r="C31" s="129" t="s">
        <v>145</v>
      </c>
      <c r="D31" s="130" t="s">
        <v>146</v>
      </c>
      <c r="E31" s="131" t="s">
        <v>138</v>
      </c>
      <c r="F31" s="131">
        <v>0.15858024616177999</v>
      </c>
      <c r="G31" s="157">
        <v>56.24</v>
      </c>
      <c r="H31" s="125">
        <f t="shared" si="1"/>
        <v>8.92</v>
      </c>
      <c r="I31" s="112"/>
      <c r="J31" s="112"/>
    </row>
    <row r="32" spans="1:10" s="154" customFormat="1" ht="25.5" customHeight="1" x14ac:dyDescent="0.25">
      <c r="A32" s="131">
        <v>18</v>
      </c>
      <c r="B32" s="128"/>
      <c r="C32" s="129" t="s">
        <v>147</v>
      </c>
      <c r="D32" s="130" t="s">
        <v>148</v>
      </c>
      <c r="E32" s="131" t="s">
        <v>138</v>
      </c>
      <c r="F32" s="131">
        <v>0.53860066924843997</v>
      </c>
      <c r="G32" s="157">
        <v>8.1</v>
      </c>
      <c r="H32" s="125">
        <f t="shared" si="1"/>
        <v>4.3600000000000003</v>
      </c>
      <c r="I32" s="112"/>
      <c r="J32" s="112"/>
    </row>
    <row r="33" spans="1:10" s="154" customFormat="1" x14ac:dyDescent="0.25">
      <c r="A33" s="131">
        <v>19</v>
      </c>
      <c r="B33" s="128"/>
      <c r="C33" s="129" t="s">
        <v>149</v>
      </c>
      <c r="D33" s="130" t="s">
        <v>150</v>
      </c>
      <c r="E33" s="131" t="s">
        <v>138</v>
      </c>
      <c r="F33" s="131">
        <v>0.15856338310019</v>
      </c>
      <c r="G33" s="157">
        <v>16.920000000000002</v>
      </c>
      <c r="H33" s="125">
        <f t="shared" si="1"/>
        <v>2.68</v>
      </c>
      <c r="I33" s="112"/>
      <c r="J33" s="112"/>
    </row>
    <row r="34" spans="1:10" s="154" customFormat="1" ht="25.5" customHeight="1" x14ac:dyDescent="0.25">
      <c r="A34" s="131">
        <v>20</v>
      </c>
      <c r="B34" s="128"/>
      <c r="C34" s="129" t="s">
        <v>151</v>
      </c>
      <c r="D34" s="130" t="s">
        <v>152</v>
      </c>
      <c r="E34" s="131" t="s">
        <v>138</v>
      </c>
      <c r="F34" s="131">
        <v>0.16149381789858</v>
      </c>
      <c r="G34" s="157">
        <v>6.82</v>
      </c>
      <c r="H34" s="125">
        <f t="shared" si="1"/>
        <v>1.1000000000000001</v>
      </c>
      <c r="I34" s="112"/>
      <c r="J34" s="112"/>
    </row>
    <row r="35" spans="1:10" s="154" customFormat="1" x14ac:dyDescent="0.25">
      <c r="A35" s="131">
        <v>21</v>
      </c>
      <c r="B35" s="128"/>
      <c r="C35" s="129" t="s">
        <v>153</v>
      </c>
      <c r="D35" s="130" t="s">
        <v>154</v>
      </c>
      <c r="E35" s="131" t="s">
        <v>138</v>
      </c>
      <c r="F35" s="131">
        <v>5.7082593235457998E-3</v>
      </c>
      <c r="G35" s="157">
        <v>85.84</v>
      </c>
      <c r="H35" s="125">
        <f t="shared" si="1"/>
        <v>0.49</v>
      </c>
      <c r="I35" s="112"/>
      <c r="J35" s="112"/>
    </row>
    <row r="36" spans="1:10" s="154" customFormat="1" x14ac:dyDescent="0.25">
      <c r="A36" s="131">
        <v>22</v>
      </c>
      <c r="B36" s="128"/>
      <c r="C36" s="129" t="s">
        <v>155</v>
      </c>
      <c r="D36" s="130" t="s">
        <v>156</v>
      </c>
      <c r="E36" s="131" t="s">
        <v>138</v>
      </c>
      <c r="F36" s="131">
        <v>0.15857050135278</v>
      </c>
      <c r="G36" s="157">
        <v>2.36</v>
      </c>
      <c r="H36" s="125">
        <f t="shared" si="1"/>
        <v>0.37</v>
      </c>
      <c r="I36" s="112"/>
      <c r="J36" s="112"/>
    </row>
    <row r="37" spans="1:10" s="154" customFormat="1" ht="25.5" customHeight="1" x14ac:dyDescent="0.25">
      <c r="A37" s="131">
        <v>23</v>
      </c>
      <c r="B37" s="128"/>
      <c r="C37" s="129" t="s">
        <v>157</v>
      </c>
      <c r="D37" s="130" t="s">
        <v>158</v>
      </c>
      <c r="E37" s="131" t="s">
        <v>138</v>
      </c>
      <c r="F37" s="131">
        <v>0.20758289324198001</v>
      </c>
      <c r="G37" s="157">
        <v>1.7</v>
      </c>
      <c r="H37" s="125">
        <f t="shared" si="1"/>
        <v>0.35</v>
      </c>
      <c r="I37" s="112"/>
      <c r="J37" s="112"/>
    </row>
    <row r="38" spans="1:10" s="154" customFormat="1" x14ac:dyDescent="0.25">
      <c r="A38" s="131">
        <v>24</v>
      </c>
      <c r="B38" s="128"/>
      <c r="C38" s="129" t="s">
        <v>159</v>
      </c>
      <c r="D38" s="130" t="s">
        <v>160</v>
      </c>
      <c r="E38" s="131" t="s">
        <v>138</v>
      </c>
      <c r="F38" s="131">
        <v>0.15561296958359999</v>
      </c>
      <c r="G38" s="157">
        <v>0.9</v>
      </c>
      <c r="H38" s="125">
        <f t="shared" si="1"/>
        <v>0.14000000000000001</v>
      </c>
      <c r="I38" s="112"/>
      <c r="J38" s="112"/>
    </row>
    <row r="39" spans="1:10" ht="15" customHeight="1" x14ac:dyDescent="0.25">
      <c r="A39" s="228" t="s">
        <v>43</v>
      </c>
      <c r="B39" s="229"/>
      <c r="C39" s="230"/>
      <c r="D39" s="230"/>
      <c r="E39" s="229"/>
      <c r="F39" s="10"/>
      <c r="G39" s="10"/>
      <c r="H39" s="123">
        <f>SUM(H40:H53)</f>
        <v>152276.57999999999</v>
      </c>
      <c r="I39" s="112"/>
      <c r="J39" s="112"/>
    </row>
    <row r="40" spans="1:10" ht="25.5" customHeight="1" x14ac:dyDescent="0.25">
      <c r="A40" s="158">
        <v>25</v>
      </c>
      <c r="B40" s="128"/>
      <c r="C40" s="129" t="s">
        <v>161</v>
      </c>
      <c r="D40" s="130" t="s">
        <v>162</v>
      </c>
      <c r="E40" s="131" t="s">
        <v>163</v>
      </c>
      <c r="F40" s="131">
        <v>0.14285704638357999</v>
      </c>
      <c r="G40" s="125">
        <v>788461.61</v>
      </c>
      <c r="H40" s="125">
        <f t="shared" ref="H40:H53" si="2">ROUND(F40*G40,2)</f>
        <v>112637.3</v>
      </c>
    </row>
    <row r="41" spans="1:10" ht="102" customHeight="1" x14ac:dyDescent="0.25">
      <c r="A41" s="158">
        <v>26</v>
      </c>
      <c r="B41" s="128"/>
      <c r="C41" s="129" t="s">
        <v>161</v>
      </c>
      <c r="D41" s="130" t="s">
        <v>164</v>
      </c>
      <c r="E41" s="131" t="s">
        <v>163</v>
      </c>
      <c r="F41" s="131">
        <v>0.14285704609076</v>
      </c>
      <c r="G41" s="125">
        <v>273841.59999999998</v>
      </c>
      <c r="H41" s="125">
        <f t="shared" si="2"/>
        <v>39120.199999999997</v>
      </c>
    </row>
    <row r="42" spans="1:10" x14ac:dyDescent="0.25">
      <c r="A42" s="158">
        <v>27</v>
      </c>
      <c r="B42" s="128"/>
      <c r="C42" s="129" t="s">
        <v>161</v>
      </c>
      <c r="D42" s="130" t="s">
        <v>165</v>
      </c>
      <c r="E42" s="131" t="s">
        <v>166</v>
      </c>
      <c r="F42" s="131">
        <v>1.5714231762552999</v>
      </c>
      <c r="G42" s="125">
        <v>196.91</v>
      </c>
      <c r="H42" s="125">
        <f t="shared" si="2"/>
        <v>309.43</v>
      </c>
    </row>
    <row r="43" spans="1:10" ht="25.5" customHeight="1" x14ac:dyDescent="0.25">
      <c r="A43" s="158">
        <v>28</v>
      </c>
      <c r="B43" s="128"/>
      <c r="C43" s="129" t="s">
        <v>167</v>
      </c>
      <c r="D43" s="130" t="s">
        <v>168</v>
      </c>
      <c r="E43" s="131" t="s">
        <v>166</v>
      </c>
      <c r="F43" s="131">
        <v>0.57142613029575995</v>
      </c>
      <c r="G43" s="125">
        <v>204.29</v>
      </c>
      <c r="H43" s="125">
        <f t="shared" si="2"/>
        <v>116.74</v>
      </c>
    </row>
    <row r="44" spans="1:10" x14ac:dyDescent="0.25">
      <c r="A44" s="158">
        <v>29</v>
      </c>
      <c r="B44" s="128"/>
      <c r="C44" s="129" t="s">
        <v>161</v>
      </c>
      <c r="D44" s="130" t="s">
        <v>169</v>
      </c>
      <c r="E44" s="131" t="s">
        <v>166</v>
      </c>
      <c r="F44" s="131">
        <v>3.5713333962866001</v>
      </c>
      <c r="G44" s="125">
        <v>9.84</v>
      </c>
      <c r="H44" s="125">
        <f t="shared" si="2"/>
        <v>35.14</v>
      </c>
    </row>
    <row r="45" spans="1:10" ht="25.5" customHeight="1" x14ac:dyDescent="0.25">
      <c r="A45" s="158">
        <v>30</v>
      </c>
      <c r="B45" s="128"/>
      <c r="C45" s="129" t="s">
        <v>170</v>
      </c>
      <c r="D45" s="130" t="s">
        <v>171</v>
      </c>
      <c r="E45" s="131" t="s">
        <v>172</v>
      </c>
      <c r="F45" s="131">
        <v>4.9999966248434002E-2</v>
      </c>
      <c r="G45" s="125">
        <v>671</v>
      </c>
      <c r="H45" s="125">
        <f t="shared" si="2"/>
        <v>33.549999999999997</v>
      </c>
    </row>
    <row r="46" spans="1:10" ht="22.5" customHeight="1" x14ac:dyDescent="0.25">
      <c r="A46" s="158">
        <v>31</v>
      </c>
      <c r="B46" s="128"/>
      <c r="C46" s="129" t="s">
        <v>173</v>
      </c>
      <c r="D46" s="130" t="s">
        <v>174</v>
      </c>
      <c r="E46" s="131" t="s">
        <v>166</v>
      </c>
      <c r="F46" s="131">
        <v>3.5720540224920998</v>
      </c>
      <c r="G46" s="125">
        <v>3.09</v>
      </c>
      <c r="H46" s="125">
        <f t="shared" si="2"/>
        <v>11.04</v>
      </c>
    </row>
    <row r="47" spans="1:10" x14ac:dyDescent="0.25">
      <c r="A47" s="158">
        <v>32</v>
      </c>
      <c r="B47" s="128"/>
      <c r="C47" s="129" t="s">
        <v>161</v>
      </c>
      <c r="D47" s="130" t="s">
        <v>175</v>
      </c>
      <c r="E47" s="131" t="s">
        <v>166</v>
      </c>
      <c r="F47" s="131">
        <v>2.14260718384</v>
      </c>
      <c r="G47" s="125">
        <v>3.03</v>
      </c>
      <c r="H47" s="125">
        <f t="shared" si="2"/>
        <v>6.49</v>
      </c>
    </row>
    <row r="48" spans="1:10" ht="25.5" customHeight="1" x14ac:dyDescent="0.25">
      <c r="A48" s="158">
        <v>33</v>
      </c>
      <c r="B48" s="128"/>
      <c r="C48" s="129" t="s">
        <v>161</v>
      </c>
      <c r="D48" s="130" t="s">
        <v>176</v>
      </c>
      <c r="E48" s="131" t="s">
        <v>166</v>
      </c>
      <c r="F48" s="131">
        <v>0.57147196343031004</v>
      </c>
      <c r="G48" s="125">
        <v>7.09</v>
      </c>
      <c r="H48" s="125">
        <f t="shared" si="2"/>
        <v>4.05</v>
      </c>
    </row>
    <row r="49" spans="1:8" ht="25.5" customHeight="1" x14ac:dyDescent="0.25">
      <c r="A49" s="158">
        <v>34</v>
      </c>
      <c r="B49" s="128"/>
      <c r="C49" s="129" t="s">
        <v>173</v>
      </c>
      <c r="D49" s="130" t="s">
        <v>174</v>
      </c>
      <c r="E49" s="131" t="s">
        <v>166</v>
      </c>
      <c r="F49" s="131">
        <v>0.28576432179937</v>
      </c>
      <c r="G49" s="125">
        <v>3.09</v>
      </c>
      <c r="H49" s="125">
        <f t="shared" si="2"/>
        <v>0.88</v>
      </c>
    </row>
    <row r="50" spans="1:8" x14ac:dyDescent="0.25">
      <c r="A50" s="158">
        <v>35</v>
      </c>
      <c r="B50" s="128"/>
      <c r="C50" s="129" t="s">
        <v>177</v>
      </c>
      <c r="D50" s="130" t="s">
        <v>178</v>
      </c>
      <c r="E50" s="131" t="s">
        <v>179</v>
      </c>
      <c r="F50" s="131">
        <v>5.7142818569639003E-4</v>
      </c>
      <c r="G50" s="125">
        <v>1235</v>
      </c>
      <c r="H50" s="125">
        <f t="shared" si="2"/>
        <v>0.71</v>
      </c>
    </row>
    <row r="51" spans="1:8" x14ac:dyDescent="0.25">
      <c r="A51" s="158">
        <v>36</v>
      </c>
      <c r="B51" s="128"/>
      <c r="C51" s="129" t="s">
        <v>177</v>
      </c>
      <c r="D51" s="130" t="s">
        <v>178</v>
      </c>
      <c r="E51" s="131" t="s">
        <v>179</v>
      </c>
      <c r="F51" s="131">
        <v>2.8571409284818997E-4</v>
      </c>
      <c r="G51" s="125">
        <v>1235</v>
      </c>
      <c r="H51" s="125">
        <f t="shared" si="2"/>
        <v>0.35</v>
      </c>
    </row>
    <row r="52" spans="1:8" x14ac:dyDescent="0.25">
      <c r="A52" s="158">
        <v>37</v>
      </c>
      <c r="B52" s="128"/>
      <c r="C52" s="129" t="s">
        <v>177</v>
      </c>
      <c r="D52" s="130" t="s">
        <v>178</v>
      </c>
      <c r="E52" s="131" t="s">
        <v>179</v>
      </c>
      <c r="F52" s="131">
        <v>2.8571409284818997E-4</v>
      </c>
      <c r="G52" s="125">
        <v>1235</v>
      </c>
      <c r="H52" s="125">
        <f t="shared" si="2"/>
        <v>0.35</v>
      </c>
    </row>
    <row r="53" spans="1:8" x14ac:dyDescent="0.25">
      <c r="A53" s="158">
        <v>38</v>
      </c>
      <c r="B53" s="128"/>
      <c r="C53" s="129" t="s">
        <v>177</v>
      </c>
      <c r="D53" s="130" t="s">
        <v>178</v>
      </c>
      <c r="E53" s="131" t="s">
        <v>179</v>
      </c>
      <c r="F53" s="131">
        <v>2.8571409284818997E-4</v>
      </c>
      <c r="G53" s="125">
        <v>1235</v>
      </c>
      <c r="H53" s="125">
        <f t="shared" si="2"/>
        <v>0.35</v>
      </c>
    </row>
    <row r="54" spans="1:8" x14ac:dyDescent="0.25">
      <c r="A54" s="228" t="s">
        <v>180</v>
      </c>
      <c r="B54" s="229"/>
      <c r="C54" s="230"/>
      <c r="D54" s="230"/>
      <c r="E54" s="229"/>
      <c r="F54" s="184"/>
      <c r="G54" s="126"/>
      <c r="H54" s="123">
        <f>SUM(H55:H120)</f>
        <v>930.7</v>
      </c>
    </row>
    <row r="55" spans="1:8" x14ac:dyDescent="0.25">
      <c r="A55" s="158">
        <v>39</v>
      </c>
      <c r="B55" s="128"/>
      <c r="C55" s="129" t="s">
        <v>181</v>
      </c>
      <c r="D55" s="130" t="s">
        <v>182</v>
      </c>
      <c r="E55" s="131" t="s">
        <v>183</v>
      </c>
      <c r="F55" s="131">
        <v>13.697166849612</v>
      </c>
      <c r="G55" s="125">
        <v>30.6</v>
      </c>
      <c r="H55" s="125">
        <f t="shared" ref="H55:H86" si="3">ROUND(F55*G55,2)</f>
        <v>419.13</v>
      </c>
    </row>
    <row r="56" spans="1:8" x14ac:dyDescent="0.25">
      <c r="A56" s="158">
        <v>40</v>
      </c>
      <c r="B56" s="128"/>
      <c r="C56" s="129" t="s">
        <v>184</v>
      </c>
      <c r="D56" s="130" t="s">
        <v>185</v>
      </c>
      <c r="E56" s="131" t="s">
        <v>186</v>
      </c>
      <c r="F56" s="131">
        <v>1.062851101332E-2</v>
      </c>
      <c r="G56" s="125">
        <v>5763</v>
      </c>
      <c r="H56" s="125">
        <f t="shared" si="3"/>
        <v>61.25</v>
      </c>
    </row>
    <row r="57" spans="1:8" x14ac:dyDescent="0.25">
      <c r="A57" s="158">
        <v>41</v>
      </c>
      <c r="B57" s="128"/>
      <c r="C57" s="129" t="s">
        <v>187</v>
      </c>
      <c r="D57" s="130" t="s">
        <v>188</v>
      </c>
      <c r="E57" s="131" t="s">
        <v>172</v>
      </c>
      <c r="F57" s="131">
        <v>7.2856252943490005E-2</v>
      </c>
      <c r="G57" s="125">
        <v>580</v>
      </c>
      <c r="H57" s="125">
        <f t="shared" si="3"/>
        <v>42.26</v>
      </c>
    </row>
    <row r="58" spans="1:8" ht="25.5" customHeight="1" x14ac:dyDescent="0.25">
      <c r="A58" s="158">
        <v>42</v>
      </c>
      <c r="B58" s="128"/>
      <c r="C58" s="129" t="s">
        <v>189</v>
      </c>
      <c r="D58" s="130" t="s">
        <v>190</v>
      </c>
      <c r="E58" s="131" t="s">
        <v>191</v>
      </c>
      <c r="F58" s="131">
        <v>36.663837878327001</v>
      </c>
      <c r="G58" s="125">
        <v>1</v>
      </c>
      <c r="H58" s="125">
        <f t="shared" si="3"/>
        <v>36.659999999999997</v>
      </c>
    </row>
    <row r="59" spans="1:8" x14ac:dyDescent="0.25">
      <c r="A59" s="158">
        <v>43</v>
      </c>
      <c r="B59" s="128"/>
      <c r="C59" s="129" t="s">
        <v>192</v>
      </c>
      <c r="D59" s="130" t="s">
        <v>193</v>
      </c>
      <c r="E59" s="131" t="s">
        <v>186</v>
      </c>
      <c r="F59" s="131">
        <v>4.2856619378524004E-3</v>
      </c>
      <c r="G59" s="125">
        <v>6800</v>
      </c>
      <c r="H59" s="125">
        <f t="shared" si="3"/>
        <v>29.14</v>
      </c>
    </row>
    <row r="60" spans="1:8" ht="25.5" customHeight="1" x14ac:dyDescent="0.25">
      <c r="A60" s="158">
        <v>44</v>
      </c>
      <c r="B60" s="128"/>
      <c r="C60" s="129" t="s">
        <v>194</v>
      </c>
      <c r="D60" s="130" t="s">
        <v>195</v>
      </c>
      <c r="E60" s="131" t="s">
        <v>186</v>
      </c>
      <c r="F60" s="131">
        <v>4.8569809109338001E-3</v>
      </c>
      <c r="G60" s="125">
        <v>5941.89</v>
      </c>
      <c r="H60" s="125">
        <f t="shared" si="3"/>
        <v>28.86</v>
      </c>
    </row>
    <row r="61" spans="1:8" ht="25.5" customHeight="1" x14ac:dyDescent="0.25">
      <c r="A61" s="158">
        <v>45</v>
      </c>
      <c r="B61" s="128"/>
      <c r="C61" s="129" t="s">
        <v>196</v>
      </c>
      <c r="D61" s="130" t="s">
        <v>197</v>
      </c>
      <c r="E61" s="131" t="s">
        <v>183</v>
      </c>
      <c r="F61" s="131">
        <v>1.0843125642561</v>
      </c>
      <c r="G61" s="125">
        <v>23.79</v>
      </c>
      <c r="H61" s="125">
        <f t="shared" si="3"/>
        <v>25.8</v>
      </c>
    </row>
    <row r="62" spans="1:8" ht="51" customHeight="1" x14ac:dyDescent="0.25">
      <c r="A62" s="158">
        <v>46</v>
      </c>
      <c r="B62" s="128"/>
      <c r="C62" s="129" t="s">
        <v>198</v>
      </c>
      <c r="D62" s="130" t="s">
        <v>199</v>
      </c>
      <c r="E62" s="131" t="s">
        <v>179</v>
      </c>
      <c r="F62" s="131">
        <v>8.5714195084660005E-3</v>
      </c>
      <c r="G62" s="125">
        <v>3005.8</v>
      </c>
      <c r="H62" s="125">
        <f t="shared" si="3"/>
        <v>25.76</v>
      </c>
    </row>
    <row r="63" spans="1:8" x14ac:dyDescent="0.25">
      <c r="A63" s="158">
        <v>47</v>
      </c>
      <c r="B63" s="128"/>
      <c r="C63" s="129" t="s">
        <v>200</v>
      </c>
      <c r="D63" s="130" t="s">
        <v>201</v>
      </c>
      <c r="E63" s="131" t="s">
        <v>202</v>
      </c>
      <c r="F63" s="131">
        <v>0.12645928483714</v>
      </c>
      <c r="G63" s="125">
        <v>155</v>
      </c>
      <c r="H63" s="125">
        <f t="shared" si="3"/>
        <v>19.600000000000001</v>
      </c>
    </row>
    <row r="64" spans="1:8" x14ac:dyDescent="0.25">
      <c r="A64" s="158">
        <v>48</v>
      </c>
      <c r="B64" s="128"/>
      <c r="C64" s="129" t="s">
        <v>203</v>
      </c>
      <c r="D64" s="130" t="s">
        <v>204</v>
      </c>
      <c r="E64" s="131" t="s">
        <v>186</v>
      </c>
      <c r="F64" s="131">
        <v>2.5713971627113998E-4</v>
      </c>
      <c r="G64" s="125">
        <v>75000</v>
      </c>
      <c r="H64" s="125">
        <f t="shared" si="3"/>
        <v>19.29</v>
      </c>
    </row>
    <row r="65" spans="1:8" ht="25.5" customHeight="1" x14ac:dyDescent="0.25">
      <c r="A65" s="158">
        <v>49</v>
      </c>
      <c r="B65" s="128"/>
      <c r="C65" s="129" t="s">
        <v>205</v>
      </c>
      <c r="D65" s="130" t="s">
        <v>206</v>
      </c>
      <c r="E65" s="131" t="s">
        <v>183</v>
      </c>
      <c r="F65" s="131">
        <v>1.0857140739161</v>
      </c>
      <c r="G65" s="125">
        <v>15.13</v>
      </c>
      <c r="H65" s="125">
        <f t="shared" si="3"/>
        <v>16.43</v>
      </c>
    </row>
    <row r="66" spans="1:8" ht="25.5" customHeight="1" x14ac:dyDescent="0.25">
      <c r="A66" s="158">
        <v>50</v>
      </c>
      <c r="B66" s="128"/>
      <c r="C66" s="129" t="s">
        <v>207</v>
      </c>
      <c r="D66" s="130" t="s">
        <v>208</v>
      </c>
      <c r="E66" s="131" t="s">
        <v>186</v>
      </c>
      <c r="F66" s="131">
        <v>1.2856985813557E-3</v>
      </c>
      <c r="G66" s="125">
        <v>11500</v>
      </c>
      <c r="H66" s="125">
        <f t="shared" si="3"/>
        <v>14.79</v>
      </c>
    </row>
    <row r="67" spans="1:8" x14ac:dyDescent="0.25">
      <c r="A67" s="158">
        <v>51</v>
      </c>
      <c r="B67" s="128"/>
      <c r="C67" s="129" t="s">
        <v>209</v>
      </c>
      <c r="D67" s="130" t="s">
        <v>210</v>
      </c>
      <c r="E67" s="131" t="s">
        <v>172</v>
      </c>
      <c r="F67" s="131">
        <v>0.45998380224685997</v>
      </c>
      <c r="G67" s="125">
        <v>30.74</v>
      </c>
      <c r="H67" s="125">
        <f t="shared" si="3"/>
        <v>14.14</v>
      </c>
    </row>
    <row r="68" spans="1:8" ht="25.5" customHeight="1" x14ac:dyDescent="0.25">
      <c r="A68" s="158">
        <v>52</v>
      </c>
      <c r="B68" s="128"/>
      <c r="C68" s="129" t="s">
        <v>211</v>
      </c>
      <c r="D68" s="130" t="s">
        <v>212</v>
      </c>
      <c r="E68" s="131" t="s">
        <v>213</v>
      </c>
      <c r="F68" s="131">
        <v>2.5714200420554E-3</v>
      </c>
      <c r="G68" s="125">
        <v>4949.3999999999996</v>
      </c>
      <c r="H68" s="125">
        <f t="shared" si="3"/>
        <v>12.73</v>
      </c>
    </row>
    <row r="69" spans="1:8" ht="25.5" customHeight="1" x14ac:dyDescent="0.25">
      <c r="A69" s="158">
        <v>53</v>
      </c>
      <c r="B69" s="128"/>
      <c r="C69" s="129" t="s">
        <v>214</v>
      </c>
      <c r="D69" s="130" t="s">
        <v>215</v>
      </c>
      <c r="E69" s="131" t="s">
        <v>186</v>
      </c>
      <c r="F69" s="131">
        <v>4.7143880505451998E-4</v>
      </c>
      <c r="G69" s="125">
        <v>26932.42</v>
      </c>
      <c r="H69" s="125">
        <f t="shared" si="3"/>
        <v>12.7</v>
      </c>
    </row>
    <row r="70" spans="1:8" ht="25.5" customHeight="1" x14ac:dyDescent="0.25">
      <c r="A70" s="158">
        <v>54</v>
      </c>
      <c r="B70" s="128"/>
      <c r="C70" s="129" t="s">
        <v>216</v>
      </c>
      <c r="D70" s="130" t="s">
        <v>217</v>
      </c>
      <c r="E70" s="131" t="s">
        <v>202</v>
      </c>
      <c r="F70" s="131">
        <v>0.18385435395745001</v>
      </c>
      <c r="G70" s="125">
        <v>65.75</v>
      </c>
      <c r="H70" s="125">
        <f t="shared" si="3"/>
        <v>12.09</v>
      </c>
    </row>
    <row r="71" spans="1:8" ht="25.5" customHeight="1" x14ac:dyDescent="0.25">
      <c r="A71" s="158">
        <v>55</v>
      </c>
      <c r="B71" s="128"/>
      <c r="C71" s="129" t="s">
        <v>218</v>
      </c>
      <c r="D71" s="130" t="s">
        <v>219</v>
      </c>
      <c r="E71" s="131" t="s">
        <v>186</v>
      </c>
      <c r="F71" s="131">
        <v>1.7142813342458001E-3</v>
      </c>
      <c r="G71" s="125">
        <v>5891.61</v>
      </c>
      <c r="H71" s="125">
        <f t="shared" si="3"/>
        <v>10.1</v>
      </c>
    </row>
    <row r="72" spans="1:8" ht="38.25" customHeight="1" x14ac:dyDescent="0.25">
      <c r="A72" s="158">
        <v>56</v>
      </c>
      <c r="B72" s="128"/>
      <c r="C72" s="129" t="s">
        <v>220</v>
      </c>
      <c r="D72" s="130" t="s">
        <v>221</v>
      </c>
      <c r="E72" s="131" t="s">
        <v>186</v>
      </c>
      <c r="F72" s="131">
        <v>1.714241117714E-3</v>
      </c>
      <c r="G72" s="125">
        <v>5817.58</v>
      </c>
      <c r="H72" s="125">
        <f t="shared" si="3"/>
        <v>9.9700000000000006</v>
      </c>
    </row>
    <row r="73" spans="1:8" ht="25.5" customHeight="1" x14ac:dyDescent="0.25">
      <c r="A73" s="158">
        <v>57</v>
      </c>
      <c r="B73" s="128"/>
      <c r="C73" s="129" t="s">
        <v>222</v>
      </c>
      <c r="D73" s="130" t="s">
        <v>223</v>
      </c>
      <c r="E73" s="131" t="s">
        <v>202</v>
      </c>
      <c r="F73" s="131">
        <v>0.14585779124112999</v>
      </c>
      <c r="G73" s="125">
        <v>68.05</v>
      </c>
      <c r="H73" s="125">
        <f t="shared" si="3"/>
        <v>9.93</v>
      </c>
    </row>
    <row r="74" spans="1:8" x14ac:dyDescent="0.25">
      <c r="A74" s="158">
        <v>58</v>
      </c>
      <c r="B74" s="128"/>
      <c r="C74" s="129" t="s">
        <v>224</v>
      </c>
      <c r="D74" s="130" t="s">
        <v>225</v>
      </c>
      <c r="E74" s="131" t="s">
        <v>186</v>
      </c>
      <c r="F74" s="131">
        <v>3.1427742884439003E-4</v>
      </c>
      <c r="G74" s="125">
        <v>28300.400000000001</v>
      </c>
      <c r="H74" s="125">
        <f t="shared" si="3"/>
        <v>8.89</v>
      </c>
    </row>
    <row r="75" spans="1:8" x14ac:dyDescent="0.25">
      <c r="A75" s="158">
        <v>59</v>
      </c>
      <c r="B75" s="128"/>
      <c r="C75" s="129" t="s">
        <v>226</v>
      </c>
      <c r="D75" s="130" t="s">
        <v>227</v>
      </c>
      <c r="E75" s="131" t="s">
        <v>172</v>
      </c>
      <c r="F75" s="131">
        <v>9.8570224570605006E-2</v>
      </c>
      <c r="G75" s="125">
        <v>83</v>
      </c>
      <c r="H75" s="125">
        <f t="shared" si="3"/>
        <v>8.18</v>
      </c>
    </row>
    <row r="76" spans="1:8" x14ac:dyDescent="0.25">
      <c r="A76" s="158">
        <v>60</v>
      </c>
      <c r="B76" s="128"/>
      <c r="C76" s="129" t="s">
        <v>228</v>
      </c>
      <c r="D76" s="130" t="s">
        <v>229</v>
      </c>
      <c r="E76" s="131" t="s">
        <v>202</v>
      </c>
      <c r="F76" s="131">
        <v>0.24285720477403999</v>
      </c>
      <c r="G76" s="125">
        <v>32.6</v>
      </c>
      <c r="H76" s="125">
        <f t="shared" si="3"/>
        <v>7.92</v>
      </c>
    </row>
    <row r="77" spans="1:8" x14ac:dyDescent="0.25">
      <c r="A77" s="158">
        <v>61</v>
      </c>
      <c r="B77" s="128"/>
      <c r="C77" s="129" t="s">
        <v>230</v>
      </c>
      <c r="D77" s="130" t="s">
        <v>231</v>
      </c>
      <c r="E77" s="131" t="s">
        <v>186</v>
      </c>
      <c r="F77" s="131">
        <v>6.2854076530207998E-4</v>
      </c>
      <c r="G77" s="125">
        <v>12430</v>
      </c>
      <c r="H77" s="125">
        <f t="shared" si="3"/>
        <v>7.81</v>
      </c>
    </row>
    <row r="78" spans="1:8" ht="38.25" customHeight="1" x14ac:dyDescent="0.25">
      <c r="A78" s="158">
        <v>62</v>
      </c>
      <c r="B78" s="128"/>
      <c r="C78" s="129" t="s">
        <v>232</v>
      </c>
      <c r="D78" s="130" t="s">
        <v>233</v>
      </c>
      <c r="E78" s="131" t="s">
        <v>202</v>
      </c>
      <c r="F78" s="131">
        <v>8.3563466112136997E-2</v>
      </c>
      <c r="G78" s="125">
        <v>91.29</v>
      </c>
      <c r="H78" s="125">
        <f t="shared" si="3"/>
        <v>7.63</v>
      </c>
    </row>
    <row r="79" spans="1:8" x14ac:dyDescent="0.25">
      <c r="A79" s="158">
        <v>63</v>
      </c>
      <c r="B79" s="128"/>
      <c r="C79" s="129" t="s">
        <v>234</v>
      </c>
      <c r="D79" s="130" t="s">
        <v>235</v>
      </c>
      <c r="E79" s="131" t="s">
        <v>186</v>
      </c>
      <c r="F79" s="131">
        <v>6.5714803231891E-4</v>
      </c>
      <c r="G79" s="125">
        <v>10315.01</v>
      </c>
      <c r="H79" s="125">
        <f t="shared" si="3"/>
        <v>6.78</v>
      </c>
    </row>
    <row r="80" spans="1:8" x14ac:dyDescent="0.25">
      <c r="A80" s="158">
        <v>64</v>
      </c>
      <c r="B80" s="128"/>
      <c r="C80" s="129" t="s">
        <v>236</v>
      </c>
      <c r="D80" s="130" t="s">
        <v>237</v>
      </c>
      <c r="E80" s="131" t="s">
        <v>238</v>
      </c>
      <c r="F80" s="131">
        <v>0.12856985813557001</v>
      </c>
      <c r="G80" s="125">
        <v>39</v>
      </c>
      <c r="H80" s="125">
        <f t="shared" si="3"/>
        <v>5.01</v>
      </c>
    </row>
    <row r="81" spans="1:8" x14ac:dyDescent="0.25">
      <c r="A81" s="158">
        <v>65</v>
      </c>
      <c r="B81" s="128"/>
      <c r="C81" s="129" t="s">
        <v>239</v>
      </c>
      <c r="D81" s="130" t="s">
        <v>240</v>
      </c>
      <c r="E81" s="131" t="s">
        <v>202</v>
      </c>
      <c r="F81" s="131">
        <v>0.1014129581797</v>
      </c>
      <c r="G81" s="125">
        <v>47.57</v>
      </c>
      <c r="H81" s="125">
        <f t="shared" si="3"/>
        <v>4.82</v>
      </c>
    </row>
    <row r="82" spans="1:8" x14ac:dyDescent="0.25">
      <c r="A82" s="158">
        <v>66</v>
      </c>
      <c r="B82" s="128"/>
      <c r="C82" s="129" t="s">
        <v>241</v>
      </c>
      <c r="D82" s="130" t="s">
        <v>242</v>
      </c>
      <c r="E82" s="131" t="s">
        <v>202</v>
      </c>
      <c r="F82" s="131">
        <v>0.12798018234583</v>
      </c>
      <c r="G82" s="125">
        <v>35.630000000000003</v>
      </c>
      <c r="H82" s="125">
        <f t="shared" si="3"/>
        <v>4.5599999999999996</v>
      </c>
    </row>
    <row r="83" spans="1:8" x14ac:dyDescent="0.25">
      <c r="A83" s="158">
        <v>67</v>
      </c>
      <c r="B83" s="128"/>
      <c r="C83" s="129" t="s">
        <v>243</v>
      </c>
      <c r="D83" s="130" t="s">
        <v>244</v>
      </c>
      <c r="E83" s="131" t="s">
        <v>166</v>
      </c>
      <c r="F83" s="131">
        <v>6.7151748872998004E-2</v>
      </c>
      <c r="G83" s="125">
        <v>66.819999999999993</v>
      </c>
      <c r="H83" s="125">
        <f t="shared" si="3"/>
        <v>4.49</v>
      </c>
    </row>
    <row r="84" spans="1:8" ht="51" customHeight="1" x14ac:dyDescent="0.25">
      <c r="A84" s="158">
        <v>68</v>
      </c>
      <c r="B84" s="128"/>
      <c r="C84" s="129" t="s">
        <v>245</v>
      </c>
      <c r="D84" s="130" t="s">
        <v>246</v>
      </c>
      <c r="E84" s="131" t="s">
        <v>179</v>
      </c>
      <c r="F84" s="131">
        <v>4.0002262023338E-4</v>
      </c>
      <c r="G84" s="125">
        <v>10534.99</v>
      </c>
      <c r="H84" s="125">
        <f t="shared" si="3"/>
        <v>4.21</v>
      </c>
    </row>
    <row r="85" spans="1:8" x14ac:dyDescent="0.25">
      <c r="A85" s="158">
        <v>69</v>
      </c>
      <c r="B85" s="128"/>
      <c r="C85" s="129" t="s">
        <v>247</v>
      </c>
      <c r="D85" s="130" t="s">
        <v>248</v>
      </c>
      <c r="E85" s="131" t="s">
        <v>238</v>
      </c>
      <c r="F85" s="131">
        <v>0.14285342274144</v>
      </c>
      <c r="G85" s="125">
        <v>29.4</v>
      </c>
      <c r="H85" s="125">
        <f t="shared" si="3"/>
        <v>4.2</v>
      </c>
    </row>
    <row r="86" spans="1:8" x14ac:dyDescent="0.25">
      <c r="A86" s="158">
        <v>70</v>
      </c>
      <c r="B86" s="128"/>
      <c r="C86" s="129" t="s">
        <v>249</v>
      </c>
      <c r="D86" s="130" t="s">
        <v>250</v>
      </c>
      <c r="E86" s="131" t="s">
        <v>202</v>
      </c>
      <c r="F86" s="131">
        <v>0.45592312293996001</v>
      </c>
      <c r="G86" s="125">
        <v>9.0399999999999991</v>
      </c>
      <c r="H86" s="125">
        <f t="shared" si="3"/>
        <v>4.12</v>
      </c>
    </row>
    <row r="87" spans="1:8" x14ac:dyDescent="0.25">
      <c r="A87" s="158">
        <v>71</v>
      </c>
      <c r="B87" s="128"/>
      <c r="C87" s="129" t="s">
        <v>251</v>
      </c>
      <c r="D87" s="130" t="s">
        <v>252</v>
      </c>
      <c r="E87" s="131" t="s">
        <v>186</v>
      </c>
      <c r="F87" s="131">
        <v>2.0001584844394E-4</v>
      </c>
      <c r="G87" s="125">
        <v>15620</v>
      </c>
      <c r="H87" s="125">
        <f t="shared" ref="H87:H118" si="4">ROUND(F87*G87,2)</f>
        <v>3.12</v>
      </c>
    </row>
    <row r="88" spans="1:8" x14ac:dyDescent="0.25">
      <c r="A88" s="158">
        <v>72</v>
      </c>
      <c r="B88" s="128"/>
      <c r="C88" s="129" t="s">
        <v>253</v>
      </c>
      <c r="D88" s="130" t="s">
        <v>254</v>
      </c>
      <c r="E88" s="131" t="s">
        <v>172</v>
      </c>
      <c r="F88" s="131">
        <v>1.4285539792840999E-2</v>
      </c>
      <c r="G88" s="125">
        <v>203</v>
      </c>
      <c r="H88" s="125">
        <f t="shared" si="4"/>
        <v>2.9</v>
      </c>
    </row>
    <row r="89" spans="1:8" ht="25.5" customHeight="1" x14ac:dyDescent="0.25">
      <c r="A89" s="158">
        <v>73</v>
      </c>
      <c r="B89" s="128"/>
      <c r="C89" s="129" t="s">
        <v>255</v>
      </c>
      <c r="D89" s="130" t="s">
        <v>256</v>
      </c>
      <c r="E89" s="131" t="s">
        <v>183</v>
      </c>
      <c r="F89" s="131">
        <v>0.22716120821687999</v>
      </c>
      <c r="G89" s="125">
        <v>12.37</v>
      </c>
      <c r="H89" s="125">
        <f t="shared" si="4"/>
        <v>2.81</v>
      </c>
    </row>
    <row r="90" spans="1:8" x14ac:dyDescent="0.25">
      <c r="A90" s="158">
        <v>74</v>
      </c>
      <c r="B90" s="128"/>
      <c r="C90" s="129" t="s">
        <v>257</v>
      </c>
      <c r="D90" s="130" t="s">
        <v>258</v>
      </c>
      <c r="E90" s="131" t="s">
        <v>238</v>
      </c>
      <c r="F90" s="131">
        <v>0.13431004510861</v>
      </c>
      <c r="G90" s="125">
        <v>19.899999999999999</v>
      </c>
      <c r="H90" s="125">
        <f t="shared" si="4"/>
        <v>2.67</v>
      </c>
    </row>
    <row r="91" spans="1:8" x14ac:dyDescent="0.25">
      <c r="A91" s="158">
        <v>75</v>
      </c>
      <c r="B91" s="128"/>
      <c r="C91" s="129" t="s">
        <v>259</v>
      </c>
      <c r="D91" s="130" t="s">
        <v>260</v>
      </c>
      <c r="E91" s="131" t="s">
        <v>172</v>
      </c>
      <c r="F91" s="131">
        <v>8.2868138205656E-2</v>
      </c>
      <c r="G91" s="125">
        <v>26.6</v>
      </c>
      <c r="H91" s="125">
        <f t="shared" si="4"/>
        <v>2.2000000000000002</v>
      </c>
    </row>
    <row r="92" spans="1:8" ht="25.5" customHeight="1" x14ac:dyDescent="0.25">
      <c r="A92" s="158">
        <v>76</v>
      </c>
      <c r="B92" s="128"/>
      <c r="C92" s="129" t="s">
        <v>261</v>
      </c>
      <c r="D92" s="130" t="s">
        <v>262</v>
      </c>
      <c r="E92" s="131" t="s">
        <v>202</v>
      </c>
      <c r="F92" s="131">
        <v>5.0002532116419002E-2</v>
      </c>
      <c r="G92" s="125">
        <v>38.340000000000003</v>
      </c>
      <c r="H92" s="125">
        <f t="shared" si="4"/>
        <v>1.92</v>
      </c>
    </row>
    <row r="93" spans="1:8" x14ac:dyDescent="0.25">
      <c r="A93" s="158">
        <v>77</v>
      </c>
      <c r="B93" s="128"/>
      <c r="C93" s="129" t="s">
        <v>263</v>
      </c>
      <c r="D93" s="130" t="s">
        <v>264</v>
      </c>
      <c r="E93" s="131" t="s">
        <v>213</v>
      </c>
      <c r="F93" s="131">
        <v>2.8142513391897E-3</v>
      </c>
      <c r="G93" s="125">
        <v>600</v>
      </c>
      <c r="H93" s="125">
        <f t="shared" si="4"/>
        <v>1.69</v>
      </c>
    </row>
    <row r="94" spans="1:8" x14ac:dyDescent="0.25">
      <c r="A94" s="158">
        <v>78</v>
      </c>
      <c r="B94" s="128"/>
      <c r="C94" s="129" t="s">
        <v>265</v>
      </c>
      <c r="D94" s="130" t="s">
        <v>266</v>
      </c>
      <c r="E94" s="131" t="s">
        <v>172</v>
      </c>
      <c r="F94" s="131">
        <v>1.8006424576093E-2</v>
      </c>
      <c r="G94" s="125">
        <v>86</v>
      </c>
      <c r="H94" s="125">
        <f t="shared" si="4"/>
        <v>1.55</v>
      </c>
    </row>
    <row r="95" spans="1:8" x14ac:dyDescent="0.25">
      <c r="A95" s="158">
        <v>79</v>
      </c>
      <c r="B95" s="128"/>
      <c r="C95" s="129" t="s">
        <v>267</v>
      </c>
      <c r="D95" s="130" t="s">
        <v>268</v>
      </c>
      <c r="E95" s="131" t="s">
        <v>202</v>
      </c>
      <c r="F95" s="131">
        <v>4.6303788862755997E-2</v>
      </c>
      <c r="G95" s="125">
        <v>28.6</v>
      </c>
      <c r="H95" s="125">
        <f t="shared" si="4"/>
        <v>1.32</v>
      </c>
    </row>
    <row r="96" spans="1:8" x14ac:dyDescent="0.25">
      <c r="A96" s="158">
        <v>80</v>
      </c>
      <c r="B96" s="128"/>
      <c r="C96" s="129" t="s">
        <v>269</v>
      </c>
      <c r="D96" s="130" t="s">
        <v>270</v>
      </c>
      <c r="E96" s="131" t="s">
        <v>186</v>
      </c>
      <c r="F96" s="131">
        <v>1.2860018836868001E-4</v>
      </c>
      <c r="G96" s="125">
        <v>9420</v>
      </c>
      <c r="H96" s="125">
        <f t="shared" si="4"/>
        <v>1.21</v>
      </c>
    </row>
    <row r="97" spans="1:8" x14ac:dyDescent="0.25">
      <c r="A97" s="158">
        <v>81</v>
      </c>
      <c r="B97" s="128"/>
      <c r="C97" s="129" t="s">
        <v>271</v>
      </c>
      <c r="D97" s="130" t="s">
        <v>272</v>
      </c>
      <c r="E97" s="131" t="s">
        <v>273</v>
      </c>
      <c r="F97" s="131">
        <v>4.3015347598443004E-3</v>
      </c>
      <c r="G97" s="125">
        <v>270</v>
      </c>
      <c r="H97" s="125">
        <f t="shared" si="4"/>
        <v>1.1599999999999999</v>
      </c>
    </row>
    <row r="98" spans="1:8" x14ac:dyDescent="0.25">
      <c r="A98" s="158">
        <v>82</v>
      </c>
      <c r="B98" s="128"/>
      <c r="C98" s="129" t="s">
        <v>274</v>
      </c>
      <c r="D98" s="130" t="s">
        <v>275</v>
      </c>
      <c r="E98" s="131" t="s">
        <v>186</v>
      </c>
      <c r="F98" s="131">
        <v>1.0000213836725E-4</v>
      </c>
      <c r="G98" s="125">
        <v>10971.06</v>
      </c>
      <c r="H98" s="125">
        <f t="shared" si="4"/>
        <v>1.1000000000000001</v>
      </c>
    </row>
    <row r="99" spans="1:8" x14ac:dyDescent="0.25">
      <c r="A99" s="158">
        <v>83</v>
      </c>
      <c r="B99" s="128"/>
      <c r="C99" s="129" t="s">
        <v>276</v>
      </c>
      <c r="D99" s="130" t="s">
        <v>277</v>
      </c>
      <c r="E99" s="131" t="s">
        <v>202</v>
      </c>
      <c r="F99" s="131">
        <v>9.0010025862899995E-2</v>
      </c>
      <c r="G99" s="125">
        <v>10.57</v>
      </c>
      <c r="H99" s="125">
        <f t="shared" si="4"/>
        <v>0.95</v>
      </c>
    </row>
    <row r="100" spans="1:8" ht="25.5" customHeight="1" x14ac:dyDescent="0.25">
      <c r="A100" s="158">
        <v>84</v>
      </c>
      <c r="B100" s="128"/>
      <c r="C100" s="129" t="s">
        <v>278</v>
      </c>
      <c r="D100" s="130" t="s">
        <v>279</v>
      </c>
      <c r="E100" s="131" t="s">
        <v>202</v>
      </c>
      <c r="F100" s="131">
        <v>2.8551324301613001E-2</v>
      </c>
      <c r="G100" s="125">
        <v>28.22</v>
      </c>
      <c r="H100" s="125">
        <f t="shared" si="4"/>
        <v>0.81</v>
      </c>
    </row>
    <row r="101" spans="1:8" x14ac:dyDescent="0.25">
      <c r="A101" s="158">
        <v>85</v>
      </c>
      <c r="B101" s="128"/>
      <c r="C101" s="129" t="s">
        <v>280</v>
      </c>
      <c r="D101" s="130" t="s">
        <v>281</v>
      </c>
      <c r="E101" s="131" t="s">
        <v>186</v>
      </c>
      <c r="F101" s="131">
        <v>1.4274745311123E-5</v>
      </c>
      <c r="G101" s="125">
        <v>52539.7</v>
      </c>
      <c r="H101" s="125">
        <f t="shared" si="4"/>
        <v>0.75</v>
      </c>
    </row>
    <row r="102" spans="1:8" x14ac:dyDescent="0.25">
      <c r="A102" s="158">
        <v>86</v>
      </c>
      <c r="B102" s="128"/>
      <c r="C102" s="129" t="s">
        <v>282</v>
      </c>
      <c r="D102" s="130" t="s">
        <v>283</v>
      </c>
      <c r="E102" s="131" t="s">
        <v>202</v>
      </c>
      <c r="F102" s="131">
        <v>2.6854811559992999E-2</v>
      </c>
      <c r="G102" s="125">
        <v>25.8</v>
      </c>
      <c r="H102" s="125">
        <f t="shared" si="4"/>
        <v>0.69</v>
      </c>
    </row>
    <row r="103" spans="1:8" ht="25.5" customHeight="1" x14ac:dyDescent="0.25">
      <c r="A103" s="158">
        <v>87</v>
      </c>
      <c r="B103" s="128"/>
      <c r="C103" s="129" t="s">
        <v>284</v>
      </c>
      <c r="D103" s="130" t="s">
        <v>285</v>
      </c>
      <c r="E103" s="131" t="s">
        <v>202</v>
      </c>
      <c r="F103" s="131">
        <v>2.7407412623462999E-2</v>
      </c>
      <c r="G103" s="125">
        <v>23.09</v>
      </c>
      <c r="H103" s="125">
        <f t="shared" si="4"/>
        <v>0.63</v>
      </c>
    </row>
    <row r="104" spans="1:8" x14ac:dyDescent="0.25">
      <c r="A104" s="158">
        <v>88</v>
      </c>
      <c r="B104" s="128"/>
      <c r="C104" s="129" t="s">
        <v>286</v>
      </c>
      <c r="D104" s="130" t="s">
        <v>287</v>
      </c>
      <c r="E104" s="131" t="s">
        <v>288</v>
      </c>
      <c r="F104" s="131">
        <v>6.4308456551890006E-2</v>
      </c>
      <c r="G104" s="125">
        <v>8.33</v>
      </c>
      <c r="H104" s="125">
        <f t="shared" si="4"/>
        <v>0.54</v>
      </c>
    </row>
    <row r="105" spans="1:8" ht="25.5" customHeight="1" x14ac:dyDescent="0.25">
      <c r="A105" s="158">
        <v>89</v>
      </c>
      <c r="B105" s="128"/>
      <c r="C105" s="129" t="s">
        <v>289</v>
      </c>
      <c r="D105" s="130" t="s">
        <v>290</v>
      </c>
      <c r="E105" s="131" t="s">
        <v>186</v>
      </c>
      <c r="F105" s="131">
        <v>1.4279066615974999E-5</v>
      </c>
      <c r="G105" s="125">
        <v>37517</v>
      </c>
      <c r="H105" s="125">
        <f t="shared" si="4"/>
        <v>0.54</v>
      </c>
    </row>
    <row r="106" spans="1:8" ht="25.5" customHeight="1" x14ac:dyDescent="0.25">
      <c r="A106" s="158">
        <v>90</v>
      </c>
      <c r="B106" s="128"/>
      <c r="C106" s="129" t="s">
        <v>291</v>
      </c>
      <c r="D106" s="130" t="s">
        <v>292</v>
      </c>
      <c r="E106" s="131" t="s">
        <v>202</v>
      </c>
      <c r="F106" s="131">
        <v>1.541313946386E-2</v>
      </c>
      <c r="G106" s="125">
        <v>30.4</v>
      </c>
      <c r="H106" s="125">
        <f t="shared" si="4"/>
        <v>0.47</v>
      </c>
    </row>
    <row r="107" spans="1:8" x14ac:dyDescent="0.25">
      <c r="A107" s="158">
        <v>91</v>
      </c>
      <c r="B107" s="128"/>
      <c r="C107" s="129" t="s">
        <v>293</v>
      </c>
      <c r="D107" s="130" t="s">
        <v>294</v>
      </c>
      <c r="E107" s="131" t="s">
        <v>202</v>
      </c>
      <c r="F107" s="131">
        <v>9.1489439389217005E-3</v>
      </c>
      <c r="G107" s="125">
        <v>44.97</v>
      </c>
      <c r="H107" s="125">
        <f t="shared" si="4"/>
        <v>0.41</v>
      </c>
    </row>
    <row r="108" spans="1:8" x14ac:dyDescent="0.25">
      <c r="A108" s="158">
        <v>92</v>
      </c>
      <c r="B108" s="128"/>
      <c r="C108" s="129" t="s">
        <v>295</v>
      </c>
      <c r="D108" s="130" t="s">
        <v>296</v>
      </c>
      <c r="E108" s="131" t="s">
        <v>297</v>
      </c>
      <c r="F108" s="131">
        <v>7.1618172828110003E-3</v>
      </c>
      <c r="G108" s="125">
        <v>37.5</v>
      </c>
      <c r="H108" s="125">
        <f t="shared" si="4"/>
        <v>0.27</v>
      </c>
    </row>
    <row r="109" spans="1:8" x14ac:dyDescent="0.25">
      <c r="A109" s="158">
        <v>93</v>
      </c>
      <c r="B109" s="128"/>
      <c r="C109" s="129" t="s">
        <v>298</v>
      </c>
      <c r="D109" s="130" t="s">
        <v>299</v>
      </c>
      <c r="E109" s="131" t="s">
        <v>300</v>
      </c>
      <c r="F109" s="131">
        <v>0.67073872521758005</v>
      </c>
      <c r="G109" s="125">
        <v>0.4</v>
      </c>
      <c r="H109" s="125">
        <f t="shared" si="4"/>
        <v>0.27</v>
      </c>
    </row>
    <row r="110" spans="1:8" x14ac:dyDescent="0.25">
      <c r="A110" s="158">
        <v>94</v>
      </c>
      <c r="B110" s="128"/>
      <c r="C110" s="129" t="s">
        <v>301</v>
      </c>
      <c r="D110" s="130" t="s">
        <v>302</v>
      </c>
      <c r="E110" s="131" t="s">
        <v>186</v>
      </c>
      <c r="F110" s="131">
        <v>3.1507341725478001E-4</v>
      </c>
      <c r="G110" s="125">
        <v>729.98</v>
      </c>
      <c r="H110" s="125">
        <f t="shared" si="4"/>
        <v>0.23</v>
      </c>
    </row>
    <row r="111" spans="1:8" x14ac:dyDescent="0.25">
      <c r="A111" s="158">
        <v>95</v>
      </c>
      <c r="B111" s="128"/>
      <c r="C111" s="129" t="s">
        <v>303</v>
      </c>
      <c r="D111" s="130" t="s">
        <v>304</v>
      </c>
      <c r="E111" s="131" t="s">
        <v>202</v>
      </c>
      <c r="F111" s="131">
        <v>7.1582612496542001E-3</v>
      </c>
      <c r="G111" s="125">
        <v>27.74</v>
      </c>
      <c r="H111" s="125">
        <f t="shared" si="4"/>
        <v>0.2</v>
      </c>
    </row>
    <row r="112" spans="1:8" x14ac:dyDescent="0.25">
      <c r="A112" s="158">
        <v>96</v>
      </c>
      <c r="B112" s="128"/>
      <c r="C112" s="129" t="s">
        <v>305</v>
      </c>
      <c r="D112" s="130" t="s">
        <v>306</v>
      </c>
      <c r="E112" s="131" t="s">
        <v>202</v>
      </c>
      <c r="F112" s="131">
        <v>1.4310231365941E-3</v>
      </c>
      <c r="G112" s="125">
        <v>138.76</v>
      </c>
      <c r="H112" s="125">
        <f t="shared" si="4"/>
        <v>0.2</v>
      </c>
    </row>
    <row r="113" spans="1:8" x14ac:dyDescent="0.25">
      <c r="A113" s="158">
        <v>97</v>
      </c>
      <c r="B113" s="128"/>
      <c r="C113" s="129" t="s">
        <v>307</v>
      </c>
      <c r="D113" s="130" t="s">
        <v>308</v>
      </c>
      <c r="E113" s="131" t="s">
        <v>186</v>
      </c>
      <c r="F113" s="131">
        <v>2.8498226975368998E-5</v>
      </c>
      <c r="G113" s="125">
        <v>6667</v>
      </c>
      <c r="H113" s="125">
        <f t="shared" si="4"/>
        <v>0.19</v>
      </c>
    </row>
    <row r="114" spans="1:8" x14ac:dyDescent="0.25">
      <c r="A114" s="158">
        <v>98</v>
      </c>
      <c r="B114" s="128"/>
      <c r="C114" s="129" t="s">
        <v>309</v>
      </c>
      <c r="D114" s="130" t="s">
        <v>310</v>
      </c>
      <c r="E114" s="131" t="s">
        <v>202</v>
      </c>
      <c r="F114" s="131">
        <v>1.2884384772028001E-3</v>
      </c>
      <c r="G114" s="125">
        <v>133.05000000000001</v>
      </c>
      <c r="H114" s="125">
        <f t="shared" si="4"/>
        <v>0.17</v>
      </c>
    </row>
    <row r="115" spans="1:8" ht="25.5" customHeight="1" x14ac:dyDescent="0.25">
      <c r="A115" s="158">
        <v>99</v>
      </c>
      <c r="B115" s="128"/>
      <c r="C115" s="129" t="s">
        <v>311</v>
      </c>
      <c r="D115" s="130" t="s">
        <v>312</v>
      </c>
      <c r="E115" s="131" t="s">
        <v>202</v>
      </c>
      <c r="F115" s="131">
        <v>1.4258085200030001E-3</v>
      </c>
      <c r="G115" s="125">
        <v>114.22</v>
      </c>
      <c r="H115" s="125">
        <f t="shared" si="4"/>
        <v>0.16</v>
      </c>
    </row>
    <row r="116" spans="1:8" x14ac:dyDescent="0.25">
      <c r="A116" s="158">
        <v>100</v>
      </c>
      <c r="B116" s="128"/>
      <c r="C116" s="129" t="s">
        <v>313</v>
      </c>
      <c r="D116" s="130" t="s">
        <v>314</v>
      </c>
      <c r="E116" s="131" t="s">
        <v>273</v>
      </c>
      <c r="F116" s="131">
        <v>5.7412380842713996E-4</v>
      </c>
      <c r="G116" s="125">
        <v>253.8</v>
      </c>
      <c r="H116" s="125">
        <f t="shared" si="4"/>
        <v>0.15</v>
      </c>
    </row>
    <row r="117" spans="1:8" x14ac:dyDescent="0.25">
      <c r="A117" s="158">
        <v>101</v>
      </c>
      <c r="B117" s="128"/>
      <c r="C117" s="129" t="s">
        <v>315</v>
      </c>
      <c r="D117" s="130" t="s">
        <v>316</v>
      </c>
      <c r="E117" s="131" t="s">
        <v>202</v>
      </c>
      <c r="F117" s="131">
        <v>4.2754606796029998E-3</v>
      </c>
      <c r="G117" s="125">
        <v>15.37</v>
      </c>
      <c r="H117" s="125">
        <f t="shared" si="4"/>
        <v>7.0000000000000007E-2</v>
      </c>
    </row>
    <row r="118" spans="1:8" x14ac:dyDescent="0.25">
      <c r="A118" s="158">
        <v>102</v>
      </c>
      <c r="B118" s="128"/>
      <c r="C118" s="129" t="s">
        <v>317</v>
      </c>
      <c r="D118" s="130" t="s">
        <v>318</v>
      </c>
      <c r="E118" s="131" t="s">
        <v>202</v>
      </c>
      <c r="F118" s="131">
        <v>3.5397373257302E-3</v>
      </c>
      <c r="G118" s="125">
        <v>16.95</v>
      </c>
      <c r="H118" s="125">
        <f t="shared" si="4"/>
        <v>0.06</v>
      </c>
    </row>
    <row r="119" spans="1:8" x14ac:dyDescent="0.25">
      <c r="A119" s="158">
        <v>103</v>
      </c>
      <c r="B119" s="128"/>
      <c r="C119" s="129" t="s">
        <v>319</v>
      </c>
      <c r="D119" s="130" t="s">
        <v>320</v>
      </c>
      <c r="E119" s="131" t="s">
        <v>202</v>
      </c>
      <c r="F119" s="131">
        <v>8.0812523632127996E-4</v>
      </c>
      <c r="G119" s="125">
        <v>38.89</v>
      </c>
      <c r="H119" s="125">
        <f t="shared" ref="H119:H150" si="5">ROUND(F119*G119,2)</f>
        <v>0.03</v>
      </c>
    </row>
    <row r="120" spans="1:8" x14ac:dyDescent="0.25">
      <c r="A120" s="158">
        <v>104</v>
      </c>
      <c r="B120" s="128"/>
      <c r="C120" s="129" t="s">
        <v>321</v>
      </c>
      <c r="D120" s="130" t="s">
        <v>322</v>
      </c>
      <c r="E120" s="131" t="s">
        <v>202</v>
      </c>
      <c r="F120" s="131">
        <v>1.2422208515514E-3</v>
      </c>
      <c r="G120" s="125">
        <v>11.5</v>
      </c>
      <c r="H120" s="125">
        <f t="shared" si="5"/>
        <v>0.01</v>
      </c>
    </row>
    <row r="123" spans="1:8" x14ac:dyDescent="0.25">
      <c r="B123" s="112" t="s">
        <v>94</v>
      </c>
    </row>
    <row r="124" spans="1:8" x14ac:dyDescent="0.25">
      <c r="B124" s="116" t="s">
        <v>77</v>
      </c>
    </row>
    <row r="126" spans="1:8" x14ac:dyDescent="0.25">
      <c r="B126" s="112" t="s">
        <v>78</v>
      </c>
    </row>
    <row r="127" spans="1:8" x14ac:dyDescent="0.25">
      <c r="B127" s="116" t="s">
        <v>79</v>
      </c>
    </row>
  </sheetData>
  <mergeCells count="16">
    <mergeCell ref="A24:E24"/>
    <mergeCell ref="A54:E54"/>
    <mergeCell ref="A12:E12"/>
    <mergeCell ref="A26:E26"/>
    <mergeCell ref="D9:D10"/>
    <mergeCell ref="E9:E10"/>
    <mergeCell ref="A39:E39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J50"/>
  <sheetViews>
    <sheetView view="pageBreakPreview" topLeftCell="A35" workbookViewId="0">
      <selection activeCell="E50" sqref="E5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9" width="9.140625" customWidth="1"/>
    <col min="10" max="10" width="13.5703125" customWidth="1"/>
    <col min="11" max="11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323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6" t="s">
        <v>324</v>
      </c>
      <c r="C5" s="206"/>
      <c r="D5" s="206"/>
      <c r="E5" s="206"/>
    </row>
    <row r="6" spans="2:5" x14ac:dyDescent="0.25">
      <c r="B6" s="159"/>
      <c r="C6" s="4"/>
      <c r="D6" s="4"/>
      <c r="E6" s="4"/>
    </row>
    <row r="7" spans="2:5" ht="38.25" customHeight="1" x14ac:dyDescent="0.25">
      <c r="B7" s="231" t="s">
        <v>325</v>
      </c>
      <c r="C7" s="231"/>
      <c r="D7" s="231"/>
      <c r="E7" s="231"/>
    </row>
    <row r="8" spans="2:5" x14ac:dyDescent="0.25">
      <c r="B8" s="232" t="s">
        <v>50</v>
      </c>
      <c r="C8" s="232"/>
      <c r="D8" s="232"/>
      <c r="E8" s="232"/>
    </row>
    <row r="9" spans="2:5" x14ac:dyDescent="0.25">
      <c r="B9" s="159"/>
      <c r="C9" s="4"/>
      <c r="D9" s="4"/>
      <c r="E9" s="4"/>
    </row>
    <row r="10" spans="2:5" ht="51" customHeight="1" x14ac:dyDescent="0.25">
      <c r="B10" s="2" t="s">
        <v>326</v>
      </c>
      <c r="C10" s="2" t="s">
        <v>327</v>
      </c>
      <c r="D10" s="2" t="s">
        <v>328</v>
      </c>
      <c r="E10" s="2" t="s">
        <v>329</v>
      </c>
    </row>
    <row r="11" spans="2:5" x14ac:dyDescent="0.25">
      <c r="B11" s="118" t="s">
        <v>330</v>
      </c>
      <c r="C11" s="160">
        <f>'Прил.5 Расчет СМР и ОБ'!J14</f>
        <v>84707.11</v>
      </c>
      <c r="D11" s="161">
        <f t="shared" ref="D11:D18" si="0">C11/$C$24</f>
        <v>0.31069693302578266</v>
      </c>
      <c r="E11" s="161">
        <f t="shared" ref="E11:E18" si="1">C11/$C$40</f>
        <v>6.306173133727272E-2</v>
      </c>
    </row>
    <row r="12" spans="2:5" x14ac:dyDescent="0.25">
      <c r="B12" s="118" t="s">
        <v>331</v>
      </c>
      <c r="C12" s="160">
        <f>'Прил.5 Расчет СМР и ОБ'!J20</f>
        <v>8960.7800000000007</v>
      </c>
      <c r="D12" s="161">
        <f t="shared" si="0"/>
        <v>3.2867215792378855E-2</v>
      </c>
      <c r="E12" s="161">
        <f t="shared" si="1"/>
        <v>6.6710138137448752E-3</v>
      </c>
    </row>
    <row r="13" spans="2:5" x14ac:dyDescent="0.25">
      <c r="B13" s="118" t="s">
        <v>332</v>
      </c>
      <c r="C13" s="160">
        <f>'Прил.5 Расчет СМР и ОБ'!J32</f>
        <v>628.00999999999988</v>
      </c>
      <c r="D13" s="161">
        <f t="shared" si="0"/>
        <v>2.3034758346674998E-3</v>
      </c>
      <c r="E13" s="161">
        <f t="shared" si="1"/>
        <v>4.6753333807658686E-4</v>
      </c>
    </row>
    <row r="14" spans="2:5" x14ac:dyDescent="0.25">
      <c r="B14" s="118" t="s">
        <v>333</v>
      </c>
      <c r="C14" s="160">
        <f>C13+C12</f>
        <v>9588.7900000000009</v>
      </c>
      <c r="D14" s="161">
        <f t="shared" si="0"/>
        <v>3.5170691627046356E-2</v>
      </c>
      <c r="E14" s="161">
        <f t="shared" si="1"/>
        <v>7.1385471518214628E-3</v>
      </c>
    </row>
    <row r="15" spans="2:5" x14ac:dyDescent="0.25">
      <c r="B15" s="118" t="s">
        <v>334</v>
      </c>
      <c r="C15" s="160">
        <f>'Прил.5 Расчет СМР и ОБ'!J16</f>
        <v>29604.97</v>
      </c>
      <c r="D15" s="161">
        <f t="shared" si="0"/>
        <v>0.10858797309128247</v>
      </c>
      <c r="E15" s="161">
        <f t="shared" si="1"/>
        <v>2.2039952306105341E-2</v>
      </c>
    </row>
    <row r="16" spans="2:5" x14ac:dyDescent="0.25">
      <c r="B16" s="118" t="s">
        <v>335</v>
      </c>
      <c r="C16" s="160">
        <f>'Прил.5 Расчет СМР и ОБ'!J73</f>
        <v>7879.0300000000007</v>
      </c>
      <c r="D16" s="161">
        <f t="shared" si="0"/>
        <v>2.8899468488750617E-2</v>
      </c>
      <c r="E16" s="161">
        <f t="shared" si="1"/>
        <v>5.8656855730093013E-3</v>
      </c>
    </row>
    <row r="17" spans="2:5" x14ac:dyDescent="0.25">
      <c r="B17" s="118" t="s">
        <v>336</v>
      </c>
      <c r="C17" s="160">
        <f>'Прил.5 Расчет СМР и ОБ'!J123</f>
        <v>1279.0000000000002</v>
      </c>
      <c r="D17" s="161">
        <f t="shared" si="0"/>
        <v>4.6912399365292481E-3</v>
      </c>
      <c r="E17" s="161">
        <f t="shared" si="1"/>
        <v>9.5217455040517637E-4</v>
      </c>
    </row>
    <row r="18" spans="2:5" x14ac:dyDescent="0.25">
      <c r="B18" s="118" t="s">
        <v>337</v>
      </c>
      <c r="C18" s="160">
        <f>C17+C16</f>
        <v>9158.0300000000007</v>
      </c>
      <c r="D18" s="161">
        <f t="shared" si="0"/>
        <v>3.3590708425279864E-2</v>
      </c>
      <c r="E18" s="161">
        <f t="shared" si="1"/>
        <v>6.8178601234144777E-3</v>
      </c>
    </row>
    <row r="19" spans="2:5" x14ac:dyDescent="0.25">
      <c r="B19" s="118" t="s">
        <v>338</v>
      </c>
      <c r="C19" s="160">
        <f>C18+C14+C11</f>
        <v>103453.93</v>
      </c>
      <c r="D19" s="161"/>
      <c r="E19" s="118"/>
    </row>
    <row r="20" spans="2:5" x14ac:dyDescent="0.25">
      <c r="B20" s="118" t="s">
        <v>339</v>
      </c>
      <c r="C20" s="160">
        <f>ROUND(C21*(C11+C15),2)</f>
        <v>70873.490000000005</v>
      </c>
      <c r="D20" s="161">
        <f>C20/$C$24</f>
        <v>0.25995664325973911</v>
      </c>
      <c r="E20" s="161">
        <f>C20/$C$40</f>
        <v>5.2763044156681593E-2</v>
      </c>
    </row>
    <row r="21" spans="2:5" x14ac:dyDescent="0.25">
      <c r="B21" s="118" t="s">
        <v>340</v>
      </c>
      <c r="C21" s="162">
        <v>0.62</v>
      </c>
      <c r="D21" s="161"/>
      <c r="E21" s="118"/>
    </row>
    <row r="22" spans="2:5" x14ac:dyDescent="0.25">
      <c r="B22" s="118" t="s">
        <v>341</v>
      </c>
      <c r="C22" s="160">
        <f>ROUND(C23*(C11+C15),2)</f>
        <v>98308.39</v>
      </c>
      <c r="D22" s="161">
        <f>C22/$C$24</f>
        <v>0.36058502366215206</v>
      </c>
      <c r="E22" s="161">
        <f>C22/$C$40</f>
        <v>7.3187448826666709E-2</v>
      </c>
    </row>
    <row r="23" spans="2:5" x14ac:dyDescent="0.25">
      <c r="B23" s="118" t="s">
        <v>342</v>
      </c>
      <c r="C23" s="162">
        <v>0.86</v>
      </c>
      <c r="D23" s="161"/>
      <c r="E23" s="118"/>
    </row>
    <row r="24" spans="2:5" x14ac:dyDescent="0.25">
      <c r="B24" s="118" t="s">
        <v>343</v>
      </c>
      <c r="C24" s="160">
        <f>C19+C20+C22</f>
        <v>272635.81</v>
      </c>
      <c r="D24" s="161">
        <f>C24/$C$24</f>
        <v>1</v>
      </c>
      <c r="E24" s="161">
        <f>C24/$C$40</f>
        <v>0.20296863159585696</v>
      </c>
    </row>
    <row r="25" spans="2:5" ht="25.5" customHeight="1" x14ac:dyDescent="0.25">
      <c r="B25" s="118" t="s">
        <v>344</v>
      </c>
      <c r="C25" s="160">
        <f>'Прил.5 Расчет СМР и ОБ'!J52</f>
        <v>953251.42999999993</v>
      </c>
      <c r="D25" s="161"/>
      <c r="E25" s="161">
        <f>C25/$C$40</f>
        <v>0.70966516949440284</v>
      </c>
    </row>
    <row r="26" spans="2:5" ht="25.5" customHeight="1" x14ac:dyDescent="0.25">
      <c r="B26" s="118" t="s">
        <v>345</v>
      </c>
      <c r="C26" s="160">
        <f>'Прил.5 Расчет СМР и ОБ'!J53</f>
        <v>953251.42999999993</v>
      </c>
      <c r="D26" s="161"/>
      <c r="E26" s="161">
        <f>C26/$C$40</f>
        <v>0.70966516949440284</v>
      </c>
    </row>
    <row r="27" spans="2:5" x14ac:dyDescent="0.25">
      <c r="B27" s="118" t="s">
        <v>346</v>
      </c>
      <c r="C27" s="111">
        <f>C24+C25</f>
        <v>1225887.24</v>
      </c>
      <c r="D27" s="161"/>
      <c r="E27" s="161">
        <f>C27/$C$40</f>
        <v>0.91263380109025993</v>
      </c>
    </row>
    <row r="28" spans="2:5" ht="33" customHeight="1" x14ac:dyDescent="0.25">
      <c r="B28" s="118" t="s">
        <v>347</v>
      </c>
      <c r="C28" s="118"/>
      <c r="D28" s="118"/>
      <c r="E28" s="118"/>
    </row>
    <row r="29" spans="2:5" ht="25.5" customHeight="1" x14ac:dyDescent="0.25">
      <c r="B29" s="118" t="s">
        <v>348</v>
      </c>
      <c r="C29" s="111">
        <f>ROUND(C24*3.9%,2)</f>
        <v>10632.8</v>
      </c>
      <c r="D29" s="118"/>
      <c r="E29" s="161">
        <f t="shared" ref="E29:E38" si="2">C29/$C$40</f>
        <v>7.9157791708742431E-3</v>
      </c>
    </row>
    <row r="30" spans="2:5" ht="38.25" customHeight="1" x14ac:dyDescent="0.25">
      <c r="B30" s="118" t="s">
        <v>349</v>
      </c>
      <c r="C30" s="111">
        <f>ROUND((C24+C29)*2.1%,2)</f>
        <v>5948.64</v>
      </c>
      <c r="D30" s="118"/>
      <c r="E30" s="161">
        <f t="shared" si="2"/>
        <v>4.4285720230822891E-3</v>
      </c>
    </row>
    <row r="31" spans="2:5" x14ac:dyDescent="0.25">
      <c r="B31" s="118" t="s">
        <v>350</v>
      </c>
      <c r="C31" s="111">
        <v>31830.3</v>
      </c>
      <c r="D31" s="118"/>
      <c r="E31" s="161">
        <f t="shared" si="2"/>
        <v>2.3696639242972543E-2</v>
      </c>
    </row>
    <row r="32" spans="2:5" ht="25.5" customHeight="1" x14ac:dyDescent="0.25">
      <c r="B32" s="118" t="s">
        <v>351</v>
      </c>
      <c r="C32" s="111">
        <f>ROUND(C27*0%,2)</f>
        <v>0</v>
      </c>
      <c r="D32" s="118"/>
      <c r="E32" s="161">
        <f t="shared" si="2"/>
        <v>0</v>
      </c>
    </row>
    <row r="33" spans="2:10" ht="25.5" customHeight="1" x14ac:dyDescent="0.25">
      <c r="B33" s="118" t="s">
        <v>352</v>
      </c>
      <c r="C33" s="111">
        <f>ROUND(C28*0%,2)</f>
        <v>0</v>
      </c>
      <c r="D33" s="118"/>
      <c r="E33" s="161">
        <f t="shared" si="2"/>
        <v>0</v>
      </c>
    </row>
    <row r="34" spans="2:10" ht="51" customHeight="1" x14ac:dyDescent="0.25">
      <c r="B34" s="118" t="s">
        <v>353</v>
      </c>
      <c r="C34" s="111">
        <f>ROUND(C29*0%,2)</f>
        <v>0</v>
      </c>
      <c r="D34" s="118"/>
      <c r="E34" s="161">
        <f t="shared" si="2"/>
        <v>0</v>
      </c>
      <c r="F34" s="164"/>
    </row>
    <row r="35" spans="2:10" ht="76.5" customHeight="1" x14ac:dyDescent="0.25">
      <c r="B35" s="118" t="s">
        <v>354</v>
      </c>
      <c r="C35" s="111">
        <f>ROUND(C30*0%,2)</f>
        <v>0</v>
      </c>
      <c r="D35" s="118"/>
      <c r="E35" s="161">
        <f t="shared" si="2"/>
        <v>0</v>
      </c>
    </row>
    <row r="36" spans="2:10" ht="25.5" customHeight="1" x14ac:dyDescent="0.25">
      <c r="B36" s="118" t="s">
        <v>355</v>
      </c>
      <c r="C36" s="111">
        <f>ROUND((C27+C32+C33+C34+C35+C29+C31+C30)*2.14%,2)</f>
        <v>27270</v>
      </c>
      <c r="D36" s="118"/>
      <c r="E36" s="161">
        <f t="shared" si="2"/>
        <v>2.0301641899569317E-2</v>
      </c>
      <c r="J36" s="163"/>
    </row>
    <row r="37" spans="2:10" x14ac:dyDescent="0.25">
      <c r="B37" s="118" t="s">
        <v>356</v>
      </c>
      <c r="C37" s="111">
        <f>ROUND((C27+C32+C33+C34+C35+C29+C31+C30)*0.2%,2)</f>
        <v>2548.6</v>
      </c>
      <c r="D37" s="118"/>
      <c r="E37" s="161">
        <f t="shared" si="2"/>
        <v>1.8973511017690635E-3</v>
      </c>
      <c r="J37" s="163"/>
    </row>
    <row r="38" spans="2:10" ht="38.25" customHeight="1" x14ac:dyDescent="0.25">
      <c r="B38" s="118" t="s">
        <v>357</v>
      </c>
      <c r="C38" s="160">
        <f>C27+C32+C33+C34+C35+C29+C31+C30+C36+C37</f>
        <v>1304117.58</v>
      </c>
      <c r="D38" s="118"/>
      <c r="E38" s="161">
        <f t="shared" si="2"/>
        <v>0.97087378452852735</v>
      </c>
    </row>
    <row r="39" spans="2:10" ht="13.5" customHeight="1" x14ac:dyDescent="0.25">
      <c r="B39" s="118" t="s">
        <v>358</v>
      </c>
      <c r="C39" s="160">
        <f>ROUND(C38*3%,2)</f>
        <v>39123.53</v>
      </c>
      <c r="D39" s="118"/>
      <c r="E39" s="161">
        <f>C39/$C$38</f>
        <v>3.0000001993685261E-2</v>
      </c>
    </row>
    <row r="40" spans="2:10" x14ac:dyDescent="0.25">
      <c r="B40" s="118" t="s">
        <v>359</v>
      </c>
      <c r="C40" s="160">
        <f>C39+C38</f>
        <v>1343241.11</v>
      </c>
      <c r="D40" s="118"/>
      <c r="E40" s="161">
        <f>C40/$C$40</f>
        <v>1</v>
      </c>
    </row>
    <row r="41" spans="2:10" x14ac:dyDescent="0.25">
      <c r="B41" s="118" t="s">
        <v>360</v>
      </c>
      <c r="C41" s="160">
        <f>C40/'Прил.5 Расчет СМР и ОБ'!E130</f>
        <v>1343241.11</v>
      </c>
      <c r="D41" s="118"/>
      <c r="E41" s="118"/>
    </row>
    <row r="42" spans="2:10" x14ac:dyDescent="0.25">
      <c r="B42" s="117"/>
      <c r="C42" s="4"/>
      <c r="D42" s="4"/>
      <c r="E42" s="4"/>
    </row>
    <row r="43" spans="2:10" x14ac:dyDescent="0.25">
      <c r="B43" s="117" t="s">
        <v>361</v>
      </c>
      <c r="C43" s="4"/>
      <c r="D43" s="4"/>
      <c r="E43" s="4"/>
    </row>
    <row r="44" spans="2:10" x14ac:dyDescent="0.25">
      <c r="B44" s="117" t="s">
        <v>362</v>
      </c>
      <c r="C44" s="4"/>
      <c r="D44" s="4"/>
      <c r="E44" s="4"/>
    </row>
    <row r="45" spans="2:10" x14ac:dyDescent="0.25">
      <c r="B45" s="117"/>
      <c r="C45" s="4"/>
      <c r="D45" s="4"/>
      <c r="E45" s="4"/>
    </row>
    <row r="46" spans="2:10" x14ac:dyDescent="0.25">
      <c r="B46" s="117" t="s">
        <v>363</v>
      </c>
      <c r="C46" s="4"/>
      <c r="D46" s="4"/>
      <c r="E46" s="4"/>
    </row>
    <row r="47" spans="2:10" x14ac:dyDescent="0.25">
      <c r="B47" s="232" t="s">
        <v>364</v>
      </c>
      <c r="C47" s="232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36"/>
  <sheetViews>
    <sheetView tabSelected="1" view="pageBreakPreview" topLeftCell="A51" zoomScale="55" zoomScaleSheetLayoutView="55" workbookViewId="0">
      <selection activeCell="AD130" sqref="AD130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47" t="s">
        <v>365</v>
      </c>
      <c r="I2" s="247"/>
      <c r="J2" s="247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206" t="s">
        <v>366</v>
      </c>
      <c r="B4" s="206"/>
      <c r="C4" s="206"/>
      <c r="D4" s="206"/>
      <c r="E4" s="206"/>
      <c r="F4" s="206"/>
      <c r="G4" s="206"/>
      <c r="H4" s="206"/>
      <c r="I4" s="206"/>
      <c r="J4" s="206"/>
    </row>
    <row r="5" spans="1:12" s="4" customFormat="1" ht="12.75" customHeight="1" x14ac:dyDescent="0.2">
      <c r="A5" s="186"/>
      <c r="B5" s="186"/>
      <c r="C5" s="28"/>
      <c r="D5" s="186"/>
      <c r="E5" s="186"/>
      <c r="F5" s="186"/>
      <c r="G5" s="186"/>
      <c r="H5" s="186"/>
      <c r="I5" s="186"/>
      <c r="J5" s="186"/>
    </row>
    <row r="6" spans="1:12" s="4" customFormat="1" ht="27.75" customHeight="1" x14ac:dyDescent="0.2">
      <c r="A6" s="165" t="s">
        <v>367</v>
      </c>
      <c r="B6" s="166"/>
      <c r="C6" s="166"/>
      <c r="D6" s="251" t="s">
        <v>368</v>
      </c>
      <c r="E6" s="251"/>
      <c r="F6" s="251"/>
      <c r="G6" s="251"/>
      <c r="H6" s="251"/>
      <c r="I6" s="251"/>
      <c r="J6" s="251"/>
    </row>
    <row r="7" spans="1:12" s="4" customFormat="1" ht="12.75" customHeight="1" x14ac:dyDescent="0.2">
      <c r="A7" s="209" t="s">
        <v>50</v>
      </c>
      <c r="B7" s="231"/>
      <c r="C7" s="231"/>
      <c r="D7" s="231"/>
      <c r="E7" s="231"/>
      <c r="F7" s="231"/>
      <c r="G7" s="231"/>
      <c r="H7" s="231"/>
      <c r="I7" s="42"/>
      <c r="J7" s="42"/>
    </row>
    <row r="8" spans="1:12" s="4" customFormat="1" ht="13.5" customHeight="1" x14ac:dyDescent="0.2">
      <c r="A8" s="209"/>
      <c r="B8" s="231"/>
      <c r="C8" s="231"/>
      <c r="D8" s="231"/>
      <c r="E8" s="231"/>
      <c r="F8" s="231"/>
      <c r="G8" s="231"/>
      <c r="H8" s="231"/>
    </row>
    <row r="9" spans="1:12" ht="27" customHeight="1" x14ac:dyDescent="0.25">
      <c r="A9" s="239" t="s">
        <v>13</v>
      </c>
      <c r="B9" s="239" t="s">
        <v>101</v>
      </c>
      <c r="C9" s="239" t="s">
        <v>326</v>
      </c>
      <c r="D9" s="239" t="s">
        <v>103</v>
      </c>
      <c r="E9" s="234" t="s">
        <v>369</v>
      </c>
      <c r="F9" s="248" t="s">
        <v>105</v>
      </c>
      <c r="G9" s="249"/>
      <c r="H9" s="234" t="s">
        <v>370</v>
      </c>
      <c r="I9" s="248" t="s">
        <v>371</v>
      </c>
      <c r="J9" s="249"/>
      <c r="K9" s="12"/>
      <c r="L9" s="12"/>
    </row>
    <row r="10" spans="1:12" ht="28.5" customHeight="1" x14ac:dyDescent="0.25">
      <c r="A10" s="239"/>
      <c r="B10" s="239"/>
      <c r="C10" s="239"/>
      <c r="D10" s="239"/>
      <c r="E10" s="250"/>
      <c r="F10" s="2" t="s">
        <v>372</v>
      </c>
      <c r="G10" s="2" t="s">
        <v>107</v>
      </c>
      <c r="H10" s="250"/>
      <c r="I10" s="2" t="s">
        <v>372</v>
      </c>
      <c r="J10" s="2" t="s">
        <v>107</v>
      </c>
      <c r="K10" s="12"/>
      <c r="L10" s="12"/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5">
        <v>9</v>
      </c>
      <c r="J11" s="185">
        <v>10</v>
      </c>
      <c r="K11" s="12"/>
      <c r="L11" s="12"/>
    </row>
    <row r="12" spans="1:12" x14ac:dyDescent="0.25">
      <c r="A12" s="2"/>
      <c r="B12" s="227" t="s">
        <v>373</v>
      </c>
      <c r="C12" s="238"/>
      <c r="D12" s="239"/>
      <c r="E12" s="240"/>
      <c r="F12" s="241"/>
      <c r="G12" s="241"/>
      <c r="H12" s="242"/>
      <c r="I12" s="134"/>
      <c r="J12" s="134"/>
    </row>
    <row r="13" spans="1:12" ht="25.5" customHeight="1" x14ac:dyDescent="0.25">
      <c r="A13" s="2">
        <v>1</v>
      </c>
      <c r="B13" s="137" t="s">
        <v>374</v>
      </c>
      <c r="C13" s="8" t="s">
        <v>375</v>
      </c>
      <c r="D13" s="2" t="s">
        <v>376</v>
      </c>
      <c r="E13" s="127">
        <v>187.94571439878001</v>
      </c>
      <c r="F13" s="26">
        <v>9.76</v>
      </c>
      <c r="G13" s="26">
        <f>Прил.3!H12</f>
        <v>1883.42</v>
      </c>
      <c r="H13" s="167">
        <f>G13/G14</f>
        <v>1</v>
      </c>
      <c r="I13" s="26">
        <f>ФОТр.тек.!E13</f>
        <v>450.69987855412</v>
      </c>
      <c r="J13" s="26">
        <f>ROUND(I13*E13,2)</f>
        <v>84707.11</v>
      </c>
    </row>
    <row r="14" spans="1:12" s="12" customFormat="1" ht="25.5" customHeight="1" x14ac:dyDescent="0.2">
      <c r="A14" s="2"/>
      <c r="B14" s="2"/>
      <c r="C14" s="119" t="s">
        <v>377</v>
      </c>
      <c r="D14" s="2" t="s">
        <v>376</v>
      </c>
      <c r="E14" s="127">
        <f>SUM(E13)</f>
        <v>187.94571439878001</v>
      </c>
      <c r="F14" s="26"/>
      <c r="G14" s="26">
        <f>SUM(G13:G13)</f>
        <v>1883.42</v>
      </c>
      <c r="H14" s="188">
        <v>1</v>
      </c>
      <c r="I14" s="134"/>
      <c r="J14" s="26">
        <f>SUM(J13:J13)</f>
        <v>84707.11</v>
      </c>
    </row>
    <row r="15" spans="1:12" s="12" customFormat="1" ht="14.25" customHeight="1" x14ac:dyDescent="0.2">
      <c r="A15" s="2"/>
      <c r="B15" s="238" t="s">
        <v>133</v>
      </c>
      <c r="C15" s="238"/>
      <c r="D15" s="239"/>
      <c r="E15" s="240"/>
      <c r="F15" s="241"/>
      <c r="G15" s="241"/>
      <c r="H15" s="242"/>
      <c r="I15" s="134"/>
      <c r="J15" s="134"/>
    </row>
    <row r="16" spans="1:12" s="12" customFormat="1" ht="14.25" customHeight="1" x14ac:dyDescent="0.2">
      <c r="A16" s="2">
        <v>2</v>
      </c>
      <c r="B16" s="2">
        <v>2</v>
      </c>
      <c r="C16" s="8" t="s">
        <v>133</v>
      </c>
      <c r="D16" s="2" t="s">
        <v>376</v>
      </c>
      <c r="E16" s="127">
        <v>8.9142857142857004</v>
      </c>
      <c r="F16" s="26">
        <f>G16/E16</f>
        <v>70.91762820512831</v>
      </c>
      <c r="G16" s="26">
        <f>Прил.3!H24</f>
        <v>632.17999999999995</v>
      </c>
      <c r="H16" s="188">
        <v>1</v>
      </c>
      <c r="I16" s="26">
        <f>ROUND(F16*Прил.10!D11,2)</f>
        <v>3321.07</v>
      </c>
      <c r="J16" s="26">
        <f>ROUND(I16*E16,2)</f>
        <v>29604.97</v>
      </c>
    </row>
    <row r="17" spans="1:10" s="12" customFormat="1" ht="14.25" customHeight="1" x14ac:dyDescent="0.2">
      <c r="A17" s="2"/>
      <c r="B17" s="227" t="s">
        <v>135</v>
      </c>
      <c r="C17" s="238"/>
      <c r="D17" s="239"/>
      <c r="E17" s="240"/>
      <c r="F17" s="241"/>
      <c r="G17" s="241"/>
      <c r="H17" s="242"/>
      <c r="I17" s="134"/>
      <c r="J17" s="134"/>
    </row>
    <row r="18" spans="1:10" s="12" customFormat="1" ht="14.25" customHeight="1" x14ac:dyDescent="0.2">
      <c r="A18" s="2"/>
      <c r="B18" s="238" t="s">
        <v>378</v>
      </c>
      <c r="C18" s="238"/>
      <c r="D18" s="239"/>
      <c r="E18" s="240"/>
      <c r="F18" s="241"/>
      <c r="G18" s="241"/>
      <c r="H18" s="242"/>
      <c r="I18" s="134"/>
      <c r="J18" s="134"/>
    </row>
    <row r="19" spans="1:10" s="12" customFormat="1" ht="14.25" customHeight="1" x14ac:dyDescent="0.2">
      <c r="A19" s="2">
        <v>3</v>
      </c>
      <c r="B19" s="137" t="s">
        <v>136</v>
      </c>
      <c r="C19" s="8" t="s">
        <v>137</v>
      </c>
      <c r="D19" s="2" t="s">
        <v>138</v>
      </c>
      <c r="E19" s="127">
        <v>8.3256997114244999</v>
      </c>
      <c r="F19" s="138">
        <v>89.99</v>
      </c>
      <c r="G19" s="26">
        <f>ROUND(E19*F19,2)</f>
        <v>749.23</v>
      </c>
      <c r="H19" s="167">
        <f>G19/$G$33</f>
        <v>0.93451660783555557</v>
      </c>
      <c r="I19" s="26">
        <f>ROUND(F19*Прил.10!$D$12,2)</f>
        <v>1076.28</v>
      </c>
      <c r="J19" s="26">
        <f>ROUND(I19*E19,2)</f>
        <v>8960.7800000000007</v>
      </c>
    </row>
    <row r="20" spans="1:10" s="12" customFormat="1" ht="14.25" customHeight="1" x14ac:dyDescent="0.2">
      <c r="A20" s="2"/>
      <c r="B20" s="2"/>
      <c r="C20" s="8" t="s">
        <v>379</v>
      </c>
      <c r="D20" s="2"/>
      <c r="E20" s="127"/>
      <c r="F20" s="26"/>
      <c r="G20" s="26">
        <f>SUM(G19)</f>
        <v>749.23</v>
      </c>
      <c r="H20" s="188">
        <f>G20/G33</f>
        <v>0.93451660783555557</v>
      </c>
      <c r="I20" s="135"/>
      <c r="J20" s="26">
        <f>SUM(J19)</f>
        <v>8960.7800000000007</v>
      </c>
    </row>
    <row r="21" spans="1:10" s="12" customFormat="1" ht="25.5" hidden="1" customHeight="1" outlineLevel="1" x14ac:dyDescent="0.2">
      <c r="A21" s="2">
        <v>4</v>
      </c>
      <c r="B21" s="137" t="s">
        <v>139</v>
      </c>
      <c r="C21" s="8" t="s">
        <v>140</v>
      </c>
      <c r="D21" s="2" t="s">
        <v>138</v>
      </c>
      <c r="E21" s="127">
        <v>0.12142637174074999</v>
      </c>
      <c r="F21" s="138">
        <v>111.99</v>
      </c>
      <c r="G21" s="26">
        <f t="shared" ref="G21:G31" si="0">ROUND(E21*F21,2)</f>
        <v>13.6</v>
      </c>
      <c r="H21" s="167">
        <f t="shared" ref="H21:H31" si="1">G21/$G$33</f>
        <v>1.6963316827360832E-2</v>
      </c>
      <c r="I21" s="26">
        <f>ROUND(F21*Прил.10!$D$12,2)</f>
        <v>1339.4</v>
      </c>
      <c r="J21" s="26">
        <f t="shared" ref="J21:J31" si="2">ROUND(I21*E21,2)</f>
        <v>162.63999999999999</v>
      </c>
    </row>
    <row r="22" spans="1:10" s="12" customFormat="1" ht="25.5" hidden="1" customHeight="1" outlineLevel="1" x14ac:dyDescent="0.2">
      <c r="A22" s="2">
        <v>5</v>
      </c>
      <c r="B22" s="137" t="s">
        <v>141</v>
      </c>
      <c r="C22" s="8" t="s">
        <v>142</v>
      </c>
      <c r="D22" s="2" t="s">
        <v>138</v>
      </c>
      <c r="E22" s="127">
        <v>0.15857100739869001</v>
      </c>
      <c r="F22" s="138">
        <v>70</v>
      </c>
      <c r="G22" s="26">
        <f t="shared" si="0"/>
        <v>11.1</v>
      </c>
      <c r="H22" s="167">
        <f t="shared" si="1"/>
        <v>1.3845060057625385E-2</v>
      </c>
      <c r="I22" s="26">
        <f>ROUND(F22*Прил.10!$D$12,2)</f>
        <v>837.2</v>
      </c>
      <c r="J22" s="26">
        <f t="shared" si="2"/>
        <v>132.76</v>
      </c>
    </row>
    <row r="23" spans="1:10" s="12" customFormat="1" ht="25.5" hidden="1" customHeight="1" outlineLevel="1" x14ac:dyDescent="0.2">
      <c r="A23" s="2">
        <v>6</v>
      </c>
      <c r="B23" s="137" t="s">
        <v>143</v>
      </c>
      <c r="C23" s="8" t="s">
        <v>144</v>
      </c>
      <c r="D23" s="2" t="s">
        <v>138</v>
      </c>
      <c r="E23" s="127">
        <v>0.14285705426553</v>
      </c>
      <c r="F23" s="138">
        <v>65.709999999999994</v>
      </c>
      <c r="G23" s="26">
        <f t="shared" si="0"/>
        <v>9.39</v>
      </c>
      <c r="H23" s="167">
        <f t="shared" si="1"/>
        <v>1.1712172427126339E-2</v>
      </c>
      <c r="I23" s="26">
        <f>ROUND(F23*Прил.10!$D$12,2)</f>
        <v>785.89</v>
      </c>
      <c r="J23" s="26">
        <f t="shared" si="2"/>
        <v>112.27</v>
      </c>
    </row>
    <row r="24" spans="1:10" s="12" customFormat="1" ht="25.5" hidden="1" customHeight="1" outlineLevel="1" x14ac:dyDescent="0.2">
      <c r="A24" s="2">
        <v>7</v>
      </c>
      <c r="B24" s="137" t="s">
        <v>145</v>
      </c>
      <c r="C24" s="8" t="s">
        <v>146</v>
      </c>
      <c r="D24" s="2" t="s">
        <v>138</v>
      </c>
      <c r="E24" s="127">
        <v>0.15858024616177999</v>
      </c>
      <c r="F24" s="138">
        <v>56.24</v>
      </c>
      <c r="G24" s="26">
        <f t="shared" si="0"/>
        <v>8.92</v>
      </c>
      <c r="H24" s="167">
        <f t="shared" si="1"/>
        <v>1.1125940154416075E-2</v>
      </c>
      <c r="I24" s="26">
        <f>ROUND(F24*Прил.10!$D$12,2)</f>
        <v>672.63</v>
      </c>
      <c r="J24" s="26">
        <f t="shared" si="2"/>
        <v>106.67</v>
      </c>
    </row>
    <row r="25" spans="1:10" s="12" customFormat="1" ht="25.5" hidden="1" customHeight="1" outlineLevel="1" x14ac:dyDescent="0.2">
      <c r="A25" s="2">
        <v>8</v>
      </c>
      <c r="B25" s="137" t="s">
        <v>147</v>
      </c>
      <c r="C25" s="8" t="s">
        <v>148</v>
      </c>
      <c r="D25" s="2" t="s">
        <v>138</v>
      </c>
      <c r="E25" s="127">
        <v>0.53860066924843997</v>
      </c>
      <c r="F25" s="138">
        <v>8.1</v>
      </c>
      <c r="G25" s="26">
        <f t="shared" si="0"/>
        <v>4.3600000000000003</v>
      </c>
      <c r="H25" s="167">
        <f t="shared" si="1"/>
        <v>5.4382398064186203E-3</v>
      </c>
      <c r="I25" s="26">
        <f>ROUND(F25*Прил.10!$D$12,2)</f>
        <v>96.88</v>
      </c>
      <c r="J25" s="26">
        <f t="shared" si="2"/>
        <v>52.18</v>
      </c>
    </row>
    <row r="26" spans="1:10" s="12" customFormat="1" ht="25.5" hidden="1" customHeight="1" outlineLevel="1" x14ac:dyDescent="0.2">
      <c r="A26" s="2">
        <v>9</v>
      </c>
      <c r="B26" s="137" t="s">
        <v>149</v>
      </c>
      <c r="C26" s="8" t="s">
        <v>150</v>
      </c>
      <c r="D26" s="2" t="s">
        <v>138</v>
      </c>
      <c r="E26" s="127">
        <v>0.15856338310019</v>
      </c>
      <c r="F26" s="138">
        <v>16.920000000000002</v>
      </c>
      <c r="G26" s="26">
        <f t="shared" si="0"/>
        <v>2.68</v>
      </c>
      <c r="H26" s="167">
        <f t="shared" si="1"/>
        <v>3.3427712571563995E-3</v>
      </c>
      <c r="I26" s="26">
        <f>ROUND(F26*Прил.10!$D$12,2)</f>
        <v>202.36</v>
      </c>
      <c r="J26" s="26">
        <f t="shared" si="2"/>
        <v>32.090000000000003</v>
      </c>
    </row>
    <row r="27" spans="1:10" s="12" customFormat="1" ht="38.25" hidden="1" customHeight="1" outlineLevel="1" x14ac:dyDescent="0.2">
      <c r="A27" s="2">
        <v>10</v>
      </c>
      <c r="B27" s="137" t="s">
        <v>151</v>
      </c>
      <c r="C27" s="8" t="s">
        <v>152</v>
      </c>
      <c r="D27" s="2" t="s">
        <v>138</v>
      </c>
      <c r="E27" s="127">
        <v>0.16149381789858</v>
      </c>
      <c r="F27" s="138">
        <v>6.82</v>
      </c>
      <c r="G27" s="26">
        <f t="shared" si="0"/>
        <v>1.1000000000000001</v>
      </c>
      <c r="H27" s="167">
        <f t="shared" si="1"/>
        <v>1.3720329786835969E-3</v>
      </c>
      <c r="I27" s="26">
        <f>ROUND(F27*Прил.10!$D$12,2)</f>
        <v>81.569999999999993</v>
      </c>
      <c r="J27" s="26">
        <f t="shared" si="2"/>
        <v>13.17</v>
      </c>
    </row>
    <row r="28" spans="1:10" s="12" customFormat="1" ht="25.5" hidden="1" customHeight="1" outlineLevel="1" x14ac:dyDescent="0.2">
      <c r="A28" s="2">
        <v>11</v>
      </c>
      <c r="B28" s="137" t="s">
        <v>153</v>
      </c>
      <c r="C28" s="8" t="s">
        <v>154</v>
      </c>
      <c r="D28" s="2" t="s">
        <v>138</v>
      </c>
      <c r="E28" s="127">
        <v>5.7082593235457998E-3</v>
      </c>
      <c r="F28" s="138">
        <v>85.84</v>
      </c>
      <c r="G28" s="26">
        <f t="shared" si="0"/>
        <v>0.49</v>
      </c>
      <c r="H28" s="167">
        <f t="shared" si="1"/>
        <v>6.1117832686814766E-4</v>
      </c>
      <c r="I28" s="26">
        <f>ROUND(F28*Прил.10!$D$12,2)</f>
        <v>1026.6500000000001</v>
      </c>
      <c r="J28" s="26">
        <f t="shared" si="2"/>
        <v>5.86</v>
      </c>
    </row>
    <row r="29" spans="1:10" s="12" customFormat="1" ht="14.25" hidden="1" customHeight="1" outlineLevel="1" x14ac:dyDescent="0.2">
      <c r="A29" s="2">
        <v>12</v>
      </c>
      <c r="B29" s="137" t="s">
        <v>155</v>
      </c>
      <c r="C29" s="8" t="s">
        <v>156</v>
      </c>
      <c r="D29" s="2" t="s">
        <v>138</v>
      </c>
      <c r="E29" s="127">
        <v>0.15857050135278</v>
      </c>
      <c r="F29" s="138">
        <v>2.36</v>
      </c>
      <c r="G29" s="26">
        <f t="shared" si="0"/>
        <v>0.37</v>
      </c>
      <c r="H29" s="167">
        <f t="shared" si="1"/>
        <v>4.6150200192084616E-4</v>
      </c>
      <c r="I29" s="26">
        <f>ROUND(F29*Прил.10!$D$12,2)</f>
        <v>28.23</v>
      </c>
      <c r="J29" s="26">
        <f t="shared" si="2"/>
        <v>4.4800000000000004</v>
      </c>
    </row>
    <row r="30" spans="1:10" s="12" customFormat="1" ht="25.5" hidden="1" customHeight="1" outlineLevel="1" x14ac:dyDescent="0.2">
      <c r="A30" s="2">
        <v>13</v>
      </c>
      <c r="B30" s="137" t="s">
        <v>157</v>
      </c>
      <c r="C30" s="8" t="s">
        <v>158</v>
      </c>
      <c r="D30" s="2" t="s">
        <v>138</v>
      </c>
      <c r="E30" s="127">
        <v>0.20758289324198001</v>
      </c>
      <c r="F30" s="138">
        <v>1.7</v>
      </c>
      <c r="G30" s="26">
        <f t="shared" si="0"/>
        <v>0.35</v>
      </c>
      <c r="H30" s="167">
        <f t="shared" si="1"/>
        <v>4.3655594776296255E-4</v>
      </c>
      <c r="I30" s="26">
        <f>ROUND(F30*Прил.10!$D$12,2)</f>
        <v>20.329999999999998</v>
      </c>
      <c r="J30" s="26">
        <f t="shared" si="2"/>
        <v>4.22</v>
      </c>
    </row>
    <row r="31" spans="1:10" s="12" customFormat="1" ht="25.5" hidden="1" customHeight="1" outlineLevel="1" x14ac:dyDescent="0.2">
      <c r="A31" s="2">
        <v>14</v>
      </c>
      <c r="B31" s="137" t="s">
        <v>159</v>
      </c>
      <c r="C31" s="8" t="s">
        <v>160</v>
      </c>
      <c r="D31" s="2" t="s">
        <v>138</v>
      </c>
      <c r="E31" s="127">
        <v>0.15561296958359999</v>
      </c>
      <c r="F31" s="138">
        <v>0.9</v>
      </c>
      <c r="G31" s="26">
        <f t="shared" si="0"/>
        <v>0.14000000000000001</v>
      </c>
      <c r="H31" s="167">
        <f t="shared" si="1"/>
        <v>1.7462237910518505E-4</v>
      </c>
      <c r="I31" s="26">
        <f>ROUND(F31*Прил.10!$D$12,2)</f>
        <v>10.76</v>
      </c>
      <c r="J31" s="26">
        <f t="shared" si="2"/>
        <v>1.67</v>
      </c>
    </row>
    <row r="32" spans="1:10" s="12" customFormat="1" ht="14.25" customHeight="1" collapsed="1" x14ac:dyDescent="0.2">
      <c r="A32" s="2"/>
      <c r="B32" s="2"/>
      <c r="C32" s="8" t="s">
        <v>380</v>
      </c>
      <c r="D32" s="2"/>
      <c r="E32" s="187"/>
      <c r="F32" s="26"/>
      <c r="G32" s="135">
        <f>SUM(G21:G31)</f>
        <v>52.500000000000007</v>
      </c>
      <c r="H32" s="167">
        <f>G32/G33</f>
        <v>6.548339216444439E-2</v>
      </c>
      <c r="I32" s="26"/>
      <c r="J32" s="135">
        <f>SUM(J21:J31)</f>
        <v>628.00999999999988</v>
      </c>
    </row>
    <row r="33" spans="1:10" s="12" customFormat="1" ht="25.5" customHeight="1" x14ac:dyDescent="0.2">
      <c r="A33" s="2"/>
      <c r="B33" s="2"/>
      <c r="C33" s="119" t="s">
        <v>381</v>
      </c>
      <c r="D33" s="2"/>
      <c r="E33" s="187"/>
      <c r="F33" s="26"/>
      <c r="G33" s="26">
        <f>G20+G32</f>
        <v>801.73</v>
      </c>
      <c r="H33" s="132">
        <v>1</v>
      </c>
      <c r="I33" s="133"/>
      <c r="J33" s="26">
        <f>J20+J32</f>
        <v>9588.7900000000009</v>
      </c>
    </row>
    <row r="34" spans="1:10" s="12" customFormat="1" ht="14.25" customHeight="1" x14ac:dyDescent="0.2">
      <c r="A34" s="2"/>
      <c r="B34" s="227" t="s">
        <v>43</v>
      </c>
      <c r="C34" s="227"/>
      <c r="D34" s="243"/>
      <c r="E34" s="244"/>
      <c r="F34" s="245"/>
      <c r="G34" s="245"/>
      <c r="H34" s="246"/>
      <c r="I34" s="134"/>
      <c r="J34" s="134"/>
    </row>
    <row r="35" spans="1:10" x14ac:dyDescent="0.25">
      <c r="A35" s="2"/>
      <c r="B35" s="238" t="s">
        <v>382</v>
      </c>
      <c r="C35" s="238"/>
      <c r="D35" s="239"/>
      <c r="E35" s="240"/>
      <c r="F35" s="241"/>
      <c r="G35" s="241"/>
      <c r="H35" s="242"/>
      <c r="I35" s="134"/>
      <c r="J35" s="134"/>
    </row>
    <row r="36" spans="1:10" s="12" customFormat="1" ht="25.5" customHeight="1" x14ac:dyDescent="0.2">
      <c r="A36" s="2">
        <v>15</v>
      </c>
      <c r="B36" s="190" t="s">
        <v>161</v>
      </c>
      <c r="C36" s="191" t="s">
        <v>162</v>
      </c>
      <c r="D36" s="190" t="s">
        <v>163</v>
      </c>
      <c r="E36" s="201">
        <v>0.14285704638357999</v>
      </c>
      <c r="F36" s="193">
        <f>ROUND(I36/Прил.10!D14,2)</f>
        <v>788461.61</v>
      </c>
      <c r="G36" s="194">
        <f>ROUND(E36*F36,2)</f>
        <v>112637.3</v>
      </c>
      <c r="H36" s="195">
        <f t="shared" ref="H36:H51" si="3">G36/$G$52</f>
        <v>0.73968892655718965</v>
      </c>
      <c r="I36" s="26">
        <v>4935769.68</v>
      </c>
      <c r="J36" s="26">
        <f>ROUND(I36*E36,2)</f>
        <v>705109.48</v>
      </c>
    </row>
    <row r="37" spans="1:10" s="12" customFormat="1" ht="127.5" customHeight="1" x14ac:dyDescent="0.2">
      <c r="A37" s="2">
        <v>16</v>
      </c>
      <c r="B37" s="190" t="s">
        <v>161</v>
      </c>
      <c r="C37" s="191" t="s">
        <v>164</v>
      </c>
      <c r="D37" s="190" t="s">
        <v>163</v>
      </c>
      <c r="E37" s="201">
        <v>0.14285704609076</v>
      </c>
      <c r="F37" s="193">
        <f>ROUND(I37/Прил.10!D14,2)</f>
        <v>273841.59999999998</v>
      </c>
      <c r="G37" s="194">
        <f>ROUND(E37*F37,2)</f>
        <v>39120.199999999997</v>
      </c>
      <c r="H37" s="195">
        <f t="shared" si="3"/>
        <v>0.25690227610838123</v>
      </c>
      <c r="I37" s="26">
        <v>1714248.42</v>
      </c>
      <c r="J37" s="26">
        <f>ROUND(I37*E37,2)</f>
        <v>244892.47</v>
      </c>
    </row>
    <row r="38" spans="1:10" x14ac:dyDescent="0.25">
      <c r="A38" s="2"/>
      <c r="B38" s="190"/>
      <c r="C38" s="191" t="s">
        <v>383</v>
      </c>
      <c r="D38" s="190"/>
      <c r="E38" s="192"/>
      <c r="F38" s="193"/>
      <c r="G38" s="194">
        <f>SUM(G36:G37)</f>
        <v>151757.5</v>
      </c>
      <c r="H38" s="195">
        <f t="shared" si="3"/>
        <v>0.99659120266557089</v>
      </c>
      <c r="I38" s="135"/>
      <c r="J38" s="26">
        <f>SUM(J36:J37)</f>
        <v>950001.95</v>
      </c>
    </row>
    <row r="39" spans="1:10" s="12" customFormat="1" ht="14.25" hidden="1" customHeight="1" outlineLevel="1" x14ac:dyDescent="0.2">
      <c r="A39" s="2">
        <v>17</v>
      </c>
      <c r="B39" s="190" t="s">
        <v>161</v>
      </c>
      <c r="C39" s="191" t="s">
        <v>165</v>
      </c>
      <c r="D39" s="190" t="s">
        <v>166</v>
      </c>
      <c r="E39" s="202">
        <v>1.5714231762552999</v>
      </c>
      <c r="F39" s="193">
        <v>196.91</v>
      </c>
      <c r="G39" s="194">
        <f t="shared" ref="G39:G50" si="4">ROUND(E39*F39,2)</f>
        <v>309.43</v>
      </c>
      <c r="H39" s="195">
        <f t="shared" si="3"/>
        <v>2.0320261986445979E-3</v>
      </c>
      <c r="I39" s="26">
        <f>ROUND(F39*Прил.10!$D$14,2)</f>
        <v>1232.6600000000001</v>
      </c>
      <c r="J39" s="26">
        <f t="shared" ref="J39:J50" si="5">ROUND(I39*E39,2)</f>
        <v>1937.03</v>
      </c>
    </row>
    <row r="40" spans="1:10" s="12" customFormat="1" ht="25.5" hidden="1" customHeight="1" outlineLevel="1" x14ac:dyDescent="0.2">
      <c r="A40" s="2">
        <v>18</v>
      </c>
      <c r="B40" s="190" t="s">
        <v>167</v>
      </c>
      <c r="C40" s="191" t="s">
        <v>168</v>
      </c>
      <c r="D40" s="190" t="s">
        <v>166</v>
      </c>
      <c r="E40" s="202">
        <v>0.57142613029575995</v>
      </c>
      <c r="F40" s="193">
        <v>204.29</v>
      </c>
      <c r="G40" s="194">
        <f t="shared" si="4"/>
        <v>116.74</v>
      </c>
      <c r="H40" s="195">
        <f t="shared" si="3"/>
        <v>7.6663134935129229E-4</v>
      </c>
      <c r="I40" s="26">
        <f>ROUND(F40*Прил.10!$D$14,2)</f>
        <v>1278.8599999999999</v>
      </c>
      <c r="J40" s="26">
        <f t="shared" si="5"/>
        <v>730.77</v>
      </c>
    </row>
    <row r="41" spans="1:10" s="12" customFormat="1" ht="14.25" hidden="1" customHeight="1" outlineLevel="1" x14ac:dyDescent="0.2">
      <c r="A41" s="2">
        <v>19</v>
      </c>
      <c r="B41" s="190" t="s">
        <v>161</v>
      </c>
      <c r="C41" s="191" t="s">
        <v>169</v>
      </c>
      <c r="D41" s="190" t="s">
        <v>166</v>
      </c>
      <c r="E41" s="202">
        <v>3.5713333962866001</v>
      </c>
      <c r="F41" s="193">
        <v>9.84</v>
      </c>
      <c r="G41" s="194">
        <f t="shared" si="4"/>
        <v>35.14</v>
      </c>
      <c r="H41" s="195">
        <f t="shared" si="3"/>
        <v>2.3076431057224953E-4</v>
      </c>
      <c r="I41" s="26">
        <f>ROUND(F41*Прил.10!$D$14,2)</f>
        <v>61.6</v>
      </c>
      <c r="J41" s="26">
        <f t="shared" si="5"/>
        <v>219.99</v>
      </c>
    </row>
    <row r="42" spans="1:10" s="12" customFormat="1" ht="25.5" hidden="1" customHeight="1" outlineLevel="1" x14ac:dyDescent="0.2">
      <c r="A42" s="2">
        <v>20</v>
      </c>
      <c r="B42" s="190" t="s">
        <v>170</v>
      </c>
      <c r="C42" s="191" t="s">
        <v>171</v>
      </c>
      <c r="D42" s="190" t="s">
        <v>172</v>
      </c>
      <c r="E42" s="192">
        <v>4.9999966248434002E-2</v>
      </c>
      <c r="F42" s="193">
        <v>671</v>
      </c>
      <c r="G42" s="194">
        <f t="shared" si="4"/>
        <v>33.549999999999997</v>
      </c>
      <c r="H42" s="195">
        <f t="shared" si="3"/>
        <v>2.203227837136873E-4</v>
      </c>
      <c r="I42" s="26">
        <f>ROUND(F42*Прил.10!$D$14,2)</f>
        <v>4200.46</v>
      </c>
      <c r="J42" s="26">
        <f t="shared" si="5"/>
        <v>210.02</v>
      </c>
    </row>
    <row r="43" spans="1:10" s="12" customFormat="1" ht="25.5" hidden="1" customHeight="1" outlineLevel="1" x14ac:dyDescent="0.2">
      <c r="A43" s="2">
        <v>21</v>
      </c>
      <c r="B43" s="190" t="s">
        <v>173</v>
      </c>
      <c r="C43" s="191" t="s">
        <v>174</v>
      </c>
      <c r="D43" s="190" t="s">
        <v>166</v>
      </c>
      <c r="E43" s="202">
        <v>3.5720540224920998</v>
      </c>
      <c r="F43" s="193">
        <v>3.09</v>
      </c>
      <c r="G43" s="194">
        <f t="shared" si="4"/>
        <v>11.04</v>
      </c>
      <c r="H43" s="195">
        <f t="shared" si="3"/>
        <v>7.2499658187752833E-5</v>
      </c>
      <c r="I43" s="26">
        <f>ROUND(F43*Прил.10!$D$14,2)</f>
        <v>19.34</v>
      </c>
      <c r="J43" s="26">
        <f t="shared" si="5"/>
        <v>69.08</v>
      </c>
    </row>
    <row r="44" spans="1:10" s="12" customFormat="1" ht="14.25" hidden="1" customHeight="1" outlineLevel="1" x14ac:dyDescent="0.2">
      <c r="A44" s="2">
        <v>22</v>
      </c>
      <c r="B44" s="2" t="s">
        <v>161</v>
      </c>
      <c r="C44" s="8" t="s">
        <v>175</v>
      </c>
      <c r="D44" s="2" t="s">
        <v>166</v>
      </c>
      <c r="E44" s="203">
        <v>2.14260718384</v>
      </c>
      <c r="F44" s="138">
        <v>3.03</v>
      </c>
      <c r="G44" s="26">
        <f t="shared" si="4"/>
        <v>6.49</v>
      </c>
      <c r="H44" s="167">
        <f t="shared" si="3"/>
        <v>4.2619817177401809E-5</v>
      </c>
      <c r="I44" s="26">
        <f>ROUND(F44*Прил.10!$D$14,2)</f>
        <v>18.97</v>
      </c>
      <c r="J44" s="26">
        <f t="shared" si="5"/>
        <v>40.65</v>
      </c>
    </row>
    <row r="45" spans="1:10" s="12" customFormat="1" ht="25.5" hidden="1" customHeight="1" outlineLevel="1" x14ac:dyDescent="0.2">
      <c r="A45" s="2">
        <v>23</v>
      </c>
      <c r="B45" s="2" t="s">
        <v>161</v>
      </c>
      <c r="C45" s="8" t="s">
        <v>176</v>
      </c>
      <c r="D45" s="2" t="s">
        <v>166</v>
      </c>
      <c r="E45" s="203">
        <v>0.57147196343031004</v>
      </c>
      <c r="F45" s="138">
        <v>7.09</v>
      </c>
      <c r="G45" s="26">
        <f t="shared" si="4"/>
        <v>4.05</v>
      </c>
      <c r="H45" s="167">
        <f t="shared" si="3"/>
        <v>2.6596341998224547E-5</v>
      </c>
      <c r="I45" s="26">
        <f>ROUND(F45*Прил.10!$D$14,2)</f>
        <v>44.38</v>
      </c>
      <c r="J45" s="26">
        <f t="shared" si="5"/>
        <v>25.36</v>
      </c>
    </row>
    <row r="46" spans="1:10" s="12" customFormat="1" ht="25.5" hidden="1" customHeight="1" outlineLevel="1" x14ac:dyDescent="0.2">
      <c r="A46" s="2">
        <v>24</v>
      </c>
      <c r="B46" s="2" t="s">
        <v>173</v>
      </c>
      <c r="C46" s="8" t="s">
        <v>174</v>
      </c>
      <c r="D46" s="2" t="s">
        <v>166</v>
      </c>
      <c r="E46" s="203">
        <v>0.28576432179937</v>
      </c>
      <c r="F46" s="138">
        <v>3.09</v>
      </c>
      <c r="G46" s="26">
        <f t="shared" si="4"/>
        <v>0.88</v>
      </c>
      <c r="H46" s="167">
        <f t="shared" si="3"/>
        <v>5.7789582613426182E-6</v>
      </c>
      <c r="I46" s="26">
        <f>ROUND(F46*Прил.10!$D$14,2)</f>
        <v>19.34</v>
      </c>
      <c r="J46" s="26">
        <f t="shared" si="5"/>
        <v>5.53</v>
      </c>
    </row>
    <row r="47" spans="1:10" s="12" customFormat="1" ht="25.5" hidden="1" customHeight="1" outlineLevel="1" x14ac:dyDescent="0.2">
      <c r="A47" s="2">
        <v>25</v>
      </c>
      <c r="B47" s="2" t="s">
        <v>177</v>
      </c>
      <c r="C47" s="8" t="s">
        <v>178</v>
      </c>
      <c r="D47" s="2" t="s">
        <v>179</v>
      </c>
      <c r="E47" s="136">
        <v>5.7142818569639003E-4</v>
      </c>
      <c r="F47" s="138">
        <v>1235</v>
      </c>
      <c r="G47" s="26">
        <f t="shared" si="4"/>
        <v>0.71</v>
      </c>
      <c r="H47" s="167">
        <f t="shared" si="3"/>
        <v>4.6625685972196123E-6</v>
      </c>
      <c r="I47" s="26">
        <f>ROUND(F47*Прил.10!$D$14,2)</f>
        <v>7731.1</v>
      </c>
      <c r="J47" s="26">
        <f t="shared" si="5"/>
        <v>4.42</v>
      </c>
    </row>
    <row r="48" spans="1:10" s="12" customFormat="1" ht="25.5" hidden="1" customHeight="1" outlineLevel="1" x14ac:dyDescent="0.2">
      <c r="A48" s="2">
        <v>26</v>
      </c>
      <c r="B48" s="2" t="s">
        <v>177</v>
      </c>
      <c r="C48" s="8" t="s">
        <v>178</v>
      </c>
      <c r="D48" s="2" t="s">
        <v>179</v>
      </c>
      <c r="E48" s="136">
        <v>2.8571409284818997E-4</v>
      </c>
      <c r="F48" s="138">
        <v>1235</v>
      </c>
      <c r="G48" s="26">
        <f t="shared" si="4"/>
        <v>0.35</v>
      </c>
      <c r="H48" s="167">
        <f t="shared" si="3"/>
        <v>2.2984493084885411E-6</v>
      </c>
      <c r="I48" s="26">
        <f>ROUND(F48*Прил.10!$D$14,2)</f>
        <v>7731.1</v>
      </c>
      <c r="J48" s="26">
        <f t="shared" si="5"/>
        <v>2.21</v>
      </c>
    </row>
    <row r="49" spans="1:10" s="12" customFormat="1" ht="25.5" hidden="1" customHeight="1" outlineLevel="1" x14ac:dyDescent="0.2">
      <c r="A49" s="2">
        <v>27</v>
      </c>
      <c r="B49" s="2" t="s">
        <v>177</v>
      </c>
      <c r="C49" s="8" t="s">
        <v>178</v>
      </c>
      <c r="D49" s="2" t="s">
        <v>179</v>
      </c>
      <c r="E49" s="136">
        <v>2.8571409284818997E-4</v>
      </c>
      <c r="F49" s="138">
        <v>1235</v>
      </c>
      <c r="G49" s="26">
        <f t="shared" si="4"/>
        <v>0.35</v>
      </c>
      <c r="H49" s="167">
        <f t="shared" si="3"/>
        <v>2.2984493084885411E-6</v>
      </c>
      <c r="I49" s="26">
        <f>ROUND(F49*Прил.10!$D$14,2)</f>
        <v>7731.1</v>
      </c>
      <c r="J49" s="26">
        <f t="shared" si="5"/>
        <v>2.21</v>
      </c>
    </row>
    <row r="50" spans="1:10" s="12" customFormat="1" ht="25.5" hidden="1" customHeight="1" outlineLevel="1" x14ac:dyDescent="0.2">
      <c r="A50" s="2">
        <v>28</v>
      </c>
      <c r="B50" s="2" t="s">
        <v>177</v>
      </c>
      <c r="C50" s="8" t="s">
        <v>178</v>
      </c>
      <c r="D50" s="2" t="s">
        <v>179</v>
      </c>
      <c r="E50" s="136">
        <v>2.8571409284818997E-4</v>
      </c>
      <c r="F50" s="138">
        <v>1235</v>
      </c>
      <c r="G50" s="26">
        <f t="shared" si="4"/>
        <v>0.35</v>
      </c>
      <c r="H50" s="167">
        <f t="shared" si="3"/>
        <v>2.2984493084885411E-6</v>
      </c>
      <c r="I50" s="26">
        <f>ROUND(F50*Прил.10!$D$14,2)</f>
        <v>7731.1</v>
      </c>
      <c r="J50" s="26">
        <f t="shared" si="5"/>
        <v>2.21</v>
      </c>
    </row>
    <row r="51" spans="1:10" collapsed="1" x14ac:dyDescent="0.25">
      <c r="A51" s="2"/>
      <c r="B51" s="2"/>
      <c r="C51" s="8" t="s">
        <v>384</v>
      </c>
      <c r="D51" s="2"/>
      <c r="E51" s="127"/>
      <c r="F51" s="138"/>
      <c r="G51" s="26">
        <f>SUM(G39:G50)</f>
        <v>519.08000000000004</v>
      </c>
      <c r="H51" s="167">
        <f t="shared" si="3"/>
        <v>3.4087973344292346E-3</v>
      </c>
      <c r="I51" s="135"/>
      <c r="J51" s="26">
        <f>SUM(J39:J50)</f>
        <v>3249.4800000000005</v>
      </c>
    </row>
    <row r="52" spans="1:10" x14ac:dyDescent="0.25">
      <c r="A52" s="2"/>
      <c r="B52" s="2"/>
      <c r="C52" s="119" t="s">
        <v>385</v>
      </c>
      <c r="D52" s="2"/>
      <c r="E52" s="187"/>
      <c r="F52" s="138"/>
      <c r="G52" s="26">
        <f>G38+G51</f>
        <v>152276.57999999999</v>
      </c>
      <c r="H52" s="167">
        <f>H38+H51</f>
        <v>1.0000000000000002</v>
      </c>
      <c r="I52" s="135"/>
      <c r="J52" s="26">
        <f>J51+J38</f>
        <v>953251.42999999993</v>
      </c>
    </row>
    <row r="53" spans="1:10" ht="25.5" customHeight="1" x14ac:dyDescent="0.25">
      <c r="A53" s="2"/>
      <c r="B53" s="2"/>
      <c r="C53" s="8" t="s">
        <v>386</v>
      </c>
      <c r="D53" s="2"/>
      <c r="E53" s="136"/>
      <c r="F53" s="138"/>
      <c r="G53" s="26">
        <f>'Прил.6 Расчет ОБ'!G26</f>
        <v>152276.57999999999</v>
      </c>
      <c r="H53" s="188"/>
      <c r="I53" s="135"/>
      <c r="J53" s="26">
        <f>J52</f>
        <v>953251.42999999993</v>
      </c>
    </row>
    <row r="54" spans="1:10" s="12" customFormat="1" ht="14.25" customHeight="1" x14ac:dyDescent="0.2">
      <c r="A54" s="2"/>
      <c r="B54" s="227" t="s">
        <v>180</v>
      </c>
      <c r="C54" s="227"/>
      <c r="D54" s="243"/>
      <c r="E54" s="244"/>
      <c r="F54" s="245"/>
      <c r="G54" s="245"/>
      <c r="H54" s="246"/>
      <c r="I54" s="134"/>
      <c r="J54" s="134"/>
    </row>
    <row r="55" spans="1:10" s="12" customFormat="1" ht="14.25" customHeight="1" x14ac:dyDescent="0.2">
      <c r="A55" s="185"/>
      <c r="B55" s="233" t="s">
        <v>387</v>
      </c>
      <c r="C55" s="233"/>
      <c r="D55" s="234"/>
      <c r="E55" s="235"/>
      <c r="F55" s="236"/>
      <c r="G55" s="236"/>
      <c r="H55" s="237"/>
      <c r="I55" s="168"/>
      <c r="J55" s="168"/>
    </row>
    <row r="56" spans="1:10" s="12" customFormat="1" ht="14.25" customHeight="1" x14ac:dyDescent="0.2">
      <c r="A56" s="2">
        <v>29</v>
      </c>
      <c r="B56" s="2" t="s">
        <v>181</v>
      </c>
      <c r="C56" s="8" t="s">
        <v>182</v>
      </c>
      <c r="D56" s="2" t="s">
        <v>183</v>
      </c>
      <c r="E56" s="136">
        <v>13.697166849612</v>
      </c>
      <c r="F56" s="138">
        <v>30.6</v>
      </c>
      <c r="G56" s="26">
        <f t="shared" ref="G56:G72" si="6">ROUND(E56*F56,2)</f>
        <v>419.13</v>
      </c>
      <c r="H56" s="167">
        <f t="shared" ref="H56:H87" si="7">G56/$G$124</f>
        <v>0.45033845492639957</v>
      </c>
      <c r="I56" s="26">
        <f>ROUND(F56*Прил.10!$D$13,2)</f>
        <v>301.10000000000002</v>
      </c>
      <c r="J56" s="26">
        <f t="shared" ref="J56:J72" si="8">ROUND(I56*E56,2)</f>
        <v>4124.22</v>
      </c>
    </row>
    <row r="57" spans="1:10" s="12" customFormat="1" ht="14.25" customHeight="1" x14ac:dyDescent="0.2">
      <c r="A57" s="2">
        <v>30</v>
      </c>
      <c r="B57" s="2" t="s">
        <v>184</v>
      </c>
      <c r="C57" s="8" t="s">
        <v>185</v>
      </c>
      <c r="D57" s="2" t="s">
        <v>186</v>
      </c>
      <c r="E57" s="136">
        <v>1.062851101332E-2</v>
      </c>
      <c r="F57" s="138">
        <v>5763</v>
      </c>
      <c r="G57" s="26">
        <f t="shared" si="6"/>
        <v>61.25</v>
      </c>
      <c r="H57" s="167">
        <f t="shared" si="7"/>
        <v>6.581068013323306E-2</v>
      </c>
      <c r="I57" s="26">
        <f>ROUND(F57*Прил.10!$D$13,2)</f>
        <v>56707.92</v>
      </c>
      <c r="J57" s="26">
        <f t="shared" si="8"/>
        <v>602.72</v>
      </c>
    </row>
    <row r="58" spans="1:10" s="12" customFormat="1" ht="14.25" customHeight="1" x14ac:dyDescent="0.2">
      <c r="A58" s="2">
        <v>31</v>
      </c>
      <c r="B58" s="2" t="s">
        <v>187</v>
      </c>
      <c r="C58" s="8" t="s">
        <v>188</v>
      </c>
      <c r="D58" s="2" t="s">
        <v>172</v>
      </c>
      <c r="E58" s="136">
        <v>7.2856252943490005E-2</v>
      </c>
      <c r="F58" s="138">
        <v>580</v>
      </c>
      <c r="G58" s="26">
        <f t="shared" si="6"/>
        <v>42.26</v>
      </c>
      <c r="H58" s="167">
        <f t="shared" si="7"/>
        <v>4.5406683141721291E-2</v>
      </c>
      <c r="I58" s="26">
        <f>ROUND(F58*Прил.10!$D$13,2)</f>
        <v>5707.2</v>
      </c>
      <c r="J58" s="26">
        <f t="shared" si="8"/>
        <v>415.81</v>
      </c>
    </row>
    <row r="59" spans="1:10" s="12" customFormat="1" ht="25.5" customHeight="1" x14ac:dyDescent="0.2">
      <c r="A59" s="2">
        <v>32</v>
      </c>
      <c r="B59" s="2" t="s">
        <v>189</v>
      </c>
      <c r="C59" s="8" t="s">
        <v>190</v>
      </c>
      <c r="D59" s="2" t="s">
        <v>191</v>
      </c>
      <c r="E59" s="136">
        <v>36.663837878327001</v>
      </c>
      <c r="F59" s="138">
        <v>1</v>
      </c>
      <c r="G59" s="26">
        <f t="shared" si="6"/>
        <v>36.659999999999997</v>
      </c>
      <c r="H59" s="167">
        <f t="shared" si="7"/>
        <v>3.9389706672397128E-2</v>
      </c>
      <c r="I59" s="26">
        <f>ROUND(F59*Прил.10!$D$13,2)</f>
        <v>9.84</v>
      </c>
      <c r="J59" s="26">
        <f t="shared" si="8"/>
        <v>360.77</v>
      </c>
    </row>
    <row r="60" spans="1:10" s="12" customFormat="1" ht="14.25" customHeight="1" x14ac:dyDescent="0.2">
      <c r="A60" s="2">
        <v>33</v>
      </c>
      <c r="B60" s="2" t="s">
        <v>192</v>
      </c>
      <c r="C60" s="8" t="s">
        <v>193</v>
      </c>
      <c r="D60" s="2" t="s">
        <v>186</v>
      </c>
      <c r="E60" s="136">
        <v>4.2856619378524004E-3</v>
      </c>
      <c r="F60" s="138">
        <v>6800</v>
      </c>
      <c r="G60" s="26">
        <f t="shared" si="6"/>
        <v>29.14</v>
      </c>
      <c r="H60" s="167">
        <f t="shared" si="7"/>
        <v>3.1309766842161822E-2</v>
      </c>
      <c r="I60" s="26">
        <f>ROUND(F60*Прил.10!$D$13,2)</f>
        <v>66912</v>
      </c>
      <c r="J60" s="26">
        <f t="shared" si="8"/>
        <v>286.76</v>
      </c>
    </row>
    <row r="61" spans="1:10" s="12" customFormat="1" ht="25.5" customHeight="1" x14ac:dyDescent="0.2">
      <c r="A61" s="2">
        <v>34</v>
      </c>
      <c r="B61" s="2" t="s">
        <v>194</v>
      </c>
      <c r="C61" s="8" t="s">
        <v>195</v>
      </c>
      <c r="D61" s="2" t="s">
        <v>186</v>
      </c>
      <c r="E61" s="136">
        <v>4.8569809109338001E-3</v>
      </c>
      <c r="F61" s="138">
        <v>5941.89</v>
      </c>
      <c r="G61" s="26">
        <f t="shared" si="6"/>
        <v>28.86</v>
      </c>
      <c r="H61" s="167">
        <f t="shared" si="7"/>
        <v>3.1008918018695611E-2</v>
      </c>
      <c r="I61" s="26">
        <f>ROUND(F61*Прил.10!$D$13,2)</f>
        <v>58468.2</v>
      </c>
      <c r="J61" s="26">
        <f t="shared" si="8"/>
        <v>283.98</v>
      </c>
    </row>
    <row r="62" spans="1:10" s="12" customFormat="1" ht="25.5" customHeight="1" x14ac:dyDescent="0.2">
      <c r="A62" s="2">
        <v>35</v>
      </c>
      <c r="B62" s="2" t="s">
        <v>196</v>
      </c>
      <c r="C62" s="8" t="s">
        <v>197</v>
      </c>
      <c r="D62" s="2" t="s">
        <v>183</v>
      </c>
      <c r="E62" s="136">
        <v>1.0843125642561</v>
      </c>
      <c r="F62" s="138">
        <v>23.79</v>
      </c>
      <c r="G62" s="26">
        <f t="shared" si="6"/>
        <v>25.8</v>
      </c>
      <c r="H62" s="167">
        <f t="shared" si="7"/>
        <v>2.772107016224348E-2</v>
      </c>
      <c r="I62" s="26">
        <f>ROUND(F62*Прил.10!$D$13,2)</f>
        <v>234.09</v>
      </c>
      <c r="J62" s="26">
        <f t="shared" si="8"/>
        <v>253.83</v>
      </c>
    </row>
    <row r="63" spans="1:10" s="12" customFormat="1" ht="63.75" customHeight="1" x14ac:dyDescent="0.2">
      <c r="A63" s="2">
        <v>36</v>
      </c>
      <c r="B63" s="2" t="s">
        <v>198</v>
      </c>
      <c r="C63" s="8" t="s">
        <v>199</v>
      </c>
      <c r="D63" s="2" t="s">
        <v>179</v>
      </c>
      <c r="E63" s="136">
        <v>8.5714195084660005E-3</v>
      </c>
      <c r="F63" s="138">
        <v>3005.8</v>
      </c>
      <c r="G63" s="26">
        <f t="shared" si="6"/>
        <v>25.76</v>
      </c>
      <c r="H63" s="167">
        <f t="shared" si="7"/>
        <v>2.7678091758891164E-2</v>
      </c>
      <c r="I63" s="26">
        <f>ROUND(F63*Прил.10!$D$13,2)</f>
        <v>29577.07</v>
      </c>
      <c r="J63" s="26">
        <f t="shared" si="8"/>
        <v>253.52</v>
      </c>
    </row>
    <row r="64" spans="1:10" s="12" customFormat="1" ht="14.25" customHeight="1" x14ac:dyDescent="0.2">
      <c r="A64" s="2">
        <v>37</v>
      </c>
      <c r="B64" s="2" t="s">
        <v>200</v>
      </c>
      <c r="C64" s="8" t="s">
        <v>201</v>
      </c>
      <c r="D64" s="2" t="s">
        <v>202</v>
      </c>
      <c r="E64" s="136">
        <v>0.12645928483714</v>
      </c>
      <c r="F64" s="138">
        <v>155</v>
      </c>
      <c r="G64" s="26">
        <f t="shared" si="6"/>
        <v>19.600000000000001</v>
      </c>
      <c r="H64" s="167">
        <f t="shared" si="7"/>
        <v>2.1059417642634581E-2</v>
      </c>
      <c r="I64" s="26">
        <f>ROUND(F64*Прил.10!$D$13,2)</f>
        <v>1525.2</v>
      </c>
      <c r="J64" s="26">
        <f t="shared" si="8"/>
        <v>192.88</v>
      </c>
    </row>
    <row r="65" spans="1:10" s="12" customFormat="1" ht="14.25" customHeight="1" x14ac:dyDescent="0.2">
      <c r="A65" s="2">
        <v>38</v>
      </c>
      <c r="B65" s="2" t="s">
        <v>203</v>
      </c>
      <c r="C65" s="8" t="s">
        <v>204</v>
      </c>
      <c r="D65" s="2" t="s">
        <v>186</v>
      </c>
      <c r="E65" s="136">
        <v>2.5713971627113998E-4</v>
      </c>
      <c r="F65" s="138">
        <v>75000</v>
      </c>
      <c r="G65" s="26">
        <f t="shared" si="6"/>
        <v>19.29</v>
      </c>
      <c r="H65" s="167">
        <f t="shared" si="7"/>
        <v>2.0726335016654135E-2</v>
      </c>
      <c r="I65" s="26">
        <f>ROUND(F65*Прил.10!$D$13,2)</f>
        <v>738000</v>
      </c>
      <c r="J65" s="26">
        <f t="shared" si="8"/>
        <v>189.77</v>
      </c>
    </row>
    <row r="66" spans="1:10" s="12" customFormat="1" ht="25.5" customHeight="1" x14ac:dyDescent="0.2">
      <c r="A66" s="2">
        <v>39</v>
      </c>
      <c r="B66" s="2" t="s">
        <v>205</v>
      </c>
      <c r="C66" s="8" t="s">
        <v>206</v>
      </c>
      <c r="D66" s="2" t="s">
        <v>183</v>
      </c>
      <c r="E66" s="136">
        <v>1.0857140739161</v>
      </c>
      <c r="F66" s="138">
        <v>15.13</v>
      </c>
      <c r="G66" s="26">
        <f t="shared" si="6"/>
        <v>16.43</v>
      </c>
      <c r="H66" s="167">
        <f t="shared" si="7"/>
        <v>1.7653379176963579E-2</v>
      </c>
      <c r="I66" s="26">
        <f>ROUND(F66*Прил.10!$D$13,2)</f>
        <v>148.88</v>
      </c>
      <c r="J66" s="26">
        <f t="shared" si="8"/>
        <v>161.63999999999999</v>
      </c>
    </row>
    <row r="67" spans="1:10" s="12" customFormat="1" ht="25.5" customHeight="1" x14ac:dyDescent="0.2">
      <c r="A67" s="2">
        <v>40</v>
      </c>
      <c r="B67" s="2" t="s">
        <v>207</v>
      </c>
      <c r="C67" s="8" t="s">
        <v>208</v>
      </c>
      <c r="D67" s="2" t="s">
        <v>186</v>
      </c>
      <c r="E67" s="136">
        <v>1.2856985813557E-3</v>
      </c>
      <c r="F67" s="138">
        <v>11500</v>
      </c>
      <c r="G67" s="26">
        <f t="shared" si="6"/>
        <v>14.79</v>
      </c>
      <c r="H67" s="167">
        <f t="shared" si="7"/>
        <v>1.5891264639518645E-2</v>
      </c>
      <c r="I67" s="26">
        <f>ROUND(F67*Прил.10!$D$13,2)</f>
        <v>113160</v>
      </c>
      <c r="J67" s="26">
        <f t="shared" si="8"/>
        <v>145.49</v>
      </c>
    </row>
    <row r="68" spans="1:10" s="12" customFormat="1" ht="14.25" customHeight="1" x14ac:dyDescent="0.2">
      <c r="A68" s="2">
        <v>41</v>
      </c>
      <c r="B68" s="2" t="s">
        <v>209</v>
      </c>
      <c r="C68" s="8" t="s">
        <v>210</v>
      </c>
      <c r="D68" s="2" t="s">
        <v>172</v>
      </c>
      <c r="E68" s="136">
        <v>0.45998380224685997</v>
      </c>
      <c r="F68" s="138">
        <v>30.74</v>
      </c>
      <c r="G68" s="26">
        <f t="shared" si="6"/>
        <v>14.14</v>
      </c>
      <c r="H68" s="167">
        <f t="shared" si="7"/>
        <v>1.5192865585043519E-2</v>
      </c>
      <c r="I68" s="26">
        <f>ROUND(F68*Прил.10!$D$13,2)</f>
        <v>302.48</v>
      </c>
      <c r="J68" s="26">
        <f t="shared" si="8"/>
        <v>139.13999999999999</v>
      </c>
    </row>
    <row r="69" spans="1:10" s="12" customFormat="1" ht="25.5" customHeight="1" x14ac:dyDescent="0.2">
      <c r="A69" s="2">
        <v>42</v>
      </c>
      <c r="B69" s="2" t="s">
        <v>211</v>
      </c>
      <c r="C69" s="8" t="s">
        <v>212</v>
      </c>
      <c r="D69" s="2" t="s">
        <v>213</v>
      </c>
      <c r="E69" s="136">
        <v>2.5714200420554E-3</v>
      </c>
      <c r="F69" s="138">
        <v>4949.3999999999996</v>
      </c>
      <c r="G69" s="26">
        <f t="shared" si="6"/>
        <v>12.73</v>
      </c>
      <c r="H69" s="167">
        <f t="shared" si="7"/>
        <v>1.3677876866874399E-2</v>
      </c>
      <c r="I69" s="26">
        <f>ROUND(F69*Прил.10!$D$13,2)</f>
        <v>48702.1</v>
      </c>
      <c r="J69" s="26">
        <f t="shared" si="8"/>
        <v>125.23</v>
      </c>
    </row>
    <row r="70" spans="1:10" s="12" customFormat="1" ht="25.5" customHeight="1" x14ac:dyDescent="0.2">
      <c r="A70" s="2">
        <v>43</v>
      </c>
      <c r="B70" s="2" t="s">
        <v>214</v>
      </c>
      <c r="C70" s="8" t="s">
        <v>215</v>
      </c>
      <c r="D70" s="2" t="s">
        <v>186</v>
      </c>
      <c r="E70" s="136">
        <v>4.7143880505451998E-4</v>
      </c>
      <c r="F70" s="138">
        <v>26932.42</v>
      </c>
      <c r="G70" s="26">
        <f t="shared" si="6"/>
        <v>12.7</v>
      </c>
      <c r="H70" s="167">
        <f t="shared" si="7"/>
        <v>1.364564306436016E-2</v>
      </c>
      <c r="I70" s="26">
        <f>ROUND(F70*Прил.10!$D$13,2)</f>
        <v>265015.01</v>
      </c>
      <c r="J70" s="26">
        <f t="shared" si="8"/>
        <v>124.94</v>
      </c>
    </row>
    <row r="71" spans="1:10" s="12" customFormat="1" ht="25.5" customHeight="1" x14ac:dyDescent="0.2">
      <c r="A71" s="2">
        <v>44</v>
      </c>
      <c r="B71" s="2" t="s">
        <v>216</v>
      </c>
      <c r="C71" s="8" t="s">
        <v>217</v>
      </c>
      <c r="D71" s="2" t="s">
        <v>202</v>
      </c>
      <c r="E71" s="136">
        <v>0.18385435395745001</v>
      </c>
      <c r="F71" s="138">
        <v>65.75</v>
      </c>
      <c r="G71" s="26">
        <f t="shared" si="6"/>
        <v>12.09</v>
      </c>
      <c r="H71" s="167">
        <f t="shared" si="7"/>
        <v>1.299022241323735E-2</v>
      </c>
      <c r="I71" s="26">
        <f>ROUND(F71*Прил.10!$D$13,2)</f>
        <v>646.98</v>
      </c>
      <c r="J71" s="26">
        <f t="shared" si="8"/>
        <v>118.95</v>
      </c>
    </row>
    <row r="72" spans="1:10" s="12" customFormat="1" ht="25.5" customHeight="1" x14ac:dyDescent="0.2">
      <c r="A72" s="2">
        <v>45</v>
      </c>
      <c r="B72" s="2" t="s">
        <v>218</v>
      </c>
      <c r="C72" s="8" t="s">
        <v>219</v>
      </c>
      <c r="D72" s="2" t="s">
        <v>186</v>
      </c>
      <c r="E72" s="136">
        <v>1.7142813342458001E-3</v>
      </c>
      <c r="F72" s="138">
        <v>5891.61</v>
      </c>
      <c r="G72" s="26">
        <f t="shared" si="6"/>
        <v>10.1</v>
      </c>
      <c r="H72" s="167">
        <f t="shared" si="7"/>
        <v>1.0852046846459656E-2</v>
      </c>
      <c r="I72" s="26">
        <f>ROUND(F72*Прил.10!$D$13,2)</f>
        <v>57973.440000000002</v>
      </c>
      <c r="J72" s="26">
        <f t="shared" si="8"/>
        <v>99.38</v>
      </c>
    </row>
    <row r="73" spans="1:10" s="12" customFormat="1" ht="14.25" customHeight="1" x14ac:dyDescent="0.2">
      <c r="A73" s="169"/>
      <c r="B73" s="170"/>
      <c r="C73" s="171" t="s">
        <v>388</v>
      </c>
      <c r="D73" s="169"/>
      <c r="E73" s="172"/>
      <c r="F73" s="173"/>
      <c r="G73" s="173">
        <f>SUM(G56:G72)</f>
        <v>800.7299999999999</v>
      </c>
      <c r="H73" s="167">
        <f t="shared" si="7"/>
        <v>0.86035242290748903</v>
      </c>
      <c r="I73" s="26"/>
      <c r="J73" s="173">
        <f>SUM(J56:J72)</f>
        <v>7879.0300000000007</v>
      </c>
    </row>
    <row r="74" spans="1:10" s="12" customFormat="1" ht="51" hidden="1" customHeight="1" outlineLevel="1" x14ac:dyDescent="0.2">
      <c r="A74" s="2">
        <v>46</v>
      </c>
      <c r="B74" s="2" t="s">
        <v>220</v>
      </c>
      <c r="C74" s="8" t="s">
        <v>221</v>
      </c>
      <c r="D74" s="2" t="s">
        <v>186</v>
      </c>
      <c r="E74" s="136">
        <v>1.714241117714E-3</v>
      </c>
      <c r="F74" s="138">
        <v>5817.58</v>
      </c>
      <c r="G74" s="26">
        <f t="shared" ref="G74:G105" si="9">ROUND(E74*F74,2)</f>
        <v>9.9700000000000006</v>
      </c>
      <c r="H74" s="167">
        <f t="shared" si="7"/>
        <v>1.0712367035564632E-2</v>
      </c>
      <c r="I74" s="26">
        <f>ROUND(F74*Прил.10!$D$13,2)</f>
        <v>57244.99</v>
      </c>
      <c r="J74" s="26">
        <f t="shared" ref="J74:J105" si="10">ROUND(I74*E74,2)</f>
        <v>98.13</v>
      </c>
    </row>
    <row r="75" spans="1:10" s="12" customFormat="1" ht="25.5" hidden="1" customHeight="1" outlineLevel="1" x14ac:dyDescent="0.2">
      <c r="A75" s="2">
        <v>47</v>
      </c>
      <c r="B75" s="2" t="s">
        <v>222</v>
      </c>
      <c r="C75" s="8" t="s">
        <v>223</v>
      </c>
      <c r="D75" s="2" t="s">
        <v>202</v>
      </c>
      <c r="E75" s="136">
        <v>0.14585779124112999</v>
      </c>
      <c r="F75" s="138">
        <v>68.05</v>
      </c>
      <c r="G75" s="26">
        <f t="shared" si="9"/>
        <v>9.93</v>
      </c>
      <c r="H75" s="167">
        <f t="shared" si="7"/>
        <v>1.0669388632212316E-2</v>
      </c>
      <c r="I75" s="26">
        <f>ROUND(F75*Прил.10!$D$13,2)</f>
        <v>669.61</v>
      </c>
      <c r="J75" s="26">
        <f t="shared" si="10"/>
        <v>97.67</v>
      </c>
    </row>
    <row r="76" spans="1:10" s="12" customFormat="1" ht="14.25" hidden="1" customHeight="1" outlineLevel="1" x14ac:dyDescent="0.2">
      <c r="A76" s="2">
        <v>48</v>
      </c>
      <c r="B76" s="2" t="s">
        <v>224</v>
      </c>
      <c r="C76" s="8" t="s">
        <v>225</v>
      </c>
      <c r="D76" s="2" t="s">
        <v>186</v>
      </c>
      <c r="E76" s="136">
        <v>3.1427742884439003E-4</v>
      </c>
      <c r="F76" s="138">
        <v>28300.400000000001</v>
      </c>
      <c r="G76" s="26">
        <f t="shared" si="9"/>
        <v>8.89</v>
      </c>
      <c r="H76" s="167">
        <f t="shared" si="7"/>
        <v>9.5519501450521144E-3</v>
      </c>
      <c r="I76" s="26">
        <f>ROUND(F76*Прил.10!$D$13,2)</f>
        <v>278475.94</v>
      </c>
      <c r="J76" s="26">
        <f t="shared" si="10"/>
        <v>87.52</v>
      </c>
    </row>
    <row r="77" spans="1:10" s="12" customFormat="1" ht="25.5" hidden="1" customHeight="1" outlineLevel="1" x14ac:dyDescent="0.2">
      <c r="A77" s="2">
        <v>49</v>
      </c>
      <c r="B77" s="2" t="s">
        <v>226</v>
      </c>
      <c r="C77" s="8" t="s">
        <v>227</v>
      </c>
      <c r="D77" s="2" t="s">
        <v>172</v>
      </c>
      <c r="E77" s="136">
        <v>9.8570224570605006E-2</v>
      </c>
      <c r="F77" s="138">
        <v>83</v>
      </c>
      <c r="G77" s="26">
        <f t="shared" si="9"/>
        <v>8.18</v>
      </c>
      <c r="H77" s="167">
        <f t="shared" si="7"/>
        <v>8.7890834855485125E-3</v>
      </c>
      <c r="I77" s="26">
        <f>ROUND(F77*Прил.10!$D$13,2)</f>
        <v>816.72</v>
      </c>
      <c r="J77" s="26">
        <f t="shared" si="10"/>
        <v>80.5</v>
      </c>
    </row>
    <row r="78" spans="1:10" s="12" customFormat="1" ht="14.25" hidden="1" customHeight="1" outlineLevel="1" x14ac:dyDescent="0.2">
      <c r="A78" s="2">
        <v>50</v>
      </c>
      <c r="B78" s="2" t="s">
        <v>228</v>
      </c>
      <c r="C78" s="8" t="s">
        <v>229</v>
      </c>
      <c r="D78" s="2" t="s">
        <v>202</v>
      </c>
      <c r="E78" s="136">
        <v>0.24285720477403999</v>
      </c>
      <c r="F78" s="138">
        <v>32.6</v>
      </c>
      <c r="G78" s="26">
        <f t="shared" si="9"/>
        <v>7.92</v>
      </c>
      <c r="H78" s="167">
        <f t="shared" si="7"/>
        <v>8.5097238637584626E-3</v>
      </c>
      <c r="I78" s="26">
        <f>ROUND(F78*Прил.10!$D$13,2)</f>
        <v>320.77999999999997</v>
      </c>
      <c r="J78" s="26">
        <f t="shared" si="10"/>
        <v>77.900000000000006</v>
      </c>
    </row>
    <row r="79" spans="1:10" s="12" customFormat="1" ht="14.25" hidden="1" customHeight="1" outlineLevel="1" x14ac:dyDescent="0.2">
      <c r="A79" s="2">
        <v>51</v>
      </c>
      <c r="B79" s="2" t="s">
        <v>230</v>
      </c>
      <c r="C79" s="8" t="s">
        <v>231</v>
      </c>
      <c r="D79" s="2" t="s">
        <v>186</v>
      </c>
      <c r="E79" s="136">
        <v>6.2854076530207998E-4</v>
      </c>
      <c r="F79" s="138">
        <v>12430</v>
      </c>
      <c r="G79" s="26">
        <f t="shared" si="9"/>
        <v>7.81</v>
      </c>
      <c r="H79" s="167">
        <f t="shared" si="7"/>
        <v>8.3915332545395956E-3</v>
      </c>
      <c r="I79" s="26">
        <f>ROUND(F79*Прил.10!$D$13,2)</f>
        <v>122311.2</v>
      </c>
      <c r="J79" s="26">
        <f t="shared" si="10"/>
        <v>76.88</v>
      </c>
    </row>
    <row r="80" spans="1:10" s="12" customFormat="1" ht="51" hidden="1" customHeight="1" outlineLevel="1" x14ac:dyDescent="0.2">
      <c r="A80" s="2">
        <v>52</v>
      </c>
      <c r="B80" s="2" t="s">
        <v>232</v>
      </c>
      <c r="C80" s="8" t="s">
        <v>233</v>
      </c>
      <c r="D80" s="2" t="s">
        <v>202</v>
      </c>
      <c r="E80" s="136">
        <v>8.3563466112136997E-2</v>
      </c>
      <c r="F80" s="138">
        <v>91.29</v>
      </c>
      <c r="G80" s="26">
        <f t="shared" si="9"/>
        <v>7.63</v>
      </c>
      <c r="H80" s="167">
        <f t="shared" si="7"/>
        <v>8.1981304394541758E-3</v>
      </c>
      <c r="I80" s="26">
        <f>ROUND(F80*Прил.10!$D$13,2)</f>
        <v>898.29</v>
      </c>
      <c r="J80" s="26">
        <f t="shared" si="10"/>
        <v>75.06</v>
      </c>
    </row>
    <row r="81" spans="1:10" s="12" customFormat="1" ht="14.25" hidden="1" customHeight="1" outlineLevel="1" x14ac:dyDescent="0.2">
      <c r="A81" s="2">
        <v>53</v>
      </c>
      <c r="B81" s="2" t="s">
        <v>234</v>
      </c>
      <c r="C81" s="8" t="s">
        <v>235</v>
      </c>
      <c r="D81" s="2" t="s">
        <v>186</v>
      </c>
      <c r="E81" s="136">
        <v>6.5714803231891E-4</v>
      </c>
      <c r="F81" s="138">
        <v>10315.01</v>
      </c>
      <c r="G81" s="26">
        <f t="shared" si="9"/>
        <v>6.78</v>
      </c>
      <c r="H81" s="167">
        <f t="shared" si="7"/>
        <v>7.2848393682174726E-3</v>
      </c>
      <c r="I81" s="26">
        <f>ROUND(F81*Прил.10!$D$13,2)</f>
        <v>101499.7</v>
      </c>
      <c r="J81" s="26">
        <f t="shared" si="10"/>
        <v>66.7</v>
      </c>
    </row>
    <row r="82" spans="1:10" s="12" customFormat="1" ht="14.25" hidden="1" customHeight="1" outlineLevel="1" x14ac:dyDescent="0.2">
      <c r="A82" s="2">
        <v>54</v>
      </c>
      <c r="B82" s="2" t="s">
        <v>236</v>
      </c>
      <c r="C82" s="8" t="s">
        <v>237</v>
      </c>
      <c r="D82" s="2" t="s">
        <v>238</v>
      </c>
      <c r="E82" s="136">
        <v>0.12856985813557001</v>
      </c>
      <c r="F82" s="138">
        <v>39</v>
      </c>
      <c r="G82" s="26">
        <f t="shared" si="9"/>
        <v>5.01</v>
      </c>
      <c r="H82" s="167">
        <f t="shared" si="7"/>
        <v>5.3830450198775123E-3</v>
      </c>
      <c r="I82" s="26">
        <f>ROUND(F82*Прил.10!$D$13,2)</f>
        <v>383.76</v>
      </c>
      <c r="J82" s="26">
        <f t="shared" si="10"/>
        <v>49.34</v>
      </c>
    </row>
    <row r="83" spans="1:10" s="12" customFormat="1" ht="14.25" hidden="1" customHeight="1" outlineLevel="1" x14ac:dyDescent="0.2">
      <c r="A83" s="2">
        <v>55</v>
      </c>
      <c r="B83" s="2" t="s">
        <v>239</v>
      </c>
      <c r="C83" s="8" t="s">
        <v>240</v>
      </c>
      <c r="D83" s="2" t="s">
        <v>202</v>
      </c>
      <c r="E83" s="136">
        <v>0.1014129581797</v>
      </c>
      <c r="F83" s="138">
        <v>47.57</v>
      </c>
      <c r="G83" s="26">
        <f t="shared" si="9"/>
        <v>4.82</v>
      </c>
      <c r="H83" s="167">
        <f t="shared" si="7"/>
        <v>5.1788976039540144E-3</v>
      </c>
      <c r="I83" s="26">
        <f>ROUND(F83*Прил.10!$D$13,2)</f>
        <v>468.09</v>
      </c>
      <c r="J83" s="26">
        <f t="shared" si="10"/>
        <v>47.47</v>
      </c>
    </row>
    <row r="84" spans="1:10" s="12" customFormat="1" ht="14.25" hidden="1" customHeight="1" outlineLevel="1" x14ac:dyDescent="0.2">
      <c r="A84" s="2">
        <v>56</v>
      </c>
      <c r="B84" s="2" t="s">
        <v>241</v>
      </c>
      <c r="C84" s="8" t="s">
        <v>242</v>
      </c>
      <c r="D84" s="2" t="s">
        <v>202</v>
      </c>
      <c r="E84" s="136">
        <v>0.12798018234583</v>
      </c>
      <c r="F84" s="138">
        <v>35.630000000000003</v>
      </c>
      <c r="G84" s="26">
        <f t="shared" si="9"/>
        <v>4.5599999999999996</v>
      </c>
      <c r="H84" s="167">
        <f t="shared" si="7"/>
        <v>4.8995379821639628E-3</v>
      </c>
      <c r="I84" s="26">
        <f>ROUND(F84*Прил.10!$D$13,2)</f>
        <v>350.6</v>
      </c>
      <c r="J84" s="26">
        <f t="shared" si="10"/>
        <v>44.87</v>
      </c>
    </row>
    <row r="85" spans="1:10" s="12" customFormat="1" ht="14.25" hidden="1" customHeight="1" outlineLevel="1" x14ac:dyDescent="0.2">
      <c r="A85" s="2">
        <v>57</v>
      </c>
      <c r="B85" s="2" t="s">
        <v>243</v>
      </c>
      <c r="C85" s="8" t="s">
        <v>244</v>
      </c>
      <c r="D85" s="2" t="s">
        <v>166</v>
      </c>
      <c r="E85" s="136">
        <v>6.7151748872998004E-2</v>
      </c>
      <c r="F85" s="138">
        <v>66.819999999999993</v>
      </c>
      <c r="G85" s="26">
        <f t="shared" si="9"/>
        <v>4.49</v>
      </c>
      <c r="H85" s="167">
        <f t="shared" si="7"/>
        <v>4.8243257762974117E-3</v>
      </c>
      <c r="I85" s="26">
        <f>ROUND(F85*Прил.10!$D$13,2)</f>
        <v>657.51</v>
      </c>
      <c r="J85" s="26">
        <f t="shared" si="10"/>
        <v>44.15</v>
      </c>
    </row>
    <row r="86" spans="1:10" s="12" customFormat="1" ht="63.75" hidden="1" customHeight="1" outlineLevel="1" x14ac:dyDescent="0.2">
      <c r="A86" s="2">
        <v>58</v>
      </c>
      <c r="B86" s="2" t="s">
        <v>245</v>
      </c>
      <c r="C86" s="8" t="s">
        <v>246</v>
      </c>
      <c r="D86" s="2" t="s">
        <v>179</v>
      </c>
      <c r="E86" s="136">
        <v>4.0002262023338E-4</v>
      </c>
      <c r="F86" s="138">
        <v>10534.99</v>
      </c>
      <c r="G86" s="26">
        <f t="shared" si="9"/>
        <v>4.21</v>
      </c>
      <c r="H86" s="167">
        <f t="shared" si="7"/>
        <v>4.5234769528312031E-3</v>
      </c>
      <c r="I86" s="26">
        <f>ROUND(F86*Прил.10!$D$13,2)</f>
        <v>103664.3</v>
      </c>
      <c r="J86" s="26">
        <f t="shared" si="10"/>
        <v>41.47</v>
      </c>
    </row>
    <row r="87" spans="1:10" s="12" customFormat="1" ht="25.5" hidden="1" customHeight="1" outlineLevel="1" x14ac:dyDescent="0.2">
      <c r="A87" s="2">
        <v>59</v>
      </c>
      <c r="B87" s="2" t="s">
        <v>247</v>
      </c>
      <c r="C87" s="8" t="s">
        <v>248</v>
      </c>
      <c r="D87" s="2" t="s">
        <v>238</v>
      </c>
      <c r="E87" s="136">
        <v>0.14285342274144</v>
      </c>
      <c r="F87" s="138">
        <v>29.4</v>
      </c>
      <c r="G87" s="26">
        <f t="shared" si="9"/>
        <v>4.2</v>
      </c>
      <c r="H87" s="167">
        <f t="shared" si="7"/>
        <v>4.512732351993125E-3</v>
      </c>
      <c r="I87" s="26">
        <f>ROUND(F87*Прил.10!$D$13,2)</f>
        <v>289.3</v>
      </c>
      <c r="J87" s="26">
        <f t="shared" si="10"/>
        <v>41.33</v>
      </c>
    </row>
    <row r="88" spans="1:10" s="12" customFormat="1" ht="14.25" hidden="1" customHeight="1" outlineLevel="1" x14ac:dyDescent="0.2">
      <c r="A88" s="2">
        <v>60</v>
      </c>
      <c r="B88" s="2" t="s">
        <v>249</v>
      </c>
      <c r="C88" s="8" t="s">
        <v>250</v>
      </c>
      <c r="D88" s="2" t="s">
        <v>202</v>
      </c>
      <c r="E88" s="136">
        <v>0.45592312293996001</v>
      </c>
      <c r="F88" s="138">
        <v>9.0399999999999991</v>
      </c>
      <c r="G88" s="26">
        <f t="shared" si="9"/>
        <v>4.12</v>
      </c>
      <c r="H88" s="167">
        <f t="shared" ref="H88:H119" si="11">G88/$G$124</f>
        <v>4.4267755452884932E-3</v>
      </c>
      <c r="I88" s="26">
        <f>ROUND(F88*Прил.10!$D$13,2)</f>
        <v>88.95</v>
      </c>
      <c r="J88" s="26">
        <f t="shared" si="10"/>
        <v>40.549999999999997</v>
      </c>
    </row>
    <row r="89" spans="1:10" s="12" customFormat="1" ht="14.25" hidden="1" customHeight="1" outlineLevel="1" x14ac:dyDescent="0.2">
      <c r="A89" s="2">
        <v>61</v>
      </c>
      <c r="B89" s="2" t="s">
        <v>251</v>
      </c>
      <c r="C89" s="8" t="s">
        <v>252</v>
      </c>
      <c r="D89" s="2" t="s">
        <v>186</v>
      </c>
      <c r="E89" s="136">
        <v>2.0001584844394E-4</v>
      </c>
      <c r="F89" s="138">
        <v>15620</v>
      </c>
      <c r="G89" s="26">
        <f t="shared" si="9"/>
        <v>3.12</v>
      </c>
      <c r="H89" s="167">
        <f t="shared" si="11"/>
        <v>3.3523154614806066E-3</v>
      </c>
      <c r="I89" s="26">
        <f>ROUND(F89*Прил.10!$D$13,2)</f>
        <v>153700.79999999999</v>
      </c>
      <c r="J89" s="26">
        <f t="shared" si="10"/>
        <v>30.74</v>
      </c>
    </row>
    <row r="90" spans="1:10" s="12" customFormat="1" ht="14.25" hidden="1" customHeight="1" outlineLevel="1" x14ac:dyDescent="0.2">
      <c r="A90" s="2">
        <v>62</v>
      </c>
      <c r="B90" s="2" t="s">
        <v>253</v>
      </c>
      <c r="C90" s="8" t="s">
        <v>254</v>
      </c>
      <c r="D90" s="2" t="s">
        <v>172</v>
      </c>
      <c r="E90" s="136">
        <v>1.4285539792840999E-2</v>
      </c>
      <c r="F90" s="138">
        <v>203</v>
      </c>
      <c r="G90" s="26">
        <f t="shared" si="9"/>
        <v>2.9</v>
      </c>
      <c r="H90" s="167">
        <f t="shared" si="11"/>
        <v>3.1159342430428713E-3</v>
      </c>
      <c r="I90" s="26">
        <f>ROUND(F90*Прил.10!$D$13,2)</f>
        <v>1997.52</v>
      </c>
      <c r="J90" s="26">
        <f t="shared" si="10"/>
        <v>28.54</v>
      </c>
    </row>
    <row r="91" spans="1:10" s="12" customFormat="1" ht="38.25" hidden="1" customHeight="1" outlineLevel="1" x14ac:dyDescent="0.2">
      <c r="A91" s="2">
        <v>63</v>
      </c>
      <c r="B91" s="2" t="s">
        <v>255</v>
      </c>
      <c r="C91" s="8" t="s">
        <v>256</v>
      </c>
      <c r="D91" s="2" t="s">
        <v>183</v>
      </c>
      <c r="E91" s="136">
        <v>0.22716120821687999</v>
      </c>
      <c r="F91" s="138">
        <v>12.37</v>
      </c>
      <c r="G91" s="26">
        <f t="shared" si="9"/>
        <v>2.81</v>
      </c>
      <c r="H91" s="167">
        <f t="shared" si="11"/>
        <v>3.0192328355001618E-3</v>
      </c>
      <c r="I91" s="26">
        <f>ROUND(F91*Прил.10!$D$13,2)</f>
        <v>121.72</v>
      </c>
      <c r="J91" s="26">
        <f t="shared" si="10"/>
        <v>27.65</v>
      </c>
    </row>
    <row r="92" spans="1:10" s="12" customFormat="1" ht="14.25" hidden="1" customHeight="1" outlineLevel="1" x14ac:dyDescent="0.2">
      <c r="A92" s="2">
        <v>64</v>
      </c>
      <c r="B92" s="2" t="s">
        <v>257</v>
      </c>
      <c r="C92" s="8" t="s">
        <v>258</v>
      </c>
      <c r="D92" s="2" t="s">
        <v>238</v>
      </c>
      <c r="E92" s="136">
        <v>0.13431004510861</v>
      </c>
      <c r="F92" s="138">
        <v>19.899999999999999</v>
      </c>
      <c r="G92" s="26">
        <f t="shared" si="9"/>
        <v>2.67</v>
      </c>
      <c r="H92" s="167">
        <f t="shared" si="11"/>
        <v>2.8688084237670575E-3</v>
      </c>
      <c r="I92" s="26">
        <f>ROUND(F92*Прил.10!$D$13,2)</f>
        <v>195.82</v>
      </c>
      <c r="J92" s="26">
        <f t="shared" si="10"/>
        <v>26.3</v>
      </c>
    </row>
    <row r="93" spans="1:10" s="12" customFormat="1" ht="14.25" hidden="1" customHeight="1" outlineLevel="1" x14ac:dyDescent="0.2">
      <c r="A93" s="2">
        <v>65</v>
      </c>
      <c r="B93" s="2" t="s">
        <v>259</v>
      </c>
      <c r="C93" s="8" t="s">
        <v>260</v>
      </c>
      <c r="D93" s="2" t="s">
        <v>172</v>
      </c>
      <c r="E93" s="136">
        <v>8.2868138205656E-2</v>
      </c>
      <c r="F93" s="138">
        <v>26.6</v>
      </c>
      <c r="G93" s="26">
        <f t="shared" si="9"/>
        <v>2.2000000000000002</v>
      </c>
      <c r="H93" s="167">
        <f t="shared" si="11"/>
        <v>2.3638121843773509E-3</v>
      </c>
      <c r="I93" s="26">
        <f>ROUND(F93*Прил.10!$D$13,2)</f>
        <v>261.74</v>
      </c>
      <c r="J93" s="26">
        <f t="shared" si="10"/>
        <v>21.69</v>
      </c>
    </row>
    <row r="94" spans="1:10" s="12" customFormat="1" ht="25.5" hidden="1" customHeight="1" outlineLevel="1" x14ac:dyDescent="0.2">
      <c r="A94" s="2">
        <v>66</v>
      </c>
      <c r="B94" s="2" t="s">
        <v>261</v>
      </c>
      <c r="C94" s="8" t="s">
        <v>262</v>
      </c>
      <c r="D94" s="2" t="s">
        <v>202</v>
      </c>
      <c r="E94" s="136">
        <v>5.0002532116419002E-2</v>
      </c>
      <c r="F94" s="138">
        <v>38.340000000000003</v>
      </c>
      <c r="G94" s="26">
        <f t="shared" si="9"/>
        <v>1.92</v>
      </c>
      <c r="H94" s="167">
        <f t="shared" si="11"/>
        <v>2.0629633609111427E-3</v>
      </c>
      <c r="I94" s="26">
        <f>ROUND(F94*Прил.10!$D$13,2)</f>
        <v>377.27</v>
      </c>
      <c r="J94" s="26">
        <f t="shared" si="10"/>
        <v>18.86</v>
      </c>
    </row>
    <row r="95" spans="1:10" s="12" customFormat="1" ht="25.5" hidden="1" customHeight="1" outlineLevel="1" x14ac:dyDescent="0.2">
      <c r="A95" s="2">
        <v>67</v>
      </c>
      <c r="B95" s="2" t="s">
        <v>263</v>
      </c>
      <c r="C95" s="8" t="s">
        <v>264</v>
      </c>
      <c r="D95" s="2" t="s">
        <v>213</v>
      </c>
      <c r="E95" s="136">
        <v>2.8142513391897E-3</v>
      </c>
      <c r="F95" s="138">
        <v>600</v>
      </c>
      <c r="G95" s="26">
        <f t="shared" si="9"/>
        <v>1.69</v>
      </c>
      <c r="H95" s="167">
        <f t="shared" si="11"/>
        <v>1.8158375416353287E-3</v>
      </c>
      <c r="I95" s="26">
        <f>ROUND(F95*Прил.10!$D$13,2)</f>
        <v>5904</v>
      </c>
      <c r="J95" s="26">
        <f t="shared" si="10"/>
        <v>16.62</v>
      </c>
    </row>
    <row r="96" spans="1:10" s="12" customFormat="1" ht="14.25" hidden="1" customHeight="1" outlineLevel="1" x14ac:dyDescent="0.2">
      <c r="A96" s="2">
        <v>68</v>
      </c>
      <c r="B96" s="2" t="s">
        <v>265</v>
      </c>
      <c r="C96" s="8" t="s">
        <v>266</v>
      </c>
      <c r="D96" s="2" t="s">
        <v>172</v>
      </c>
      <c r="E96" s="136">
        <v>1.8006424576093E-2</v>
      </c>
      <c r="F96" s="138">
        <v>86</v>
      </c>
      <c r="G96" s="26">
        <f t="shared" si="9"/>
        <v>1.55</v>
      </c>
      <c r="H96" s="167">
        <f t="shared" si="11"/>
        <v>1.6654131299022245E-3</v>
      </c>
      <c r="I96" s="26">
        <f>ROUND(F96*Прил.10!$D$13,2)</f>
        <v>846.24</v>
      </c>
      <c r="J96" s="26">
        <f t="shared" si="10"/>
        <v>15.24</v>
      </c>
    </row>
    <row r="97" spans="1:10" s="12" customFormat="1" ht="14.25" hidden="1" customHeight="1" outlineLevel="1" x14ac:dyDescent="0.2">
      <c r="A97" s="2">
        <v>69</v>
      </c>
      <c r="B97" s="2" t="s">
        <v>267</v>
      </c>
      <c r="C97" s="8" t="s">
        <v>268</v>
      </c>
      <c r="D97" s="2" t="s">
        <v>202</v>
      </c>
      <c r="E97" s="136">
        <v>4.6303788862755997E-2</v>
      </c>
      <c r="F97" s="138">
        <v>28.6</v>
      </c>
      <c r="G97" s="26">
        <f t="shared" si="9"/>
        <v>1.32</v>
      </c>
      <c r="H97" s="167">
        <f t="shared" si="11"/>
        <v>1.4182873106264105E-3</v>
      </c>
      <c r="I97" s="26">
        <f>ROUND(F97*Прил.10!$D$13,2)</f>
        <v>281.42</v>
      </c>
      <c r="J97" s="26">
        <f t="shared" si="10"/>
        <v>13.03</v>
      </c>
    </row>
    <row r="98" spans="1:10" s="12" customFormat="1" ht="14.25" hidden="1" customHeight="1" outlineLevel="1" x14ac:dyDescent="0.2">
      <c r="A98" s="2">
        <v>70</v>
      </c>
      <c r="B98" s="2" t="s">
        <v>269</v>
      </c>
      <c r="C98" s="8" t="s">
        <v>270</v>
      </c>
      <c r="D98" s="2" t="s">
        <v>186</v>
      </c>
      <c r="E98" s="136">
        <v>1.2860018836868001E-4</v>
      </c>
      <c r="F98" s="138">
        <v>9420</v>
      </c>
      <c r="G98" s="26">
        <f t="shared" si="9"/>
        <v>1.21</v>
      </c>
      <c r="H98" s="167">
        <f t="shared" si="11"/>
        <v>1.3000967014075429E-3</v>
      </c>
      <c r="I98" s="26">
        <f>ROUND(F98*Прил.10!$D$13,2)</f>
        <v>92692.800000000003</v>
      </c>
      <c r="J98" s="26">
        <f t="shared" si="10"/>
        <v>11.92</v>
      </c>
    </row>
    <row r="99" spans="1:10" s="12" customFormat="1" ht="14.25" hidden="1" customHeight="1" outlineLevel="1" x14ac:dyDescent="0.2">
      <c r="A99" s="2">
        <v>71</v>
      </c>
      <c r="B99" s="2" t="s">
        <v>271</v>
      </c>
      <c r="C99" s="8" t="s">
        <v>272</v>
      </c>
      <c r="D99" s="2" t="s">
        <v>273</v>
      </c>
      <c r="E99" s="136">
        <v>4.3015347598443004E-3</v>
      </c>
      <c r="F99" s="138">
        <v>270</v>
      </c>
      <c r="G99" s="26">
        <f t="shared" si="9"/>
        <v>1.1599999999999999</v>
      </c>
      <c r="H99" s="167">
        <f t="shared" si="11"/>
        <v>1.2463736972171484E-3</v>
      </c>
      <c r="I99" s="26">
        <f>ROUND(F99*Прил.10!$D$13,2)</f>
        <v>2656.8</v>
      </c>
      <c r="J99" s="26">
        <f t="shared" si="10"/>
        <v>11.43</v>
      </c>
    </row>
    <row r="100" spans="1:10" s="12" customFormat="1" ht="14.25" hidden="1" customHeight="1" outlineLevel="1" x14ac:dyDescent="0.2">
      <c r="A100" s="2">
        <v>72</v>
      </c>
      <c r="B100" s="2" t="s">
        <v>274</v>
      </c>
      <c r="C100" s="8" t="s">
        <v>275</v>
      </c>
      <c r="D100" s="2" t="s">
        <v>186</v>
      </c>
      <c r="E100" s="136">
        <v>1.0000213836725E-4</v>
      </c>
      <c r="F100" s="138">
        <v>10971.06</v>
      </c>
      <c r="G100" s="26">
        <f t="shared" si="9"/>
        <v>1.1000000000000001</v>
      </c>
      <c r="H100" s="167">
        <f t="shared" si="11"/>
        <v>1.1819060921886755E-3</v>
      </c>
      <c r="I100" s="26">
        <f>ROUND(F100*Прил.10!$D$13,2)</f>
        <v>107955.23</v>
      </c>
      <c r="J100" s="26">
        <f t="shared" si="10"/>
        <v>10.8</v>
      </c>
    </row>
    <row r="101" spans="1:10" s="12" customFormat="1" ht="14.25" hidden="1" customHeight="1" outlineLevel="1" x14ac:dyDescent="0.2">
      <c r="A101" s="2">
        <v>73</v>
      </c>
      <c r="B101" s="2" t="s">
        <v>276</v>
      </c>
      <c r="C101" s="8" t="s">
        <v>277</v>
      </c>
      <c r="D101" s="2" t="s">
        <v>202</v>
      </c>
      <c r="E101" s="136">
        <v>9.0010025862899995E-2</v>
      </c>
      <c r="F101" s="138">
        <v>10.57</v>
      </c>
      <c r="G101" s="26">
        <f t="shared" si="9"/>
        <v>0.95</v>
      </c>
      <c r="H101" s="167">
        <f t="shared" si="11"/>
        <v>1.0207370796174924E-3</v>
      </c>
      <c r="I101" s="26">
        <f>ROUND(F101*Прил.10!$D$13,2)</f>
        <v>104.01</v>
      </c>
      <c r="J101" s="26">
        <f t="shared" si="10"/>
        <v>9.36</v>
      </c>
    </row>
    <row r="102" spans="1:10" s="12" customFormat="1" ht="25.5" hidden="1" customHeight="1" outlineLevel="1" x14ac:dyDescent="0.2">
      <c r="A102" s="2">
        <v>74</v>
      </c>
      <c r="B102" s="2" t="s">
        <v>278</v>
      </c>
      <c r="C102" s="8" t="s">
        <v>279</v>
      </c>
      <c r="D102" s="2" t="s">
        <v>202</v>
      </c>
      <c r="E102" s="136">
        <v>2.8551324301613001E-2</v>
      </c>
      <c r="F102" s="138">
        <v>28.22</v>
      </c>
      <c r="G102" s="26">
        <f t="shared" si="9"/>
        <v>0.81</v>
      </c>
      <c r="H102" s="167">
        <f t="shared" si="11"/>
        <v>8.7031266788438835E-4</v>
      </c>
      <c r="I102" s="26">
        <f>ROUND(F102*Прил.10!$D$13,2)</f>
        <v>277.68</v>
      </c>
      <c r="J102" s="26">
        <f t="shared" si="10"/>
        <v>7.93</v>
      </c>
    </row>
    <row r="103" spans="1:10" s="12" customFormat="1" ht="25.5" hidden="1" customHeight="1" outlineLevel="1" x14ac:dyDescent="0.2">
      <c r="A103" s="2">
        <v>75</v>
      </c>
      <c r="B103" s="2" t="s">
        <v>280</v>
      </c>
      <c r="C103" s="8" t="s">
        <v>281</v>
      </c>
      <c r="D103" s="2" t="s">
        <v>186</v>
      </c>
      <c r="E103" s="199">
        <v>1.4274745311123E-5</v>
      </c>
      <c r="F103" s="138">
        <v>52539.7</v>
      </c>
      <c r="G103" s="26">
        <f t="shared" si="9"/>
        <v>0.75</v>
      </c>
      <c r="H103" s="167">
        <f t="shared" si="11"/>
        <v>8.0584506285591505E-4</v>
      </c>
      <c r="I103" s="26">
        <f>ROUND(F103*Прил.10!$D$13,2)</f>
        <v>516990.65</v>
      </c>
      <c r="J103" s="26">
        <f t="shared" si="10"/>
        <v>7.38</v>
      </c>
    </row>
    <row r="104" spans="1:10" s="12" customFormat="1" ht="14.25" hidden="1" customHeight="1" outlineLevel="1" x14ac:dyDescent="0.2">
      <c r="A104" s="2">
        <v>76</v>
      </c>
      <c r="B104" s="2" t="s">
        <v>282</v>
      </c>
      <c r="C104" s="8" t="s">
        <v>283</v>
      </c>
      <c r="D104" s="2" t="s">
        <v>202</v>
      </c>
      <c r="E104" s="136">
        <v>2.6854811559992999E-2</v>
      </c>
      <c r="F104" s="138">
        <v>25.8</v>
      </c>
      <c r="G104" s="26">
        <f t="shared" si="9"/>
        <v>0.69</v>
      </c>
      <c r="H104" s="167">
        <f t="shared" si="11"/>
        <v>7.4137745782744185E-4</v>
      </c>
      <c r="I104" s="26">
        <f>ROUND(F104*Прил.10!$D$13,2)</f>
        <v>253.87</v>
      </c>
      <c r="J104" s="26">
        <f t="shared" si="10"/>
        <v>6.82</v>
      </c>
    </row>
    <row r="105" spans="1:10" s="12" customFormat="1" ht="25.5" hidden="1" customHeight="1" outlineLevel="1" x14ac:dyDescent="0.2">
      <c r="A105" s="2">
        <v>77</v>
      </c>
      <c r="B105" s="2" t="s">
        <v>284</v>
      </c>
      <c r="C105" s="8" t="s">
        <v>285</v>
      </c>
      <c r="D105" s="2" t="s">
        <v>202</v>
      </c>
      <c r="E105" s="136">
        <v>2.7407412623462999E-2</v>
      </c>
      <c r="F105" s="138">
        <v>23.09</v>
      </c>
      <c r="G105" s="26">
        <f t="shared" si="9"/>
        <v>0.63</v>
      </c>
      <c r="H105" s="167">
        <f t="shared" si="11"/>
        <v>6.7690985279896866E-4</v>
      </c>
      <c r="I105" s="26">
        <f>ROUND(F105*Прил.10!$D$13,2)</f>
        <v>227.21</v>
      </c>
      <c r="J105" s="26">
        <f t="shared" si="10"/>
        <v>6.23</v>
      </c>
    </row>
    <row r="106" spans="1:10" s="12" customFormat="1" ht="14.25" hidden="1" customHeight="1" outlineLevel="1" x14ac:dyDescent="0.2">
      <c r="A106" s="2">
        <v>78</v>
      </c>
      <c r="B106" s="2" t="s">
        <v>286</v>
      </c>
      <c r="C106" s="8" t="s">
        <v>287</v>
      </c>
      <c r="D106" s="2" t="s">
        <v>288</v>
      </c>
      <c r="E106" s="136">
        <v>6.4308456551890006E-2</v>
      </c>
      <c r="F106" s="138">
        <v>8.33</v>
      </c>
      <c r="G106" s="26">
        <f t="shared" ref="G106:G137" si="12">ROUND(E106*F106,2)</f>
        <v>0.54</v>
      </c>
      <c r="H106" s="167">
        <f t="shared" si="11"/>
        <v>5.8020844525625886E-4</v>
      </c>
      <c r="I106" s="26">
        <f>ROUND(F106*Прил.10!$D$13,2)</f>
        <v>81.97</v>
      </c>
      <c r="J106" s="26">
        <f t="shared" ref="J106:J137" si="13">ROUND(I106*E106,2)</f>
        <v>5.27</v>
      </c>
    </row>
    <row r="107" spans="1:10" s="12" customFormat="1" ht="38.25" hidden="1" customHeight="1" outlineLevel="1" x14ac:dyDescent="0.2">
      <c r="A107" s="2">
        <v>79</v>
      </c>
      <c r="B107" s="2" t="s">
        <v>289</v>
      </c>
      <c r="C107" s="8" t="s">
        <v>290</v>
      </c>
      <c r="D107" s="2" t="s">
        <v>186</v>
      </c>
      <c r="E107" s="199">
        <v>1.4279066615974999E-5</v>
      </c>
      <c r="F107" s="138">
        <v>37517</v>
      </c>
      <c r="G107" s="26">
        <f t="shared" si="12"/>
        <v>0.54</v>
      </c>
      <c r="H107" s="167">
        <f t="shared" si="11"/>
        <v>5.8020844525625886E-4</v>
      </c>
      <c r="I107" s="26">
        <f>ROUND(F107*Прил.10!$D$13,2)</f>
        <v>369167.28</v>
      </c>
      <c r="J107" s="26">
        <f t="shared" si="13"/>
        <v>5.27</v>
      </c>
    </row>
    <row r="108" spans="1:10" s="12" customFormat="1" ht="38.25" hidden="1" customHeight="1" outlineLevel="1" x14ac:dyDescent="0.2">
      <c r="A108" s="2">
        <v>80</v>
      </c>
      <c r="B108" s="2" t="s">
        <v>291</v>
      </c>
      <c r="C108" s="8" t="s">
        <v>292</v>
      </c>
      <c r="D108" s="2" t="s">
        <v>202</v>
      </c>
      <c r="E108" s="136">
        <v>1.541313946386E-2</v>
      </c>
      <c r="F108" s="138">
        <v>30.4</v>
      </c>
      <c r="G108" s="26">
        <f t="shared" si="12"/>
        <v>0.47</v>
      </c>
      <c r="H108" s="167">
        <f t="shared" si="11"/>
        <v>5.0499623938970669E-4</v>
      </c>
      <c r="I108" s="26">
        <f>ROUND(F108*Прил.10!$D$13,2)</f>
        <v>299.14</v>
      </c>
      <c r="J108" s="26">
        <f t="shared" si="13"/>
        <v>4.6100000000000003</v>
      </c>
    </row>
    <row r="109" spans="1:10" s="12" customFormat="1" ht="14.25" hidden="1" customHeight="1" outlineLevel="1" x14ac:dyDescent="0.2">
      <c r="A109" s="2">
        <v>81</v>
      </c>
      <c r="B109" s="2" t="s">
        <v>293</v>
      </c>
      <c r="C109" s="8" t="s">
        <v>294</v>
      </c>
      <c r="D109" s="2" t="s">
        <v>202</v>
      </c>
      <c r="E109" s="136">
        <v>9.1489439389217005E-3</v>
      </c>
      <c r="F109" s="138">
        <v>44.97</v>
      </c>
      <c r="G109" s="26">
        <f t="shared" si="12"/>
        <v>0.41</v>
      </c>
      <c r="H109" s="167">
        <f t="shared" si="11"/>
        <v>4.4052863436123355E-4</v>
      </c>
      <c r="I109" s="26">
        <f>ROUND(F109*Прил.10!$D$13,2)</f>
        <v>442.5</v>
      </c>
      <c r="J109" s="26">
        <f t="shared" si="13"/>
        <v>4.05</v>
      </c>
    </row>
    <row r="110" spans="1:10" s="12" customFormat="1" ht="14.25" hidden="1" customHeight="1" outlineLevel="1" x14ac:dyDescent="0.2">
      <c r="A110" s="2">
        <v>82</v>
      </c>
      <c r="B110" s="2" t="s">
        <v>295</v>
      </c>
      <c r="C110" s="8" t="s">
        <v>296</v>
      </c>
      <c r="D110" s="2" t="s">
        <v>297</v>
      </c>
      <c r="E110" s="136">
        <v>7.1618172828110003E-3</v>
      </c>
      <c r="F110" s="138">
        <v>37.5</v>
      </c>
      <c r="G110" s="26">
        <f t="shared" si="12"/>
        <v>0.27</v>
      </c>
      <c r="H110" s="167">
        <f t="shared" si="11"/>
        <v>2.9010422262812943E-4</v>
      </c>
      <c r="I110" s="26">
        <f>ROUND(F110*Прил.10!$D$13,2)</f>
        <v>369</v>
      </c>
      <c r="J110" s="26">
        <f t="shared" si="13"/>
        <v>2.64</v>
      </c>
    </row>
    <row r="111" spans="1:10" s="12" customFormat="1" ht="14.25" hidden="1" customHeight="1" outlineLevel="1" x14ac:dyDescent="0.2">
      <c r="A111" s="2">
        <v>83</v>
      </c>
      <c r="B111" s="2" t="s">
        <v>298</v>
      </c>
      <c r="C111" s="8" t="s">
        <v>299</v>
      </c>
      <c r="D111" s="2" t="s">
        <v>300</v>
      </c>
      <c r="E111" s="136">
        <v>0.67073872521758005</v>
      </c>
      <c r="F111" s="138">
        <v>0.4</v>
      </c>
      <c r="G111" s="26">
        <f t="shared" si="12"/>
        <v>0.27</v>
      </c>
      <c r="H111" s="167">
        <f t="shared" si="11"/>
        <v>2.9010422262812943E-4</v>
      </c>
      <c r="I111" s="26">
        <f>ROUND(F111*Прил.10!$D$13,2)</f>
        <v>3.94</v>
      </c>
      <c r="J111" s="26">
        <f t="shared" si="13"/>
        <v>2.64</v>
      </c>
    </row>
    <row r="112" spans="1:10" s="12" customFormat="1" ht="14.25" hidden="1" customHeight="1" outlineLevel="1" x14ac:dyDescent="0.2">
      <c r="A112" s="2">
        <v>84</v>
      </c>
      <c r="B112" s="2" t="s">
        <v>301</v>
      </c>
      <c r="C112" s="8" t="s">
        <v>302</v>
      </c>
      <c r="D112" s="2" t="s">
        <v>186</v>
      </c>
      <c r="E112" s="136">
        <v>3.1507341725478001E-4</v>
      </c>
      <c r="F112" s="138">
        <v>729.98</v>
      </c>
      <c r="G112" s="26">
        <f t="shared" si="12"/>
        <v>0.23</v>
      </c>
      <c r="H112" s="167">
        <f t="shared" si="11"/>
        <v>2.4712581927581397E-4</v>
      </c>
      <c r="I112" s="26">
        <f>ROUND(F112*Прил.10!$D$13,2)</f>
        <v>7183</v>
      </c>
      <c r="J112" s="26">
        <f t="shared" si="13"/>
        <v>2.2599999999999998</v>
      </c>
    </row>
    <row r="113" spans="1:10" s="12" customFormat="1" ht="14.25" hidden="1" customHeight="1" outlineLevel="1" x14ac:dyDescent="0.2">
      <c r="A113" s="2">
        <v>85</v>
      </c>
      <c r="B113" s="2" t="s">
        <v>303</v>
      </c>
      <c r="C113" s="8" t="s">
        <v>304</v>
      </c>
      <c r="D113" s="2" t="s">
        <v>202</v>
      </c>
      <c r="E113" s="136">
        <v>7.1582612496542001E-3</v>
      </c>
      <c r="F113" s="138">
        <v>27.74</v>
      </c>
      <c r="G113" s="26">
        <f t="shared" si="12"/>
        <v>0.2</v>
      </c>
      <c r="H113" s="167">
        <f t="shared" si="11"/>
        <v>2.1489201676157737E-4</v>
      </c>
      <c r="I113" s="26">
        <f>ROUND(F113*Прил.10!$D$13,2)</f>
        <v>272.95999999999998</v>
      </c>
      <c r="J113" s="26">
        <f t="shared" si="13"/>
        <v>1.95</v>
      </c>
    </row>
    <row r="114" spans="1:10" s="12" customFormat="1" ht="14.25" hidden="1" customHeight="1" outlineLevel="1" x14ac:dyDescent="0.2">
      <c r="A114" s="2">
        <v>86</v>
      </c>
      <c r="B114" s="2" t="s">
        <v>305</v>
      </c>
      <c r="C114" s="8" t="s">
        <v>306</v>
      </c>
      <c r="D114" s="2" t="s">
        <v>202</v>
      </c>
      <c r="E114" s="136">
        <v>1.4310231365941E-3</v>
      </c>
      <c r="F114" s="138">
        <v>138.76</v>
      </c>
      <c r="G114" s="26">
        <f t="shared" si="12"/>
        <v>0.2</v>
      </c>
      <c r="H114" s="167">
        <f t="shared" si="11"/>
        <v>2.1489201676157737E-4</v>
      </c>
      <c r="I114" s="26">
        <f>ROUND(F114*Прил.10!$D$13,2)</f>
        <v>1365.4</v>
      </c>
      <c r="J114" s="26">
        <f t="shared" si="13"/>
        <v>1.95</v>
      </c>
    </row>
    <row r="115" spans="1:10" s="12" customFormat="1" ht="14.25" hidden="1" customHeight="1" outlineLevel="1" x14ac:dyDescent="0.2">
      <c r="A115" s="2">
        <v>87</v>
      </c>
      <c r="B115" s="2" t="s">
        <v>307</v>
      </c>
      <c r="C115" s="8" t="s">
        <v>308</v>
      </c>
      <c r="D115" s="2" t="s">
        <v>186</v>
      </c>
      <c r="E115" s="136">
        <v>2.8498226975368998E-5</v>
      </c>
      <c r="F115" s="138">
        <v>6667</v>
      </c>
      <c r="G115" s="26">
        <f t="shared" si="12"/>
        <v>0.19</v>
      </c>
      <c r="H115" s="167">
        <f t="shared" si="11"/>
        <v>2.0414741592349848E-4</v>
      </c>
      <c r="I115" s="26">
        <f>ROUND(F115*Прил.10!$D$13,2)</f>
        <v>65603.28</v>
      </c>
      <c r="J115" s="26">
        <f t="shared" si="13"/>
        <v>1.87</v>
      </c>
    </row>
    <row r="116" spans="1:10" s="12" customFormat="1" ht="14.25" hidden="1" customHeight="1" outlineLevel="1" x14ac:dyDescent="0.2">
      <c r="A116" s="2">
        <v>88</v>
      </c>
      <c r="B116" s="2" t="s">
        <v>309</v>
      </c>
      <c r="C116" s="8" t="s">
        <v>310</v>
      </c>
      <c r="D116" s="2" t="s">
        <v>202</v>
      </c>
      <c r="E116" s="136">
        <v>1.2884384772028001E-3</v>
      </c>
      <c r="F116" s="138">
        <v>133.05000000000001</v>
      </c>
      <c r="G116" s="26">
        <f t="shared" si="12"/>
        <v>0.17</v>
      </c>
      <c r="H116" s="167">
        <f t="shared" si="11"/>
        <v>1.8265821424734077E-4</v>
      </c>
      <c r="I116" s="26">
        <f>ROUND(F116*Прил.10!$D$13,2)</f>
        <v>1309.21</v>
      </c>
      <c r="J116" s="26">
        <f t="shared" si="13"/>
        <v>1.69</v>
      </c>
    </row>
    <row r="117" spans="1:10" s="12" customFormat="1" ht="25.5" hidden="1" customHeight="1" outlineLevel="1" x14ac:dyDescent="0.2">
      <c r="A117" s="2">
        <v>89</v>
      </c>
      <c r="B117" s="2" t="s">
        <v>311</v>
      </c>
      <c r="C117" s="8" t="s">
        <v>312</v>
      </c>
      <c r="D117" s="2" t="s">
        <v>202</v>
      </c>
      <c r="E117" s="136">
        <v>1.4258085200030001E-3</v>
      </c>
      <c r="F117" s="138">
        <v>114.22</v>
      </c>
      <c r="G117" s="26">
        <f t="shared" si="12"/>
        <v>0.16</v>
      </c>
      <c r="H117" s="167">
        <f t="shared" si="11"/>
        <v>1.7191361340926188E-4</v>
      </c>
      <c r="I117" s="26">
        <f>ROUND(F117*Прил.10!$D$13,2)</f>
        <v>1123.92</v>
      </c>
      <c r="J117" s="26">
        <f t="shared" si="13"/>
        <v>1.6</v>
      </c>
    </row>
    <row r="118" spans="1:10" s="12" customFormat="1" ht="25.5" hidden="1" customHeight="1" outlineLevel="1" x14ac:dyDescent="0.2">
      <c r="A118" s="2">
        <v>90</v>
      </c>
      <c r="B118" s="2" t="s">
        <v>313</v>
      </c>
      <c r="C118" s="8" t="s">
        <v>314</v>
      </c>
      <c r="D118" s="2" t="s">
        <v>273</v>
      </c>
      <c r="E118" s="136">
        <v>5.7412380842713996E-4</v>
      </c>
      <c r="F118" s="138">
        <v>253.8</v>
      </c>
      <c r="G118" s="26">
        <f t="shared" si="12"/>
        <v>0.15</v>
      </c>
      <c r="H118" s="167">
        <f t="shared" si="11"/>
        <v>1.6116901257118301E-4</v>
      </c>
      <c r="I118" s="26">
        <f>ROUND(F118*Прил.10!$D$13,2)</f>
        <v>2497.39</v>
      </c>
      <c r="J118" s="26">
        <f t="shared" si="13"/>
        <v>1.43</v>
      </c>
    </row>
    <row r="119" spans="1:10" s="12" customFormat="1" ht="14.25" hidden="1" customHeight="1" outlineLevel="1" x14ac:dyDescent="0.2">
      <c r="A119" s="2">
        <v>91</v>
      </c>
      <c r="B119" s="2" t="s">
        <v>315</v>
      </c>
      <c r="C119" s="8" t="s">
        <v>316</v>
      </c>
      <c r="D119" s="2" t="s">
        <v>202</v>
      </c>
      <c r="E119" s="136">
        <v>4.2754606796029998E-3</v>
      </c>
      <c r="F119" s="138">
        <v>15.37</v>
      </c>
      <c r="G119" s="26">
        <f t="shared" si="12"/>
        <v>7.0000000000000007E-2</v>
      </c>
      <c r="H119" s="167">
        <f t="shared" si="11"/>
        <v>7.5212205866552074E-5</v>
      </c>
      <c r="I119" s="26">
        <f>ROUND(F119*Прил.10!$D$13,2)</f>
        <v>151.24</v>
      </c>
      <c r="J119" s="26">
        <f t="shared" si="13"/>
        <v>0.65</v>
      </c>
    </row>
    <row r="120" spans="1:10" s="12" customFormat="1" ht="14.25" hidden="1" customHeight="1" outlineLevel="1" x14ac:dyDescent="0.2">
      <c r="A120" s="2">
        <v>92</v>
      </c>
      <c r="B120" s="2" t="s">
        <v>317</v>
      </c>
      <c r="C120" s="8" t="s">
        <v>318</v>
      </c>
      <c r="D120" s="2" t="s">
        <v>202</v>
      </c>
      <c r="E120" s="136">
        <v>3.5397373257302E-3</v>
      </c>
      <c r="F120" s="138">
        <v>16.95</v>
      </c>
      <c r="G120" s="26">
        <f t="shared" si="12"/>
        <v>0.06</v>
      </c>
      <c r="H120" s="167">
        <f t="shared" ref="H120:H151" si="14">G120/$G$124</f>
        <v>6.4467605028473209E-5</v>
      </c>
      <c r="I120" s="26">
        <f>ROUND(F120*Прил.10!$D$13,2)</f>
        <v>166.79</v>
      </c>
      <c r="J120" s="26">
        <f t="shared" si="13"/>
        <v>0.59</v>
      </c>
    </row>
    <row r="121" spans="1:10" s="12" customFormat="1" ht="25.5" hidden="1" customHeight="1" outlineLevel="1" x14ac:dyDescent="0.2">
      <c r="A121" s="2">
        <v>93</v>
      </c>
      <c r="B121" s="2" t="s">
        <v>319</v>
      </c>
      <c r="C121" s="8" t="s">
        <v>320</v>
      </c>
      <c r="D121" s="2" t="s">
        <v>202</v>
      </c>
      <c r="E121" s="136">
        <v>8.0812523632127996E-4</v>
      </c>
      <c r="F121" s="138">
        <v>38.89</v>
      </c>
      <c r="G121" s="26">
        <f t="shared" si="12"/>
        <v>0.03</v>
      </c>
      <c r="H121" s="167">
        <f t="shared" si="14"/>
        <v>3.2233802514236604E-5</v>
      </c>
      <c r="I121" s="26">
        <f>ROUND(F121*Прил.10!$D$13,2)</f>
        <v>382.68</v>
      </c>
      <c r="J121" s="26">
        <f t="shared" si="13"/>
        <v>0.31</v>
      </c>
    </row>
    <row r="122" spans="1:10" s="12" customFormat="1" ht="14.25" hidden="1" customHeight="1" outlineLevel="1" x14ac:dyDescent="0.2">
      <c r="A122" s="2">
        <v>94</v>
      </c>
      <c r="B122" s="2" t="s">
        <v>321</v>
      </c>
      <c r="C122" s="8" t="s">
        <v>322</v>
      </c>
      <c r="D122" s="2" t="s">
        <v>202</v>
      </c>
      <c r="E122" s="136">
        <v>1.2422208515514E-3</v>
      </c>
      <c r="F122" s="138">
        <v>11.5</v>
      </c>
      <c r="G122" s="26">
        <f t="shared" si="12"/>
        <v>0.01</v>
      </c>
      <c r="H122" s="167">
        <f t="shared" si="14"/>
        <v>1.0744600838078868E-5</v>
      </c>
      <c r="I122" s="26">
        <f>ROUND(F122*Прил.10!$D$13,2)</f>
        <v>113.16</v>
      </c>
      <c r="J122" s="26">
        <f t="shared" si="13"/>
        <v>0.14000000000000001</v>
      </c>
    </row>
    <row r="123" spans="1:10" s="12" customFormat="1" ht="14.25" customHeight="1" collapsed="1" x14ac:dyDescent="0.2">
      <c r="A123" s="2"/>
      <c r="B123" s="2"/>
      <c r="C123" s="8" t="s">
        <v>389</v>
      </c>
      <c r="D123" s="2"/>
      <c r="E123" s="187"/>
      <c r="F123" s="138"/>
      <c r="G123" s="26">
        <f>SUM(G74:G122)</f>
        <v>129.96999999999994</v>
      </c>
      <c r="H123" s="167">
        <f t="shared" si="14"/>
        <v>0.13964757709251097</v>
      </c>
      <c r="I123" s="26"/>
      <c r="J123" s="26">
        <f>SUM(J74:J122)</f>
        <v>1279.0000000000002</v>
      </c>
    </row>
    <row r="124" spans="1:10" s="12" customFormat="1" ht="14.25" customHeight="1" x14ac:dyDescent="0.2">
      <c r="A124" s="2"/>
      <c r="B124" s="2"/>
      <c r="C124" s="119" t="s">
        <v>390</v>
      </c>
      <c r="D124" s="2"/>
      <c r="E124" s="187"/>
      <c r="F124" s="138"/>
      <c r="G124" s="26">
        <f>G73+G123</f>
        <v>930.69999999999982</v>
      </c>
      <c r="H124" s="188">
        <f t="shared" si="14"/>
        <v>1</v>
      </c>
      <c r="I124" s="26"/>
      <c r="J124" s="26">
        <f>J73+J123</f>
        <v>9158.0300000000007</v>
      </c>
    </row>
    <row r="125" spans="1:10" s="12" customFormat="1" ht="14.25" customHeight="1" x14ac:dyDescent="0.2">
      <c r="A125" s="2"/>
      <c r="B125" s="2"/>
      <c r="C125" s="8" t="s">
        <v>391</v>
      </c>
      <c r="D125" s="2"/>
      <c r="E125" s="187"/>
      <c r="F125" s="138"/>
      <c r="G125" s="26">
        <f>G14+G33+G124</f>
        <v>3615.85</v>
      </c>
      <c r="H125" s="188"/>
      <c r="I125" s="26"/>
      <c r="J125" s="26">
        <f>J14+J33+J124</f>
        <v>103453.93</v>
      </c>
    </row>
    <row r="126" spans="1:10" s="12" customFormat="1" ht="14.25" customHeight="1" x14ac:dyDescent="0.2">
      <c r="A126" s="2"/>
      <c r="B126" s="2"/>
      <c r="C126" s="8" t="s">
        <v>392</v>
      </c>
      <c r="D126" s="122">
        <f>ROUND(G126/(G$16+$G$14),2)</f>
        <v>4.5999999999999996</v>
      </c>
      <c r="E126" s="187"/>
      <c r="F126" s="138"/>
      <c r="G126" s="26">
        <v>11581.32</v>
      </c>
      <c r="H126" s="188"/>
      <c r="I126" s="26"/>
      <c r="J126" s="26">
        <f>ROUND(D126*(J14+J16),2)</f>
        <v>525835.56999999995</v>
      </c>
    </row>
    <row r="127" spans="1:10" s="12" customFormat="1" ht="14.25" customHeight="1" x14ac:dyDescent="0.2">
      <c r="A127" s="2"/>
      <c r="B127" s="2"/>
      <c r="C127" s="8" t="s">
        <v>393</v>
      </c>
      <c r="D127" s="122">
        <f>ROUND(G127/(G$14+G$16),2)</f>
        <v>3.34</v>
      </c>
      <c r="E127" s="187"/>
      <c r="F127" s="138"/>
      <c r="G127" s="26">
        <v>8412.65</v>
      </c>
      <c r="H127" s="188"/>
      <c r="I127" s="26"/>
      <c r="J127" s="26">
        <f>ROUND(D127*(J14+J16),2)</f>
        <v>381802.35</v>
      </c>
    </row>
    <row r="128" spans="1:10" s="12" customFormat="1" ht="14.25" customHeight="1" x14ac:dyDescent="0.2">
      <c r="A128" s="2"/>
      <c r="B128" s="2"/>
      <c r="C128" s="8" t="s">
        <v>394</v>
      </c>
      <c r="D128" s="2"/>
      <c r="E128" s="187"/>
      <c r="F128" s="138"/>
      <c r="G128" s="26">
        <f>G14+G33+G124+G126+G127</f>
        <v>23609.82</v>
      </c>
      <c r="H128" s="188"/>
      <c r="I128" s="26"/>
      <c r="J128" s="26">
        <f>J14+J33+J124+J126+J127</f>
        <v>1011091.85</v>
      </c>
    </row>
    <row r="129" spans="1:10" s="12" customFormat="1" ht="14.25" customHeight="1" x14ac:dyDescent="0.2">
      <c r="A129" s="2"/>
      <c r="B129" s="2"/>
      <c r="C129" s="8" t="s">
        <v>395</v>
      </c>
      <c r="D129" s="2"/>
      <c r="E129" s="187"/>
      <c r="F129" s="138"/>
      <c r="G129" s="26">
        <f>G128+G52</f>
        <v>175886.4</v>
      </c>
      <c r="H129" s="188"/>
      <c r="I129" s="26"/>
      <c r="J129" s="26">
        <f>J128+J52</f>
        <v>1964343.2799999998</v>
      </c>
    </row>
    <row r="130" spans="1:10" s="12" customFormat="1" ht="34.5" customHeight="1" x14ac:dyDescent="0.2">
      <c r="A130" s="2"/>
      <c r="B130" s="2"/>
      <c r="C130" s="8" t="s">
        <v>360</v>
      </c>
      <c r="D130" s="2" t="s">
        <v>396</v>
      </c>
      <c r="E130" s="189">
        <v>1</v>
      </c>
      <c r="F130" s="138"/>
      <c r="G130" s="26">
        <f>G129/E130</f>
        <v>175886.4</v>
      </c>
      <c r="H130" s="188"/>
      <c r="I130" s="26"/>
      <c r="J130" s="26">
        <f>J129/E130</f>
        <v>1964343.2799999998</v>
      </c>
    </row>
    <row r="132" spans="1:10" s="12" customFormat="1" ht="14.25" customHeight="1" x14ac:dyDescent="0.2">
      <c r="A132" s="4" t="s">
        <v>397</v>
      </c>
    </row>
    <row r="133" spans="1:10" s="12" customFormat="1" ht="14.25" customHeight="1" x14ac:dyDescent="0.2">
      <c r="A133" s="115" t="s">
        <v>77</v>
      </c>
    </row>
    <row r="134" spans="1:10" s="12" customFormat="1" ht="14.25" customHeight="1" x14ac:dyDescent="0.2">
      <c r="A134" s="4"/>
    </row>
    <row r="135" spans="1:10" s="12" customFormat="1" ht="14.25" customHeight="1" x14ac:dyDescent="0.2">
      <c r="A135" s="4" t="s">
        <v>398</v>
      </c>
    </row>
    <row r="136" spans="1:10" s="12" customFormat="1" ht="14.25" customHeight="1" x14ac:dyDescent="0.2">
      <c r="A136" s="115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55:H55"/>
    <mergeCell ref="B12:H12"/>
    <mergeCell ref="B15:H15"/>
    <mergeCell ref="B17:H17"/>
    <mergeCell ref="B18:H18"/>
    <mergeCell ref="B35:H35"/>
    <mergeCell ref="B34:H34"/>
    <mergeCell ref="B54:H54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2" manualBreakCount="2">
    <brk id="51" max="9" man="1"/>
    <brk id="119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3"/>
  <sheetViews>
    <sheetView view="pageBreakPreview" topLeftCell="A16" workbookViewId="0">
      <selection activeCell="C31" sqref="C3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2" t="s">
        <v>399</v>
      </c>
      <c r="B1" s="252"/>
      <c r="C1" s="252"/>
      <c r="D1" s="252"/>
      <c r="E1" s="252"/>
      <c r="F1" s="252"/>
      <c r="G1" s="252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6" t="s">
        <v>400</v>
      </c>
      <c r="B3" s="206"/>
      <c r="C3" s="206"/>
      <c r="D3" s="206"/>
      <c r="E3" s="206"/>
      <c r="F3" s="206"/>
      <c r="G3" s="206"/>
    </row>
    <row r="4" spans="1:7" ht="27" customHeight="1" x14ac:dyDescent="0.25">
      <c r="A4" s="209" t="s">
        <v>325</v>
      </c>
      <c r="B4" s="209"/>
      <c r="C4" s="209"/>
      <c r="D4" s="209"/>
      <c r="E4" s="209"/>
      <c r="F4" s="209"/>
      <c r="G4" s="209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7" t="s">
        <v>13</v>
      </c>
      <c r="B6" s="257" t="s">
        <v>101</v>
      </c>
      <c r="C6" s="257" t="s">
        <v>326</v>
      </c>
      <c r="D6" s="257" t="s">
        <v>103</v>
      </c>
      <c r="E6" s="234" t="s">
        <v>369</v>
      </c>
      <c r="F6" s="257" t="s">
        <v>105</v>
      </c>
      <c r="G6" s="257"/>
    </row>
    <row r="7" spans="1:7" x14ac:dyDescent="0.25">
      <c r="A7" s="257"/>
      <c r="B7" s="257"/>
      <c r="C7" s="257"/>
      <c r="D7" s="257"/>
      <c r="E7" s="250"/>
      <c r="F7" s="2" t="s">
        <v>372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8"/>
      <c r="B9" s="253" t="s">
        <v>401</v>
      </c>
      <c r="C9" s="254"/>
      <c r="D9" s="254"/>
      <c r="E9" s="254"/>
      <c r="F9" s="254"/>
      <c r="G9" s="255"/>
    </row>
    <row r="10" spans="1:7" ht="27" customHeight="1" x14ac:dyDescent="0.25">
      <c r="A10" s="2"/>
      <c r="B10" s="119"/>
      <c r="C10" s="8" t="s">
        <v>402</v>
      </c>
      <c r="D10" s="119"/>
      <c r="E10" s="120"/>
      <c r="F10" s="138"/>
      <c r="G10" s="138">
        <v>0</v>
      </c>
    </row>
    <row r="11" spans="1:7" x14ac:dyDescent="0.25">
      <c r="A11" s="2"/>
      <c r="B11" s="238" t="s">
        <v>403</v>
      </c>
      <c r="C11" s="238"/>
      <c r="D11" s="238"/>
      <c r="E11" s="256"/>
      <c r="F11" s="241"/>
      <c r="G11" s="241"/>
    </row>
    <row r="12" spans="1:7" ht="25.5" customHeight="1" x14ac:dyDescent="0.25">
      <c r="A12" s="2">
        <v>1</v>
      </c>
      <c r="B12" s="8" t="str">
        <f>'Прил.5 Расчет СМР и ОБ'!B36</f>
        <v>Прайс из СД ОП</v>
      </c>
      <c r="C12" s="8" t="str">
        <f>'Прил.5 Расчет СМР и ОБ'!C36</f>
        <v xml:space="preserve">Оборудование структурированной кабельной сети в комплекте </v>
      </c>
      <c r="D12" s="8" t="str">
        <f>'Прил.5 Расчет СМР и ОБ'!D36</f>
        <v>компл</v>
      </c>
      <c r="E12" s="8">
        <f>'Прил.5 Расчет СМР и ОБ'!E36</f>
        <v>0.14285704638357999</v>
      </c>
      <c r="F12" s="8">
        <f>'Прил.5 Расчет СМР и ОБ'!F36</f>
        <v>788461.61</v>
      </c>
      <c r="G12" s="26">
        <f t="shared" ref="G12:G25" si="0">ROUND(E12*F12,2)</f>
        <v>112637.3</v>
      </c>
    </row>
    <row r="13" spans="1:7" ht="127.5" customHeight="1" x14ac:dyDescent="0.25">
      <c r="A13" s="2">
        <v>2</v>
      </c>
      <c r="B13" s="8" t="str">
        <f>'Прил.5 Расчет СМР и ОБ'!B37</f>
        <v>Прайс из СД ОП</v>
      </c>
      <c r="C13" s="8" t="str">
        <f>'Прил.5 Расчет СМР и ОБ'!C37</f>
        <v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v>
      </c>
      <c r="D13" s="8" t="str">
        <f>'Прил.5 Расчет СМР и ОБ'!D37</f>
        <v>компл</v>
      </c>
      <c r="E13" s="8">
        <f>'Прил.5 Расчет СМР и ОБ'!E37</f>
        <v>0.14285704609076</v>
      </c>
      <c r="F13" s="8">
        <f>'Прил.5 Расчет СМР и ОБ'!F37</f>
        <v>273841.59999999998</v>
      </c>
      <c r="G13" s="26">
        <f t="shared" si="0"/>
        <v>39120.199999999997</v>
      </c>
    </row>
    <row r="14" spans="1:7" x14ac:dyDescent="0.25">
      <c r="A14" s="2">
        <v>3</v>
      </c>
      <c r="B14" s="8" t="str">
        <f>'Прил.5 Расчет СМР и ОБ'!B39</f>
        <v>Прайс из СД ОП</v>
      </c>
      <c r="C14" s="8" t="str">
        <f>'Прил.5 Расчет СМР и ОБ'!C39</f>
        <v>Блок-контакт состояния</v>
      </c>
      <c r="D14" s="8" t="str">
        <f>'Прил.5 Расчет СМР и ОБ'!D39</f>
        <v>шт</v>
      </c>
      <c r="E14" s="8">
        <f>'Прил.5 Расчет СМР и ОБ'!E39</f>
        <v>1.5714231762552999</v>
      </c>
      <c r="F14" s="8">
        <f>'Прил.5 Расчет СМР и ОБ'!F39</f>
        <v>196.91</v>
      </c>
      <c r="G14" s="26">
        <f t="shared" si="0"/>
        <v>309.43</v>
      </c>
    </row>
    <row r="15" spans="1:7" ht="25.5" customHeight="1" x14ac:dyDescent="0.25">
      <c r="A15" s="2">
        <v>4</v>
      </c>
      <c r="B15" s="8" t="str">
        <f>'Прил.5 Расчет СМР и ОБ'!B40</f>
        <v>2.1.01.09-0042</v>
      </c>
      <c r="C15" s="8" t="str">
        <f>'Прил.5 Расчет СМР и ОБ'!C40</f>
        <v>Выключатели автоматические: «IEK» ВА47-100 4Р 63А, характеристика</v>
      </c>
      <c r="D15" s="8" t="str">
        <f>'Прил.5 Расчет СМР и ОБ'!D40</f>
        <v>шт</v>
      </c>
      <c r="E15" s="8">
        <f>'Прил.5 Расчет СМР и ОБ'!E40</f>
        <v>0.57142613029575995</v>
      </c>
      <c r="F15" s="8">
        <f>'Прил.5 Расчет СМР и ОБ'!F40</f>
        <v>204.29</v>
      </c>
      <c r="G15" s="26">
        <f t="shared" si="0"/>
        <v>116.74</v>
      </c>
    </row>
    <row r="16" spans="1:7" x14ac:dyDescent="0.25">
      <c r="A16" s="2">
        <v>5</v>
      </c>
      <c r="B16" s="8" t="str">
        <f>'Прил.5 Расчет СМР и ОБ'!B41</f>
        <v>Прайс из СД ОП</v>
      </c>
      <c r="C16" s="8" t="str">
        <f>'Прил.5 Расчет СМР и ОБ'!C41</f>
        <v>PDA-DN 80 Рамка под два модуля</v>
      </c>
      <c r="D16" s="8" t="str">
        <f>'Прил.5 Расчет СМР и ОБ'!D41</f>
        <v>шт</v>
      </c>
      <c r="E16" s="8">
        <f>'Прил.5 Расчет СМР и ОБ'!E41</f>
        <v>3.5713333962866001</v>
      </c>
      <c r="F16" s="8">
        <f>'Прил.5 Расчет СМР и ОБ'!F41</f>
        <v>9.84</v>
      </c>
      <c r="G16" s="26">
        <f t="shared" si="0"/>
        <v>35.14</v>
      </c>
    </row>
    <row r="17" spans="1:7" ht="25.5" customHeight="1" x14ac:dyDescent="0.25">
      <c r="A17" s="2">
        <v>6</v>
      </c>
      <c r="B17" s="8" t="str">
        <f>'Прил.5 Расчет СМР и ОБ'!B42</f>
        <v>20.4.03.03-0013</v>
      </c>
      <c r="C17" s="8" t="str">
        <f>'Прил.5 Расчет СМР и ОБ'!C42</f>
        <v>Розетка телефонная для открытой проводки, РТ-4, белая</v>
      </c>
      <c r="D17" s="8" t="str">
        <f>'Прил.5 Расчет СМР и ОБ'!D42</f>
        <v>100 шт</v>
      </c>
      <c r="E17" s="8">
        <f>'Прил.5 Расчет СМР и ОБ'!E42</f>
        <v>4.9999966248434002E-2</v>
      </c>
      <c r="F17" s="8">
        <f>'Прил.5 Расчет СМР и ОБ'!F42</f>
        <v>671</v>
      </c>
      <c r="G17" s="26">
        <f t="shared" si="0"/>
        <v>33.549999999999997</v>
      </c>
    </row>
    <row r="18" spans="1:7" ht="25.5" customHeight="1" x14ac:dyDescent="0.25">
      <c r="A18" s="2">
        <v>7</v>
      </c>
      <c r="B18" s="8" t="str">
        <f>'Прил.5 Расчет СМР и ОБ'!B43</f>
        <v>20.1.02.15-0013</v>
      </c>
      <c r="C18" s="8" t="str">
        <f>'Прил.5 Расчет СМР и ОБ'!C43</f>
        <v>Соединитель восьмиканальный модульный (интернет-розетка)</v>
      </c>
      <c r="D18" s="8" t="str">
        <f>'Прил.5 Расчет СМР и ОБ'!D43</f>
        <v>шт</v>
      </c>
      <c r="E18" s="8">
        <f>'Прил.5 Расчет СМР и ОБ'!E43</f>
        <v>3.5720540224920998</v>
      </c>
      <c r="F18" s="8">
        <f>'Прил.5 Расчет СМР и ОБ'!F43</f>
        <v>3.09</v>
      </c>
      <c r="G18" s="26">
        <f t="shared" si="0"/>
        <v>11.04</v>
      </c>
    </row>
    <row r="19" spans="1:7" x14ac:dyDescent="0.25">
      <c r="A19" s="2">
        <v>8</v>
      </c>
      <c r="B19" s="8" t="str">
        <f>'Прил.5 Расчет СМР и ОБ'!B44</f>
        <v>Прайс из СД ОП</v>
      </c>
      <c r="C19" s="8" t="str">
        <f>'Прил.5 Расчет СМР и ОБ'!C44</f>
        <v xml:space="preserve">Заглушка VIVA 1мод     </v>
      </c>
      <c r="D19" s="8" t="str">
        <f>'Прил.5 Расчет СМР и ОБ'!D44</f>
        <v>шт</v>
      </c>
      <c r="E19" s="8">
        <f>'Прил.5 Расчет СМР и ОБ'!E44</f>
        <v>2.14260718384</v>
      </c>
      <c r="F19" s="8">
        <f>'Прил.5 Расчет СМР и ОБ'!F44</f>
        <v>3.03</v>
      </c>
      <c r="G19" s="26">
        <f t="shared" si="0"/>
        <v>6.49</v>
      </c>
    </row>
    <row r="20" spans="1:7" ht="25.5" customHeight="1" x14ac:dyDescent="0.25">
      <c r="A20" s="2">
        <v>9</v>
      </c>
      <c r="B20" s="8" t="str">
        <f>'Прил.5 Расчет СМР и ОБ'!B45</f>
        <v>Прайс из СД ОП</v>
      </c>
      <c r="C20" s="8" t="str">
        <f>'Прил.5 Расчет СМР и ОБ'!C45</f>
        <v xml:space="preserve">Суппорт BRAVA 4мод. для башенок TOR и каб.-канала TBN  </v>
      </c>
      <c r="D20" s="8" t="str">
        <f>'Прил.5 Расчет СМР и ОБ'!D45</f>
        <v>шт</v>
      </c>
      <c r="E20" s="8">
        <f>'Прил.5 Расчет СМР и ОБ'!E45</f>
        <v>0.57147196343031004</v>
      </c>
      <c r="F20" s="8">
        <f>'Прил.5 Расчет СМР и ОБ'!F45</f>
        <v>7.09</v>
      </c>
      <c r="G20" s="26">
        <f t="shared" si="0"/>
        <v>4.05</v>
      </c>
    </row>
    <row r="21" spans="1:7" ht="25.5" customHeight="1" x14ac:dyDescent="0.25">
      <c r="A21" s="2">
        <v>10</v>
      </c>
      <c r="B21" s="8" t="str">
        <f>'Прил.5 Расчет СМР и ОБ'!B46</f>
        <v>20.1.02.15-0013</v>
      </c>
      <c r="C21" s="8" t="str">
        <f>'Прил.5 Расчет СМР и ОБ'!C46</f>
        <v>Соединитель восьмиканальный модульный (интернет-розетка)</v>
      </c>
      <c r="D21" s="8" t="str">
        <f>'Прил.5 Расчет СМР и ОБ'!D46</f>
        <v>шт</v>
      </c>
      <c r="E21" s="8">
        <f>'Прил.5 Расчет СМР и ОБ'!E46</f>
        <v>0.28576432179937</v>
      </c>
      <c r="F21" s="8">
        <f>'Прил.5 Расчет СМР и ОБ'!F46</f>
        <v>3.09</v>
      </c>
      <c r="G21" s="26">
        <f t="shared" si="0"/>
        <v>0.88</v>
      </c>
    </row>
    <row r="22" spans="1:7" ht="25.5" customHeight="1" x14ac:dyDescent="0.25">
      <c r="A22" s="2">
        <v>11</v>
      </c>
      <c r="B22" s="8" t="str">
        <f>'Прил.5 Расчет СМР и ОБ'!B47</f>
        <v>21.1.04.01-0005</v>
      </c>
      <c r="C22" s="8" t="str">
        <f>'Прил.5 Расчет СМР и ОБ'!C47</f>
        <v>Кабель (витая пара) UTP 19C-U5-03GY-B305</v>
      </c>
      <c r="D22" s="8" t="str">
        <f>'Прил.5 Расчет СМР и ОБ'!D47</f>
        <v>1000 м</v>
      </c>
      <c r="E22" s="8">
        <f>'Прил.5 Расчет СМР и ОБ'!E47</f>
        <v>5.7142818569639003E-4</v>
      </c>
      <c r="F22" s="8">
        <f>'Прил.5 Расчет СМР и ОБ'!F47</f>
        <v>1235</v>
      </c>
      <c r="G22" s="26">
        <f t="shared" si="0"/>
        <v>0.71</v>
      </c>
    </row>
    <row r="23" spans="1:7" ht="25.5" customHeight="1" x14ac:dyDescent="0.25">
      <c r="A23" s="2">
        <v>12</v>
      </c>
      <c r="B23" s="8" t="str">
        <f>'Прил.5 Расчет СМР и ОБ'!B48</f>
        <v>21.1.04.01-0005</v>
      </c>
      <c r="C23" s="8" t="str">
        <f>'Прил.5 Расчет СМР и ОБ'!C48</f>
        <v>Кабель (витая пара) UTP 19C-U5-03GY-B305</v>
      </c>
      <c r="D23" s="8" t="str">
        <f>'Прил.5 Расчет СМР и ОБ'!D48</f>
        <v>1000 м</v>
      </c>
      <c r="E23" s="8">
        <f>'Прил.5 Расчет СМР и ОБ'!E48</f>
        <v>2.8571409284818997E-4</v>
      </c>
      <c r="F23" s="8">
        <f>'Прил.5 Расчет СМР и ОБ'!F48</f>
        <v>1235</v>
      </c>
      <c r="G23" s="26">
        <f t="shared" si="0"/>
        <v>0.35</v>
      </c>
    </row>
    <row r="24" spans="1:7" ht="25.5" customHeight="1" x14ac:dyDescent="0.25">
      <c r="A24" s="2">
        <v>13</v>
      </c>
      <c r="B24" s="8" t="str">
        <f>'Прил.5 Расчет СМР и ОБ'!B49</f>
        <v>21.1.04.01-0005</v>
      </c>
      <c r="C24" s="8" t="str">
        <f>'Прил.5 Расчет СМР и ОБ'!C49</f>
        <v>Кабель (витая пара) UTP 19C-U5-03GY-B305</v>
      </c>
      <c r="D24" s="8" t="str">
        <f>'Прил.5 Расчет СМР и ОБ'!D49</f>
        <v>1000 м</v>
      </c>
      <c r="E24" s="8">
        <f>'Прил.5 Расчет СМР и ОБ'!E49</f>
        <v>2.8571409284818997E-4</v>
      </c>
      <c r="F24" s="8">
        <f>'Прил.5 Расчет СМР и ОБ'!F49</f>
        <v>1235</v>
      </c>
      <c r="G24" s="26">
        <f t="shared" si="0"/>
        <v>0.35</v>
      </c>
    </row>
    <row r="25" spans="1:7" ht="25.5" customHeight="1" x14ac:dyDescent="0.25">
      <c r="A25" s="2">
        <v>14</v>
      </c>
      <c r="B25" s="8" t="str">
        <f>'Прил.5 Расчет СМР и ОБ'!B50</f>
        <v>21.1.04.01-0005</v>
      </c>
      <c r="C25" s="8" t="str">
        <f>'Прил.5 Расчет СМР и ОБ'!C50</f>
        <v>Кабель (витая пара) UTP 19C-U5-03GY-B305</v>
      </c>
      <c r="D25" s="8" t="str">
        <f>'Прил.5 Расчет СМР и ОБ'!D50</f>
        <v>1000 м</v>
      </c>
      <c r="E25" s="8">
        <f>'Прил.5 Расчет СМР и ОБ'!E50</f>
        <v>2.8571409284818997E-4</v>
      </c>
      <c r="F25" s="8">
        <f>'Прил.5 Расчет СМР и ОБ'!F50</f>
        <v>1235</v>
      </c>
      <c r="G25" s="26">
        <f t="shared" si="0"/>
        <v>0.35</v>
      </c>
    </row>
    <row r="26" spans="1:7" ht="25.5" customHeight="1" x14ac:dyDescent="0.25">
      <c r="A26" s="2"/>
      <c r="B26" s="8"/>
      <c r="C26" s="8" t="s">
        <v>404</v>
      </c>
      <c r="D26" s="8"/>
      <c r="E26" s="40"/>
      <c r="F26" s="138"/>
      <c r="G26" s="26">
        <f>SUM(G12:G25)</f>
        <v>152276.57999999999</v>
      </c>
    </row>
    <row r="27" spans="1:7" ht="19.5" customHeight="1" x14ac:dyDescent="0.25">
      <c r="A27" s="2"/>
      <c r="B27" s="8"/>
      <c r="C27" s="8" t="s">
        <v>405</v>
      </c>
      <c r="D27" s="8"/>
      <c r="E27" s="40"/>
      <c r="F27" s="138"/>
      <c r="G27" s="26">
        <f>G10+G26</f>
        <v>152276.57999999999</v>
      </c>
    </row>
    <row r="28" spans="1:7" x14ac:dyDescent="0.25">
      <c r="A28" s="24"/>
      <c r="B28" s="121"/>
      <c r="C28" s="24"/>
      <c r="D28" s="24"/>
      <c r="E28" s="24"/>
      <c r="F28" s="24"/>
      <c r="G28" s="24"/>
    </row>
    <row r="29" spans="1:7" x14ac:dyDescent="0.25">
      <c r="A29" s="4" t="s">
        <v>397</v>
      </c>
      <c r="B29" s="12"/>
      <c r="C29" s="12"/>
      <c r="D29" s="24"/>
      <c r="E29" s="24"/>
      <c r="F29" s="24"/>
      <c r="G29" s="24"/>
    </row>
    <row r="30" spans="1:7" x14ac:dyDescent="0.25">
      <c r="A30" s="115" t="s">
        <v>77</v>
      </c>
      <c r="B30" s="12"/>
      <c r="C30" s="12"/>
      <c r="D30" s="24"/>
      <c r="E30" s="24"/>
      <c r="F30" s="24"/>
      <c r="G30" s="24"/>
    </row>
    <row r="31" spans="1:7" x14ac:dyDescent="0.25">
      <c r="A31" s="4"/>
      <c r="B31" s="12"/>
      <c r="C31" s="12"/>
      <c r="D31" s="24"/>
      <c r="E31" s="24"/>
      <c r="F31" s="24"/>
      <c r="G31" s="24"/>
    </row>
    <row r="32" spans="1:7" x14ac:dyDescent="0.25">
      <c r="A32" s="4" t="s">
        <v>398</v>
      </c>
      <c r="B32" s="12"/>
      <c r="C32" s="12"/>
      <c r="D32" s="24"/>
      <c r="E32" s="24"/>
      <c r="F32" s="24"/>
      <c r="G32" s="24"/>
    </row>
    <row r="33" spans="1:7" x14ac:dyDescent="0.25">
      <c r="A33" s="115" t="s">
        <v>79</v>
      </c>
      <c r="B33" s="12"/>
      <c r="C33" s="12"/>
      <c r="D33" s="24"/>
      <c r="E33" s="24"/>
      <c r="F33" s="24"/>
      <c r="G33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2023-11-26T05:00:31Z</cp:lastPrinted>
  <dcterms:created xsi:type="dcterms:W3CDTF">2020-09-30T08:50:27Z</dcterms:created>
  <dcterms:modified xsi:type="dcterms:W3CDTF">2023-11-26T05:00:43Z</dcterms:modified>
  <cp:category/>
</cp:coreProperties>
</file>