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70538C8-6116-497D-9090-EB9A5F669472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Прил.3!$A$1:$H$85</definedName>
    <definedName name="_xlnm.Print_Area" localSheetId="3">'Прил.4 РМ'!$A$1:$E$48</definedName>
    <definedName name="_xlnm.Print_Area" localSheetId="4">'Прил.5 Расчет СМР и ОБ'!$A$1:$J$99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D5" i="7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G24" i="6" s="1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87" i="5"/>
  <c r="J86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J83" i="5" s="1"/>
  <c r="G50" i="5"/>
  <c r="J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J39" i="5" s="1"/>
  <c r="J40" i="5" s="1"/>
  <c r="C25" i="4" s="1"/>
  <c r="G32" i="5"/>
  <c r="J31" i="5"/>
  <c r="G31" i="5"/>
  <c r="J30" i="5"/>
  <c r="I30" i="5"/>
  <c r="G30" i="5"/>
  <c r="J29" i="5"/>
  <c r="I29" i="5"/>
  <c r="G29" i="5"/>
  <c r="J28" i="5"/>
  <c r="I28" i="5"/>
  <c r="G28" i="5"/>
  <c r="J23" i="5"/>
  <c r="I23" i="5"/>
  <c r="G23" i="5"/>
  <c r="J22" i="5"/>
  <c r="J24" i="5" s="1"/>
  <c r="I22" i="5"/>
  <c r="G22" i="5"/>
  <c r="G24" i="5" s="1"/>
  <c r="J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A7" i="5"/>
  <c r="C23" i="4"/>
  <c r="C22" i="4"/>
  <c r="C21" i="4"/>
  <c r="C20" i="4"/>
  <c r="C16" i="4"/>
  <c r="C15" i="4"/>
  <c r="C12" i="4"/>
  <c r="C11" i="4"/>
  <c r="B8" i="4"/>
  <c r="B7" i="4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F19" i="3"/>
  <c r="H18" i="3"/>
  <c r="H17" i="3"/>
  <c r="H16" i="3"/>
  <c r="H15" i="3"/>
  <c r="H14" i="3"/>
  <c r="H13" i="3"/>
  <c r="H12" i="3"/>
  <c r="F12" i="3"/>
  <c r="A7" i="3"/>
  <c r="J14" i="2"/>
  <c r="H14" i="2"/>
  <c r="F14" i="2"/>
  <c r="B7" i="2"/>
  <c r="B6" i="2"/>
  <c r="D24" i="1"/>
  <c r="D23" i="1"/>
  <c r="D19" i="1"/>
  <c r="D18" i="1"/>
  <c r="D17" i="1"/>
  <c r="B7" i="1"/>
  <c r="J25" i="5" l="1"/>
  <c r="C13" i="4"/>
  <c r="C14" i="4" s="1"/>
  <c r="G25" i="5"/>
  <c r="H23" i="5" s="1"/>
  <c r="G25" i="6"/>
  <c r="G41" i="5"/>
  <c r="G39" i="5"/>
  <c r="C17" i="4"/>
  <c r="J84" i="5"/>
  <c r="G83" i="5"/>
  <c r="H24" i="5" l="1"/>
  <c r="H20" i="5"/>
  <c r="H21" i="5"/>
  <c r="H19" i="5"/>
  <c r="H22" i="5"/>
  <c r="G40" i="5"/>
  <c r="H39" i="5"/>
  <c r="H40" i="5"/>
  <c r="J41" i="5"/>
  <c r="C26" i="4" s="1"/>
  <c r="H41" i="5"/>
  <c r="J88" i="5"/>
  <c r="J89" i="5" s="1"/>
  <c r="J90" i="5" s="1"/>
  <c r="J85" i="5"/>
  <c r="C18" i="4"/>
  <c r="G84" i="5"/>
  <c r="H30" i="5" l="1"/>
  <c r="H29" i="5"/>
  <c r="H31" i="5"/>
  <c r="H28" i="5"/>
  <c r="H33" i="5"/>
  <c r="H32" i="5"/>
  <c r="H36" i="5"/>
  <c r="H35" i="5"/>
  <c r="H38" i="5"/>
  <c r="H34" i="5"/>
  <c r="H37" i="5"/>
  <c r="G88" i="5"/>
  <c r="G89" i="5" s="1"/>
  <c r="G90" i="5" s="1"/>
  <c r="H47" i="5"/>
  <c r="H44" i="5"/>
  <c r="H45" i="5"/>
  <c r="G85" i="5"/>
  <c r="H49" i="5"/>
  <c r="H46" i="5"/>
  <c r="H48" i="5"/>
  <c r="H51" i="5"/>
  <c r="H55" i="5"/>
  <c r="H73" i="5"/>
  <c r="H69" i="5"/>
  <c r="H56" i="5"/>
  <c r="H74" i="5"/>
  <c r="H59" i="5"/>
  <c r="H63" i="5"/>
  <c r="H60" i="5"/>
  <c r="H58" i="5"/>
  <c r="H76" i="5"/>
  <c r="H81" i="5"/>
  <c r="H77" i="5"/>
  <c r="H66" i="5"/>
  <c r="H61" i="5"/>
  <c r="H79" i="5"/>
  <c r="H57" i="5"/>
  <c r="H62" i="5"/>
  <c r="H80" i="5"/>
  <c r="H75" i="5"/>
  <c r="H82" i="5"/>
  <c r="H72" i="5"/>
  <c r="H65" i="5"/>
  <c r="H64" i="5"/>
  <c r="H78" i="5"/>
  <c r="H67" i="5"/>
  <c r="H54" i="5"/>
  <c r="H50" i="5"/>
  <c r="H68" i="5"/>
  <c r="H52" i="5"/>
  <c r="H70" i="5"/>
  <c r="H53" i="5"/>
  <c r="H71" i="5"/>
  <c r="C19" i="4"/>
  <c r="C24" i="4" s="1"/>
  <c r="H83" i="5"/>
  <c r="D15" i="4" l="1"/>
  <c r="D13" i="4"/>
  <c r="D11" i="4"/>
  <c r="C29" i="4"/>
  <c r="C30" i="4" s="1"/>
  <c r="D22" i="4"/>
  <c r="C27" i="4"/>
  <c r="D24" i="4"/>
  <c r="D16" i="4"/>
  <c r="D14" i="4"/>
  <c r="D12" i="4"/>
  <c r="D20" i="4"/>
  <c r="D17" i="4"/>
  <c r="D18" i="4"/>
  <c r="C37" i="4" l="1"/>
  <c r="C36" i="4"/>
  <c r="C38" i="4" l="1"/>
  <c r="C39" i="4" l="1"/>
  <c r="C40" i="4" l="1"/>
  <c r="E39" i="4" s="1"/>
  <c r="C41" i="4" l="1"/>
  <c r="D11" i="7" s="1"/>
  <c r="E34" i="4"/>
  <c r="E25" i="4"/>
  <c r="E22" i="4"/>
  <c r="E40" i="4"/>
  <c r="E26" i="4"/>
  <c r="E11" i="4"/>
  <c r="E33" i="4"/>
  <c r="E32" i="4"/>
  <c r="E16" i="4"/>
  <c r="E14" i="4"/>
  <c r="E12" i="4"/>
  <c r="E20" i="4"/>
  <c r="E35" i="4"/>
  <c r="E13" i="4"/>
  <c r="E31" i="4"/>
  <c r="E15" i="4"/>
  <c r="E17" i="4"/>
  <c r="E18" i="4"/>
  <c r="E24" i="4"/>
  <c r="E30" i="4"/>
  <c r="E29" i="4"/>
  <c r="E27" i="4"/>
  <c r="E36" i="4"/>
  <c r="E37" i="4"/>
  <c r="E38" i="4"/>
</calcChain>
</file>

<file path=xl/sharedStrings.xml><?xml version="1.0" encoding="utf-8"?>
<sst xmlns="http://schemas.openxmlformats.org/spreadsheetml/2006/main" count="607" uniqueCount="353">
  <si>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</si>
  <si>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</si>
  <si>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</si>
  <si>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</si>
  <si>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3 квартал 2021 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</si>
  <si>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</si>
  <si>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</si>
  <si>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</si>
  <si>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</si>
  <si>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</si>
  <si>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</si>
  <si>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</si>
  <si>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</si>
  <si>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</si>
  <si>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</si>
  <si>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</si>
  <si>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</si>
  <si>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</si>
  <si>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</si>
  <si>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</si>
  <si>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</si>
  <si>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</si>
  <si>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</si>
  <si>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</si>
  <si>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</si>
  <si>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</si>
  <si>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</si>
  <si>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</si>
  <si>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</si>
  <si>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</si>
  <si>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</si>
  <si>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</si>
  <si>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</si>
  <si>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</si>
  <si>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</si>
  <si>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</si>
  <si>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</si>
  <si>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</si>
  <si>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</si>
  <si>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</si>
  <si>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</si>
  <si>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</si>
  <si>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</si>
  <si>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</si>
  <si>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</si>
  <si>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</si>
  <si>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СКУД ПС 220 кВ</t>
  </si>
  <si>
    <t>Всего по объекту:</t>
  </si>
  <si>
    <t>Всего по объекту в сопоставимом уровне цен 3кв. 2021г: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</si>
  <si>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</si>
  <si>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</si>
  <si>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</si>
  <si>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</si>
  <si>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</si>
  <si>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</si>
  <si>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</si>
  <si>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</si>
  <si>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</si>
  <si>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</si>
  <si>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</si>
  <si>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</si>
  <si>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</si>
  <si>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</si>
  <si>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</si>
  <si>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</si>
  <si>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</si>
  <si>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</si>
  <si>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</si>
  <si>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</si>
  <si>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</si>
  <si>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</si>
  <si>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</si>
  <si>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</si>
  <si>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</si>
  <si>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</si>
  <si>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</si>
  <si>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</si>
  <si>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</si>
  <si>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</si>
  <si>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</si>
  <si>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</si>
  <si>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</si>
  <si>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</si>
  <si>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</si>
  <si>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</si>
  <si>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</si>
  <si>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</si>
  <si>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</si>
  <si>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</si>
  <si>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</si>
  <si>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</si>
  <si>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</si>
  <si>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</si>
  <si>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</si>
  <si>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</si>
  <si>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</si>
  <si>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</si>
  <si>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</si>
  <si>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</si>
  <si>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</si>
  <si>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</si>
  <si>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</si>
  <si>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</si>
  <si>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</si>
  <si>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</si>
  <si>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</si>
  <si>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</si>
  <si>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</si>
  <si>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</si>
  <si>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</si>
  <si>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</si>
  <si>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</si>
  <si>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</si>
  <si>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</si>
  <si>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</si>
  <si>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</si>
  <si>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</si>
  <si>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</si>
  <si>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</si>
  <si>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</si>
  <si>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</si>
  <si>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</si>
  <si>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</si>
  <si>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</si>
  <si>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</si>
  <si>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</si>
  <si>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</si>
  <si>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</si>
  <si>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</si>
  <si>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</si>
  <si>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</si>
  <si>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</si>
  <si>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</si>
  <si>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</si>
  <si>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</si>
  <si>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</si>
  <si>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</si>
  <si>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</si>
  <si>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</si>
  <si>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</si>
  <si>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</si>
  <si>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</si>
  <si>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</si>
  <si>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</si>
  <si>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</si>
  <si>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</si>
  <si>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</si>
  <si>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</si>
  <si>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</si>
  <si>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</si>
  <si>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</si>
  <si>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</si>
  <si>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</si>
  <si>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</si>
  <si>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</si>
  <si>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</si>
  <si>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</si>
  <si>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</si>
  <si>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</si>
  <si>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</si>
  <si>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</si>
  <si>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</si>
  <si>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</si>
  <si>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</si>
  <si>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</si>
  <si>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</si>
  <si>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</si>
  <si>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</si>
  <si>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</si>
  <si>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</si>
  <si>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</si>
  <si>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</si>
  <si>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</si>
  <si>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</si>
  <si>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</si>
  <si>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</si>
  <si>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</si>
  <si>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</si>
  <si>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</si>
  <si>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</si>
  <si>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</si>
  <si>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</si>
  <si>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</si>
  <si>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</si>
  <si>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</si>
  <si>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</si>
  <si>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</si>
  <si>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</si>
  <si>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</si>
  <si>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</si>
  <si>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</si>
  <si>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</si>
  <si>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</si>
  <si>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</si>
  <si>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</si>
  <si>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</si>
  <si>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</si>
  <si>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</si>
  <si>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</si>
  <si>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</si>
  <si>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</si>
  <si>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</si>
  <si>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</si>
  <si>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</si>
  <si>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</si>
  <si>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</si>
  <si>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</si>
  <si>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</si>
  <si>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</si>
  <si>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</si>
  <si>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</si>
  <si>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</si>
  <si>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</si>
  <si>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</si>
  <si>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</si>
  <si>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</si>
  <si>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</si>
  <si>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</si>
  <si>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</si>
  <si>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</si>
  <si>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</si>
  <si>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</si>
  <si>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</si>
  <si>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</si>
  <si>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</si>
  <si>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</si>
  <si>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</si>
  <si>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</si>
  <si>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</si>
  <si>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</si>
  <si>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</si>
  <si>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</si>
  <si>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</si>
  <si>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</si>
  <si>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</si>
  <si>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СКУД ПС 220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</si>
  <si>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</si>
  <si>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</si>
  <si>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</si>
  <si>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</si>
  <si>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</si>
  <si>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</si>
  <si>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</si>
  <si>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</si>
  <si>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</si>
  <si>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</si>
  <si>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</si>
  <si>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</si>
  <si>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</si>
  <si>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</si>
  <si>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</si>
  <si>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</si>
  <si>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</si>
  <si>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</si>
  <si>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</si>
  <si>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</si>
  <si>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</si>
  <si>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</si>
  <si>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</si>
  <si>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</si>
  <si>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</si>
  <si>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</si>
  <si>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</si>
  <si>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</si>
  <si>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</si>
  <si>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</si>
  <si>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</si>
  <si>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</si>
  <si>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</si>
  <si>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</si>
  <si>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</si>
  <si>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</si>
  <si>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</si>
  <si>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</si>
  <si>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</si>
  <si>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</si>
  <si>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</si>
  <si>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</si>
  <si>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</si>
  <si>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</si>
  <si>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</si>
  <si>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</si>
  <si>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</si>
  <si>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</si>
  <si>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</si>
  <si>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</si>
  <si>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</si>
  <si>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</si>
  <si>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</si>
  <si>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</si>
  <si>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</si>
  <si>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</si>
  <si>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</si>
  <si>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</si>
  <si>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</si>
  <si>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З1_ПС_СКУД_220_кВ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</si>
  <si>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</si>
  <si>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</si>
  <si>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</si>
  <si>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</si>
  <si>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</si>
  <si>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</si>
  <si>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</si>
  <si>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</si>
  <si>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</si>
  <si>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</si>
  <si>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</si>
  <si>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</si>
  <si>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</si>
  <si>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</si>
  <si>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</si>
  <si>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</si>
  <si>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 xml:space="preserve">Расчет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</si>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</sst>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</numFmts>
  <fonts count="17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sz val="12"/>
      <color rgb="FFFF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11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vertical="top"/>
    </xf>
    <xf numFmtId="3" fontId="2" fillId="0" borderId="1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222250</xdr:colOff>
      <xdr:row>28</xdr:row>
      <xdr:rowOff>165100</xdr:rowOff>
    </xdr:from>
    <xdr:to>
      <xdr:col>2</xdr:col>
      <xdr:colOff>1167052</xdr:colOff>
      <xdr:row>30</xdr:row>
      <xdr:rowOff>190838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BBE2BC7-76B5-483A-A549-257FE839B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450" y="1116647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25</xdr:row>
      <xdr:rowOff>177800</xdr:rowOff>
    </xdr:from>
    <xdr:to>
      <xdr:col>2</xdr:col>
      <xdr:colOff>1060319</xdr:colOff>
      <xdr:row>28</xdr:row>
      <xdr:rowOff>260350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B6197D3-9491-4B6C-8CFD-8DC602978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0579100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555625</xdr:colOff>
      <xdr:row>17</xdr:row>
      <xdr:rowOff>187325</xdr:rowOff>
    </xdr:from>
    <xdr:to>
      <xdr:col>2</xdr:col>
      <xdr:colOff>1500427</xdr:colOff>
      <xdr:row>20</xdr:row>
      <xdr:rowOff>13038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A62F28A-5AA5-4D6A-B839-E6F06C098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4060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727075</xdr:colOff>
      <xdr:row>14</xdr:row>
      <xdr:rowOff>190500</xdr:rowOff>
    </xdr:from>
    <xdr:to>
      <xdr:col>2</xdr:col>
      <xdr:colOff>1393694</xdr:colOff>
      <xdr:row>17</xdr:row>
      <xdr:rowOff>282575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314C56A-A01E-4A02-8915-9A43D73F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3460750"/>
          <a:ext cx="666619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201385</xdr:colOff>
      <xdr:row>78</xdr:row>
      <xdr:rowOff>123826</xdr:rowOff>
    </xdr:from>
    <xdr:to>
      <xdr:col>2</xdr:col>
      <xdr:colOff>1146187</xdr:colOff>
      <xdr:row>81</xdr:row>
      <xdr:rowOff>22110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003BDD-984A-4862-B428-2BE78C2A2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49" y="22602826"/>
          <a:ext cx="944802" cy="510605"/>
        </a:xfrm>
        <a:prstGeom prst="rect">
          <a:avLst/>
        </a:prstGeom>
      </xdr:spPr>
    </xdr:pic>
    <xdr:clientData/>
  </xdr:twoCellAnchor>
  <xdr:twoCellAnchor editAs="oneCell">
    <xdr:from>
      <xdr:col>2</xdr:col>
      <xdr:colOff>372835</xdr:colOff>
      <xdr:row>75</xdr:row>
      <xdr:rowOff>122465</xdr:rowOff>
    </xdr:from>
    <xdr:to>
      <xdr:col>2</xdr:col>
      <xdr:colOff>1039454</xdr:colOff>
      <xdr:row>79</xdr:row>
      <xdr:rowOff>1361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592B60-3133-4C71-A639-3884E1534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799" y="21989144"/>
          <a:ext cx="666619" cy="6953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48B1276-DA85-49E5-B533-B860BB4C1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5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1619119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ED692C-4E13-4E39-9EF5-D2E51DF7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641587</xdr:colOff>
      <xdr:row>93</xdr:row>
      <xdr:rowOff>64842</xdr:rowOff>
    </xdr:from>
    <xdr:to>
      <xdr:col>2</xdr:col>
      <xdr:colOff>81439</xdr:colOff>
      <xdr:row>96</xdr:row>
      <xdr:rowOff>69509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A196779-9E0E-4DF0-AD5C-02A5E3F93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587" y="23877342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795719</xdr:colOff>
      <xdr:row>90</xdr:row>
      <xdr:rowOff>1631</xdr:rowOff>
    </xdr:from>
    <xdr:to>
      <xdr:col>1</xdr:col>
      <xdr:colOff>1462338</xdr:colOff>
      <xdr:row>93</xdr:row>
      <xdr:rowOff>160093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710B095-C879-46A7-90D9-7679196F0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719" y="23277267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27</xdr:row>
      <xdr:rowOff>76200</xdr:rowOff>
    </xdr:from>
    <xdr:to>
      <xdr:col>2</xdr:col>
      <xdr:colOff>411402</xdr:colOff>
      <xdr:row>30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946E95F-ED3A-45FC-AB0E-0FD83525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8039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24</xdr:row>
      <xdr:rowOff>104775</xdr:rowOff>
    </xdr:from>
    <xdr:to>
      <xdr:col>2</xdr:col>
      <xdr:colOff>304669</xdr:colOff>
      <xdr:row>27</xdr:row>
      <xdr:rowOff>171450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039B1A-15FC-4F69-B076-D5D689B32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743902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13</xdr:row>
      <xdr:rowOff>85725</xdr:rowOff>
    </xdr:from>
    <xdr:to>
      <xdr:col>1</xdr:col>
      <xdr:colOff>849552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523F76-55AF-4B7E-B2B3-BCD1FD7B9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3448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</xdr:row>
      <xdr:rowOff>781050</xdr:rowOff>
    </xdr:from>
    <xdr:to>
      <xdr:col>1</xdr:col>
      <xdr:colOff>695194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BB6A29B-E491-4A4D-9F8E-E91BA495C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107950</xdr:rowOff>
    </xdr:from>
    <xdr:to>
      <xdr:col>1</xdr:col>
      <xdr:colOff>1754427</xdr:colOff>
      <xdr:row>29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E1C7BB3-7E60-4DAF-BB6E-1947A0774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37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23</xdr:row>
      <xdr:rowOff>79375</xdr:rowOff>
    </xdr:from>
    <xdr:to>
      <xdr:col>1</xdr:col>
      <xdr:colOff>1647694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9EB5E41-027A-4D0B-8981-A832EC5E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7" zoomScaleNormal="70" zoomScaleSheetLayoutView="100" workbookViewId="0">
      <selection activeCell="D27" sqref="D27"/>
    </sheetView>
  </sheetViews>
  <sheetFormatPr defaultRowHeight="15.75" x14ac:dyDescent="0.25"/>
  <cols>
    <col min="1" max="2" width="9.140625" style="60" customWidth="1"/>
    <col min="3" max="3" width="36.85546875" style="60" customWidth="1"/>
    <col min="4" max="4" width="36.5703125" style="60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60"/>
      <c r="F1" s="60"/>
      <c r="G1" s="60"/>
      <c r="H1" s="60"/>
      <c r="I1" s="60"/>
    </row>
    <row r="2" spans="2:9" x14ac:dyDescent="0.25">
      <c r="E2" s="60"/>
      <c r="F2" s="60"/>
      <c r="G2" s="60"/>
      <c r="H2" s="60"/>
      <c r="I2" s="60"/>
    </row>
    <row r="3" spans="2:9" x14ac:dyDescent="0.25">
      <c r="B3" s="111" t="s">
        <v>0</v>
      </c>
      <c r="C3" s="111"/>
      <c r="D3" s="111"/>
      <c r="E3" s="60"/>
      <c r="F3" s="60"/>
      <c r="G3" s="60"/>
      <c r="H3" s="60"/>
      <c r="I3" s="60"/>
    </row>
    <row r="4" spans="2:9" x14ac:dyDescent="0.25">
      <c r="B4" s="112" t="s">
        <v>1</v>
      </c>
      <c r="C4" s="112"/>
      <c r="D4" s="112"/>
      <c r="E4" s="60"/>
      <c r="F4" s="60"/>
      <c r="G4" s="60"/>
      <c r="H4" s="60"/>
      <c r="I4" s="60"/>
    </row>
    <row r="5" spans="2:9" ht="66" customHeight="1" x14ac:dyDescent="0.25">
      <c r="B5" s="113" t="s">
        <v>2</v>
      </c>
      <c r="C5" s="113"/>
      <c r="D5" s="113"/>
      <c r="E5" s="60"/>
      <c r="F5" s="60"/>
      <c r="G5" s="60"/>
      <c r="H5" s="60"/>
      <c r="I5" s="60"/>
    </row>
    <row r="6" spans="2:9" x14ac:dyDescent="0.25">
      <c r="B6" s="68"/>
      <c r="C6" s="68"/>
      <c r="D6" s="68"/>
      <c r="E6" s="60"/>
      <c r="F6" s="60"/>
      <c r="G6" s="60"/>
      <c r="H6" s="60"/>
      <c r="I6" s="60"/>
    </row>
    <row r="7" spans="2:9" ht="57" customHeight="1" x14ac:dyDescent="0.25">
      <c r="B7" s="110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ПС 220 кВ</v>
      </c>
      <c r="C7" s="110"/>
      <c r="D7" s="110"/>
      <c r="E7" s="89"/>
      <c r="F7" s="60"/>
      <c r="G7" s="60"/>
      <c r="H7" s="60"/>
      <c r="I7" s="60"/>
    </row>
    <row r="8" spans="2:9" ht="15.75" customHeight="1" x14ac:dyDescent="0.25">
      <c r="B8" s="67" t="s">
        <v>3</v>
      </c>
      <c r="C8" s="67"/>
      <c r="D8" s="69" t="s">
        <v>4</v>
      </c>
      <c r="E8" s="60"/>
      <c r="F8" s="60"/>
      <c r="G8" s="60"/>
      <c r="H8" s="60"/>
      <c r="I8" s="60"/>
    </row>
    <row r="9" spans="2:9" ht="15.75" customHeight="1" x14ac:dyDescent="0.25">
      <c r="B9" s="110" t="s">
        <v>5</v>
      </c>
      <c r="C9" s="110"/>
      <c r="D9" s="110"/>
      <c r="E9" s="89"/>
      <c r="F9" s="60"/>
      <c r="G9" s="60"/>
      <c r="H9" s="60"/>
      <c r="I9" s="60"/>
    </row>
    <row r="10" spans="2:9" x14ac:dyDescent="0.25">
      <c r="B10" s="66"/>
      <c r="E10" s="60"/>
      <c r="F10" s="60"/>
      <c r="G10" s="60"/>
      <c r="H10" s="60"/>
      <c r="I10" s="60"/>
    </row>
    <row r="11" spans="2:9" x14ac:dyDescent="0.25">
      <c r="B11" s="37" t="s">
        <v>6</v>
      </c>
      <c r="C11" s="37" t="s">
        <v>7</v>
      </c>
      <c r="D11" s="37" t="s">
        <v>8</v>
      </c>
      <c r="E11" s="89"/>
      <c r="F11" s="60"/>
      <c r="G11" s="60"/>
      <c r="H11" s="60"/>
      <c r="I11" s="60"/>
    </row>
    <row r="12" spans="2:9" ht="31.5" customHeight="1" x14ac:dyDescent="0.25">
      <c r="B12" s="37">
        <v>1</v>
      </c>
      <c r="C12" s="90" t="s">
        <v>9</v>
      </c>
      <c r="D12" s="37" t="s">
        <v>10</v>
      </c>
      <c r="E12" s="60"/>
      <c r="F12" s="60"/>
      <c r="G12" s="60"/>
      <c r="H12" s="60"/>
      <c r="I12" s="60"/>
    </row>
    <row r="13" spans="2:9" ht="31.5" customHeight="1" x14ac:dyDescent="0.25">
      <c r="B13" s="37">
        <v>2</v>
      </c>
      <c r="C13" s="90" t="s">
        <v>11</v>
      </c>
      <c r="D13" s="37" t="s">
        <v>12</v>
      </c>
      <c r="E13" s="60"/>
      <c r="F13" s="60"/>
      <c r="G13" s="60"/>
      <c r="H13" s="60"/>
      <c r="I13" s="60"/>
    </row>
    <row r="14" spans="2:9" x14ac:dyDescent="0.25">
      <c r="B14" s="37">
        <v>3</v>
      </c>
      <c r="C14" s="90" t="s">
        <v>13</v>
      </c>
      <c r="D14" s="37" t="s">
        <v>14</v>
      </c>
      <c r="E14" s="60"/>
      <c r="F14" s="60"/>
      <c r="G14" s="60"/>
      <c r="H14" s="60"/>
      <c r="I14" s="60"/>
    </row>
    <row r="15" spans="2:9" x14ac:dyDescent="0.25">
      <c r="B15" s="37">
        <v>4</v>
      </c>
      <c r="C15" s="90" t="s">
        <v>15</v>
      </c>
      <c r="D15" s="37">
        <v>1</v>
      </c>
      <c r="E15" s="60"/>
      <c r="F15" s="60"/>
      <c r="G15" s="60"/>
      <c r="H15" s="60"/>
      <c r="I15" s="60"/>
    </row>
    <row r="16" spans="2:9" ht="100.5" customHeight="1" x14ac:dyDescent="0.25">
      <c r="B16" s="37">
        <v>5</v>
      </c>
      <c r="C16" s="38" t="s">
        <v>16</v>
      </c>
      <c r="D16" s="37" t="s">
        <v>17</v>
      </c>
      <c r="E16" s="60"/>
      <c r="F16" s="60"/>
      <c r="G16" s="60"/>
      <c r="H16" s="60"/>
      <c r="I16" s="60"/>
    </row>
    <row r="17" spans="2:9" ht="82.5" customHeight="1" x14ac:dyDescent="0.25">
      <c r="B17" s="37">
        <v>6</v>
      </c>
      <c r="C17" s="38" t="s">
        <v>18</v>
      </c>
      <c r="D17" s="91">
        <f>D18+D19</f>
        <v>181.45658349999999</v>
      </c>
      <c r="E17" s="92"/>
      <c r="F17" s="60"/>
      <c r="G17" s="60"/>
      <c r="H17" s="60"/>
      <c r="I17" s="60"/>
    </row>
    <row r="18" spans="2:9" x14ac:dyDescent="0.25">
      <c r="B18" s="93" t="s">
        <v>19</v>
      </c>
      <c r="C18" s="90" t="s">
        <v>20</v>
      </c>
      <c r="D18" s="91">
        <f>'Прил.2 Расч стоим'!F14</f>
        <v>21.139098700000002</v>
      </c>
      <c r="E18" s="60"/>
      <c r="F18" s="60"/>
      <c r="G18" s="60"/>
      <c r="H18" s="60"/>
      <c r="I18" s="60"/>
    </row>
    <row r="19" spans="2:9" x14ac:dyDescent="0.25">
      <c r="B19" s="93" t="s">
        <v>21</v>
      </c>
      <c r="C19" s="90" t="s">
        <v>22</v>
      </c>
      <c r="D19" s="91">
        <f>'Прил.2 Расч стоим'!H14</f>
        <v>160.31748479999999</v>
      </c>
      <c r="E19" s="60"/>
      <c r="F19" s="60"/>
      <c r="G19" s="60"/>
      <c r="H19" s="60"/>
      <c r="I19" s="60"/>
    </row>
    <row r="20" spans="2:9" x14ac:dyDescent="0.25">
      <c r="B20" s="93" t="s">
        <v>23</v>
      </c>
      <c r="C20" s="90" t="s">
        <v>24</v>
      </c>
      <c r="D20" s="91"/>
      <c r="E20" s="60"/>
      <c r="F20" s="60"/>
      <c r="G20" s="60"/>
      <c r="H20" s="60"/>
      <c r="I20" s="60"/>
    </row>
    <row r="21" spans="2:9" ht="31.5" customHeight="1" x14ac:dyDescent="0.25">
      <c r="B21" s="93" t="s">
        <v>25</v>
      </c>
      <c r="C21" s="94" t="s">
        <v>26</v>
      </c>
      <c r="D21" s="95"/>
      <c r="E21" s="60"/>
      <c r="F21" s="60"/>
      <c r="G21" s="60"/>
      <c r="H21" s="60"/>
      <c r="I21" s="60"/>
    </row>
    <row r="22" spans="2:9" x14ac:dyDescent="0.25">
      <c r="B22" s="37">
        <v>7</v>
      </c>
      <c r="C22" s="94" t="s">
        <v>27</v>
      </c>
      <c r="D22" s="37" t="s">
        <v>4</v>
      </c>
      <c r="E22" s="92"/>
      <c r="F22" s="60"/>
      <c r="G22" s="60"/>
      <c r="H22" s="60"/>
      <c r="I22" s="60"/>
    </row>
    <row r="23" spans="2:9" ht="119.25" customHeight="1" x14ac:dyDescent="0.25">
      <c r="B23" s="37">
        <v>8</v>
      </c>
      <c r="C23" s="96" t="s">
        <v>28</v>
      </c>
      <c r="D23" s="84">
        <f>D17</f>
        <v>181.45658349999999</v>
      </c>
      <c r="E23" s="60"/>
      <c r="F23" s="60"/>
      <c r="G23" s="60"/>
      <c r="H23" s="60"/>
      <c r="I23" s="60"/>
    </row>
    <row r="24" spans="2:9" ht="47.25" customHeight="1" x14ac:dyDescent="0.25">
      <c r="B24" s="37">
        <v>9</v>
      </c>
      <c r="C24" s="38" t="s">
        <v>29</v>
      </c>
      <c r="D24" s="84">
        <f>D17/D15</f>
        <v>181.45658349999999</v>
      </c>
      <c r="E24" s="92"/>
      <c r="F24" s="60"/>
      <c r="G24" s="60"/>
      <c r="H24" s="60"/>
      <c r="I24" s="60"/>
    </row>
    <row r="25" spans="2:9" x14ac:dyDescent="0.25">
      <c r="B25" s="37">
        <v>10</v>
      </c>
      <c r="C25" s="90" t="s">
        <v>30</v>
      </c>
      <c r="D25" s="90"/>
      <c r="E25" s="60"/>
      <c r="F25" s="60"/>
      <c r="G25" s="60"/>
      <c r="H25" s="60"/>
      <c r="I25" s="60"/>
    </row>
    <row r="26" spans="2:9" x14ac:dyDescent="0.25">
      <c r="B26" s="88"/>
      <c r="C26" s="97"/>
      <c r="D26" s="97"/>
      <c r="E26" s="60"/>
      <c r="F26" s="60"/>
      <c r="G26" s="60"/>
      <c r="H26" s="60"/>
      <c r="I26" s="60"/>
    </row>
    <row r="27" spans="2:9" x14ac:dyDescent="0.25">
      <c r="B27" s="67"/>
      <c r="E27" s="60"/>
      <c r="F27" s="60"/>
      <c r="G27" s="60"/>
      <c r="H27" s="60"/>
      <c r="I27" s="60"/>
    </row>
    <row r="28" spans="2:9" x14ac:dyDescent="0.25">
      <c r="B28" s="60" t="s">
        <v>31</v>
      </c>
      <c r="E28" s="60"/>
      <c r="F28" s="60"/>
      <c r="G28" s="60"/>
      <c r="H28" s="60"/>
      <c r="I28" s="60"/>
    </row>
    <row r="29" spans="2:9" ht="22.5" customHeight="1" x14ac:dyDescent="0.25">
      <c r="B29" s="77" t="s">
        <v>32</v>
      </c>
      <c r="E29" s="60"/>
      <c r="F29" s="60"/>
      <c r="G29" s="60"/>
      <c r="H29" s="60"/>
      <c r="I29" s="60"/>
    </row>
    <row r="30" spans="2:9" x14ac:dyDescent="0.25">
      <c r="E30" s="60"/>
      <c r="F30" s="60"/>
      <c r="G30" s="60"/>
      <c r="H30" s="60"/>
      <c r="I30" s="60"/>
    </row>
    <row r="31" spans="2:9" x14ac:dyDescent="0.25">
      <c r="B31" s="60" t="s">
        <v>33</v>
      </c>
      <c r="E31" s="60"/>
      <c r="F31" s="60"/>
      <c r="G31" s="60"/>
      <c r="H31" s="60"/>
      <c r="I31" s="60"/>
    </row>
    <row r="32" spans="2:9" ht="22.5" customHeight="1" x14ac:dyDescent="0.25">
      <c r="B32" s="77" t="s">
        <v>34</v>
      </c>
      <c r="E32" s="60"/>
      <c r="F32" s="60"/>
      <c r="G32" s="60"/>
      <c r="H32" s="60"/>
      <c r="I32" s="60"/>
    </row>
    <row r="33" spans="5:9" x14ac:dyDescent="0.25">
      <c r="E33" s="60"/>
      <c r="F33" s="60"/>
      <c r="G33" s="60"/>
      <c r="H33" s="60"/>
      <c r="I33" s="60"/>
    </row>
    <row r="34" spans="5:9" x14ac:dyDescent="0.25">
      <c r="E34" s="60"/>
      <c r="F34" s="60"/>
      <c r="G34" s="60"/>
      <c r="H34" s="60"/>
      <c r="I34" s="60"/>
    </row>
    <row r="35" spans="5:9" x14ac:dyDescent="0.25">
      <c r="E35" s="60"/>
      <c r="F35" s="60"/>
      <c r="G35" s="60"/>
      <c r="H35" s="60"/>
      <c r="I35" s="60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topLeftCell="A3" zoomScale="60" zoomScaleNormal="85" workbookViewId="0">
      <selection activeCell="G63" sqref="G63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</row>
    <row r="2" spans="1:10" ht="15.7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0" ht="15.75" customHeight="1" x14ac:dyDescent="0.25">
      <c r="A3" s="60"/>
      <c r="B3" s="111" t="s">
        <v>35</v>
      </c>
      <c r="C3" s="111"/>
      <c r="D3" s="111"/>
      <c r="E3" s="111"/>
      <c r="F3" s="111"/>
      <c r="G3" s="111"/>
      <c r="H3" s="111"/>
      <c r="I3" s="111"/>
      <c r="J3" s="111"/>
    </row>
    <row r="4" spans="1:10" ht="15.75" customHeight="1" x14ac:dyDescent="0.25">
      <c r="A4" s="60"/>
      <c r="B4" s="112" t="s">
        <v>36</v>
      </c>
      <c r="C4" s="112"/>
      <c r="D4" s="112"/>
      <c r="E4" s="112"/>
      <c r="F4" s="112"/>
      <c r="G4" s="112"/>
      <c r="H4" s="112"/>
      <c r="I4" s="112"/>
      <c r="J4" s="112"/>
    </row>
    <row r="5" spans="1:10" ht="15.75" customHeight="1" x14ac:dyDescent="0.25">
      <c r="A5" s="60"/>
      <c r="B5" s="68"/>
      <c r="C5" s="68"/>
      <c r="D5" s="68"/>
      <c r="E5" s="68"/>
      <c r="F5" s="68"/>
      <c r="G5" s="68"/>
      <c r="H5" s="68"/>
      <c r="I5" s="68"/>
      <c r="J5" s="68"/>
    </row>
    <row r="6" spans="1:10" ht="15.75" customHeight="1" x14ac:dyDescent="0.25">
      <c r="A6" s="60"/>
      <c r="B6" s="116" t="str">
        <f>'Прил.1 Сравнит табл'!B7</f>
        <v>Наименование разрабатываемого показателя УНЦ - Постоянная часть ПС, СКУД ПС 220 кВ</v>
      </c>
      <c r="C6" s="116"/>
      <c r="D6" s="116"/>
      <c r="E6" s="116"/>
      <c r="F6" s="116"/>
      <c r="G6" s="116"/>
      <c r="H6" s="116"/>
      <c r="I6" s="116"/>
      <c r="J6" s="116"/>
    </row>
    <row r="7" spans="1:10" ht="15.75" customHeight="1" x14ac:dyDescent="0.25">
      <c r="A7" s="60"/>
      <c r="B7" s="110" t="str">
        <f>'Прил.1 Сравнит табл'!B9</f>
        <v>Единица измерения  — 1 ПС</v>
      </c>
      <c r="C7" s="110"/>
      <c r="D7" s="110"/>
      <c r="E7" s="110"/>
      <c r="F7" s="110"/>
      <c r="G7" s="110"/>
      <c r="H7" s="110"/>
      <c r="I7" s="110"/>
      <c r="J7" s="110"/>
    </row>
    <row r="8" spans="1:10" ht="15.75" customHeight="1" x14ac:dyDescent="0.25">
      <c r="A8" s="60"/>
      <c r="B8" s="66"/>
      <c r="C8" s="60"/>
      <c r="D8" s="60"/>
      <c r="E8" s="60"/>
      <c r="F8" s="60"/>
      <c r="G8" s="60"/>
      <c r="H8" s="60"/>
      <c r="I8" s="60"/>
      <c r="J8" s="60"/>
    </row>
    <row r="9" spans="1:10" ht="15.75" customHeight="1" x14ac:dyDescent="0.25">
      <c r="A9" s="60"/>
      <c r="B9" s="117" t="s">
        <v>6</v>
      </c>
      <c r="C9" s="117" t="s">
        <v>37</v>
      </c>
      <c r="D9" s="117" t="s">
        <v>8</v>
      </c>
      <c r="E9" s="117"/>
      <c r="F9" s="117"/>
      <c r="G9" s="117"/>
      <c r="H9" s="117"/>
      <c r="I9" s="117"/>
      <c r="J9" s="117"/>
    </row>
    <row r="10" spans="1:10" ht="15.75" customHeight="1" x14ac:dyDescent="0.25">
      <c r="A10" s="60"/>
      <c r="B10" s="117"/>
      <c r="C10" s="117"/>
      <c r="D10" s="117" t="s">
        <v>38</v>
      </c>
      <c r="E10" s="117" t="s">
        <v>39</v>
      </c>
      <c r="F10" s="117" t="s">
        <v>40</v>
      </c>
      <c r="G10" s="117"/>
      <c r="H10" s="117"/>
      <c r="I10" s="117"/>
      <c r="J10" s="117"/>
    </row>
    <row r="11" spans="1:10" ht="31.5" customHeight="1" x14ac:dyDescent="0.25">
      <c r="A11" s="60"/>
      <c r="B11" s="118"/>
      <c r="C11" s="118"/>
      <c r="D11" s="118"/>
      <c r="E11" s="118"/>
      <c r="F11" s="70" t="s">
        <v>41</v>
      </c>
      <c r="G11" s="70" t="s">
        <v>42</v>
      </c>
      <c r="H11" s="70" t="s">
        <v>43</v>
      </c>
      <c r="I11" s="70" t="s">
        <v>44</v>
      </c>
      <c r="J11" s="70" t="s">
        <v>45</v>
      </c>
    </row>
    <row r="12" spans="1:10" ht="31.5" customHeight="1" x14ac:dyDescent="0.25">
      <c r="A12" s="60"/>
      <c r="B12" s="109"/>
      <c r="C12" s="109" t="s">
        <v>46</v>
      </c>
      <c r="D12" s="109"/>
      <c r="E12" s="109"/>
      <c r="F12" s="119">
        <v>21.139098700000002</v>
      </c>
      <c r="G12" s="120"/>
      <c r="H12" s="109">
        <v>160.31748479999999</v>
      </c>
      <c r="I12" s="109"/>
      <c r="J12" s="109">
        <v>181.45658349999999</v>
      </c>
    </row>
    <row r="13" spans="1:10" ht="15.75" customHeight="1" x14ac:dyDescent="0.25">
      <c r="A13" s="60"/>
      <c r="B13" s="114" t="s">
        <v>47</v>
      </c>
      <c r="C13" s="114"/>
      <c r="D13" s="114"/>
      <c r="E13" s="114"/>
      <c r="F13" s="108"/>
      <c r="G13" s="108"/>
      <c r="H13" s="108"/>
      <c r="I13" s="108"/>
      <c r="J13" s="108"/>
    </row>
    <row r="14" spans="1:10" ht="15.75" customHeight="1" x14ac:dyDescent="0.25">
      <c r="A14" s="60"/>
      <c r="B14" s="115" t="s">
        <v>48</v>
      </c>
      <c r="C14" s="115"/>
      <c r="D14" s="115"/>
      <c r="E14" s="115"/>
      <c r="F14" s="121">
        <f>F12</f>
        <v>21.139098700000002</v>
      </c>
      <c r="G14" s="122"/>
      <c r="H14" s="86">
        <f>H12</f>
        <v>160.31748479999999</v>
      </c>
      <c r="I14" s="86"/>
      <c r="J14" s="86">
        <f>J12</f>
        <v>181.45658349999999</v>
      </c>
    </row>
    <row r="15" spans="1:10" ht="15.75" customHeight="1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7" spans="2:4" ht="15.75" customHeight="1" x14ac:dyDescent="0.25">
      <c r="B17" s="60" t="s">
        <v>31</v>
      </c>
      <c r="C17" s="60"/>
      <c r="D17" s="60"/>
    </row>
    <row r="18" spans="2:4" ht="22.5" customHeight="1" x14ac:dyDescent="0.25">
      <c r="B18" s="77" t="s">
        <v>32</v>
      </c>
      <c r="C18" s="60"/>
      <c r="D18" s="60"/>
    </row>
    <row r="19" spans="2:4" ht="15.75" customHeight="1" x14ac:dyDescent="0.25">
      <c r="B19" s="60"/>
      <c r="C19" s="60"/>
      <c r="D19" s="60"/>
    </row>
    <row r="20" spans="2:4" ht="15.75" customHeight="1" x14ac:dyDescent="0.25">
      <c r="B20" s="60" t="s">
        <v>33</v>
      </c>
      <c r="C20" s="60"/>
      <c r="D20" s="60"/>
    </row>
    <row r="21" spans="2:4" ht="22.5" customHeight="1" x14ac:dyDescent="0.25">
      <c r="B21" s="77" t="s">
        <v>34</v>
      </c>
      <c r="C21" s="60"/>
      <c r="D21" s="60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H82"/>
  <sheetViews>
    <sheetView view="pageBreakPreview" topLeftCell="A64" zoomScale="70" zoomScaleSheetLayoutView="70" workbookViewId="0">
      <selection activeCell="F81" sqref="F81"/>
    </sheetView>
  </sheetViews>
  <sheetFormatPr defaultRowHeight="15.75" x14ac:dyDescent="0.25"/>
  <cols>
    <col min="1" max="1" width="9.140625" style="60" customWidth="1"/>
    <col min="2" max="2" width="12.5703125" style="60" customWidth="1"/>
    <col min="3" max="3" width="22.42578125" style="60" customWidth="1"/>
    <col min="4" max="4" width="49.7109375" style="60" customWidth="1"/>
    <col min="5" max="5" width="10.140625" style="60" customWidth="1"/>
    <col min="6" max="6" width="20.7109375" style="60" customWidth="1"/>
    <col min="7" max="7" width="16.140625" style="60" customWidth="1"/>
    <col min="8" max="8" width="16.7109375" style="60" customWidth="1"/>
    <col min="9" max="9" width="9.140625" customWidth="1"/>
  </cols>
  <sheetData>
    <row r="4" spans="1:8" x14ac:dyDescent="0.25">
      <c r="A4" s="111" t="s">
        <v>49</v>
      </c>
      <c r="B4" s="111"/>
      <c r="C4" s="111"/>
      <c r="D4" s="111"/>
      <c r="E4" s="111"/>
      <c r="F4" s="111"/>
      <c r="G4" s="111"/>
      <c r="H4" s="111"/>
    </row>
    <row r="5" spans="1:8" x14ac:dyDescent="0.25">
      <c r="A5" s="112" t="s">
        <v>50</v>
      </c>
      <c r="B5" s="112"/>
      <c r="C5" s="112"/>
      <c r="D5" s="112"/>
      <c r="E5" s="112"/>
      <c r="F5" s="112"/>
      <c r="G5" s="112"/>
      <c r="H5" s="112"/>
    </row>
    <row r="6" spans="1:8" ht="18.75" customHeight="1" x14ac:dyDescent="0.25">
      <c r="A6" s="66"/>
    </row>
    <row r="7" spans="1:8" x14ac:dyDescent="0.25">
      <c r="A7" s="116" t="str">
        <f>'Прил.1 Сравнит табл'!B7</f>
        <v>Наименование разрабатываемого показателя УНЦ - Постоянная часть ПС, СКУД ПС 220 кВ</v>
      </c>
      <c r="B7" s="116"/>
      <c r="C7" s="116"/>
      <c r="D7" s="116"/>
      <c r="E7" s="116"/>
      <c r="F7" s="116"/>
      <c r="G7" s="116"/>
      <c r="H7" s="116"/>
    </row>
    <row r="8" spans="1:8" x14ac:dyDescent="0.25">
      <c r="A8" s="69"/>
      <c r="B8" s="69"/>
      <c r="C8" s="69"/>
      <c r="D8" s="69"/>
      <c r="E8" s="69"/>
      <c r="F8" s="69"/>
      <c r="G8" s="69"/>
      <c r="H8" s="69"/>
    </row>
    <row r="9" spans="1:8" ht="15.75" customHeight="1" x14ac:dyDescent="0.25">
      <c r="A9" s="117" t="s">
        <v>51</v>
      </c>
      <c r="B9" s="117" t="s">
        <v>52</v>
      </c>
      <c r="C9" s="117" t="s">
        <v>53</v>
      </c>
      <c r="D9" s="117" t="s">
        <v>54</v>
      </c>
      <c r="E9" s="117" t="s">
        <v>55</v>
      </c>
      <c r="F9" s="117" t="s">
        <v>56</v>
      </c>
      <c r="G9" s="117" t="s">
        <v>57</v>
      </c>
      <c r="H9" s="117"/>
    </row>
    <row r="10" spans="1:8" x14ac:dyDescent="0.25">
      <c r="A10" s="117"/>
      <c r="B10" s="117"/>
      <c r="C10" s="117"/>
      <c r="D10" s="117"/>
      <c r="E10" s="117"/>
      <c r="F10" s="117"/>
      <c r="G10" s="37" t="s">
        <v>58</v>
      </c>
      <c r="H10" s="37" t="s">
        <v>59</v>
      </c>
    </row>
    <row r="11" spans="1:8" x14ac:dyDescent="0.25">
      <c r="A11" s="70">
        <v>1</v>
      </c>
      <c r="B11" s="70"/>
      <c r="C11" s="70">
        <v>2</v>
      </c>
      <c r="D11" s="70" t="s">
        <v>60</v>
      </c>
      <c r="E11" s="70">
        <v>4</v>
      </c>
      <c r="F11" s="70">
        <v>5</v>
      </c>
      <c r="G11" s="70">
        <v>6</v>
      </c>
      <c r="H11" s="70">
        <v>7</v>
      </c>
    </row>
    <row r="12" spans="1:8" x14ac:dyDescent="0.25">
      <c r="A12" s="123" t="s">
        <v>61</v>
      </c>
      <c r="B12" s="124"/>
      <c r="C12" s="125"/>
      <c r="D12" s="125"/>
      <c r="E12" s="124"/>
      <c r="F12" s="71">
        <f>SUM(F13:F18)</f>
        <v>98.618588652645997</v>
      </c>
      <c r="G12" s="71"/>
      <c r="H12" s="71">
        <f>SUM(H13:H18)</f>
        <v>964.64</v>
      </c>
    </row>
    <row r="13" spans="1:8" x14ac:dyDescent="0.25">
      <c r="A13" s="72">
        <v>1</v>
      </c>
      <c r="B13" s="87"/>
      <c r="C13" s="73" t="s">
        <v>62</v>
      </c>
      <c r="D13" s="74" t="s">
        <v>63</v>
      </c>
      <c r="E13" s="72" t="s">
        <v>64</v>
      </c>
      <c r="F13" s="72">
        <v>50.216815053413001</v>
      </c>
      <c r="G13" s="75">
        <v>9.6199999999999992</v>
      </c>
      <c r="H13" s="75">
        <f t="shared" ref="H13:H18" si="0">ROUND(F13*G13,2)</f>
        <v>483.09</v>
      </c>
    </row>
    <row r="14" spans="1:8" ht="15" customHeight="1" x14ac:dyDescent="0.25">
      <c r="A14" s="72">
        <v>2</v>
      </c>
      <c r="B14" s="85"/>
      <c r="C14" s="73" t="s">
        <v>65</v>
      </c>
      <c r="D14" s="74" t="s">
        <v>66</v>
      </c>
      <c r="E14" s="72" t="s">
        <v>64</v>
      </c>
      <c r="F14" s="72">
        <v>17.318562301625999</v>
      </c>
      <c r="G14" s="75">
        <v>10.35</v>
      </c>
      <c r="H14" s="75">
        <f t="shared" si="0"/>
        <v>179.25</v>
      </c>
    </row>
    <row r="15" spans="1:8" x14ac:dyDescent="0.25">
      <c r="A15" s="72">
        <v>3</v>
      </c>
      <c r="B15" s="85"/>
      <c r="C15" s="73" t="s">
        <v>67</v>
      </c>
      <c r="D15" s="74" t="s">
        <v>68</v>
      </c>
      <c r="E15" s="72" t="s">
        <v>64</v>
      </c>
      <c r="F15" s="72">
        <v>9.6214235009034006</v>
      </c>
      <c r="G15" s="75">
        <v>10.5</v>
      </c>
      <c r="H15" s="75">
        <f t="shared" si="0"/>
        <v>101.02</v>
      </c>
    </row>
    <row r="16" spans="1:8" x14ac:dyDescent="0.25">
      <c r="A16" s="72">
        <v>4</v>
      </c>
      <c r="B16" s="85"/>
      <c r="C16" s="73" t="s">
        <v>69</v>
      </c>
      <c r="D16" s="74" t="s">
        <v>70</v>
      </c>
      <c r="E16" s="72" t="s">
        <v>64</v>
      </c>
      <c r="F16" s="72">
        <v>10.612129452012001</v>
      </c>
      <c r="G16" s="75">
        <v>9.51</v>
      </c>
      <c r="H16" s="75">
        <f t="shared" si="0"/>
        <v>100.92</v>
      </c>
    </row>
    <row r="17" spans="1:8" x14ac:dyDescent="0.25">
      <c r="A17" s="72">
        <v>5</v>
      </c>
      <c r="B17" s="85"/>
      <c r="C17" s="73" t="s">
        <v>71</v>
      </c>
      <c r="D17" s="74" t="s">
        <v>72</v>
      </c>
      <c r="E17" s="72" t="s">
        <v>64</v>
      </c>
      <c r="F17" s="72">
        <v>7.8429635006582998</v>
      </c>
      <c r="G17" s="75">
        <v>9.4</v>
      </c>
      <c r="H17" s="75">
        <f t="shared" si="0"/>
        <v>73.72</v>
      </c>
    </row>
    <row r="18" spans="1:8" x14ac:dyDescent="0.25">
      <c r="A18" s="72">
        <v>6</v>
      </c>
      <c r="B18" s="85"/>
      <c r="C18" s="73" t="s">
        <v>73</v>
      </c>
      <c r="D18" s="74" t="s">
        <v>74</v>
      </c>
      <c r="E18" s="72" t="s">
        <v>64</v>
      </c>
      <c r="F18" s="72">
        <v>3.0066948440323</v>
      </c>
      <c r="G18" s="75">
        <v>8.86</v>
      </c>
      <c r="H18" s="75">
        <f t="shared" si="0"/>
        <v>26.64</v>
      </c>
    </row>
    <row r="19" spans="1:8" x14ac:dyDescent="0.25">
      <c r="A19" s="123" t="s">
        <v>75</v>
      </c>
      <c r="B19" s="124"/>
      <c r="C19" s="125"/>
      <c r="D19" s="125"/>
      <c r="E19" s="124"/>
      <c r="F19" s="76">
        <f>F20</f>
        <v>0.77700000000000002</v>
      </c>
      <c r="G19" s="71"/>
      <c r="H19" s="71">
        <f>H20</f>
        <v>19.600000000000001</v>
      </c>
    </row>
    <row r="20" spans="1:8" x14ac:dyDescent="0.25">
      <c r="A20" s="72">
        <v>7</v>
      </c>
      <c r="B20" s="85"/>
      <c r="C20" s="81">
        <v>2</v>
      </c>
      <c r="D20" s="74" t="s">
        <v>75</v>
      </c>
      <c r="E20" s="72" t="s">
        <v>64</v>
      </c>
      <c r="F20" s="72">
        <v>0.77700000000000002</v>
      </c>
      <c r="G20" s="75"/>
      <c r="H20" s="75">
        <v>19.600000000000001</v>
      </c>
    </row>
    <row r="21" spans="1:8" x14ac:dyDescent="0.25">
      <c r="A21" s="123" t="s">
        <v>76</v>
      </c>
      <c r="B21" s="124"/>
      <c r="C21" s="125"/>
      <c r="D21" s="125"/>
      <c r="E21" s="124"/>
      <c r="F21" s="76"/>
      <c r="G21" s="71"/>
      <c r="H21" s="71">
        <f>SUM(H22:H25)</f>
        <v>69.95</v>
      </c>
    </row>
    <row r="22" spans="1:8" ht="31.5" customHeight="1" x14ac:dyDescent="0.25">
      <c r="A22" s="72">
        <v>8</v>
      </c>
      <c r="B22" s="85"/>
      <c r="C22" s="74" t="s">
        <v>77</v>
      </c>
      <c r="D22" s="74" t="s">
        <v>78</v>
      </c>
      <c r="E22" s="72" t="s">
        <v>79</v>
      </c>
      <c r="F22" s="72">
        <v>0.37273795055318998</v>
      </c>
      <c r="G22" s="75">
        <v>115.4</v>
      </c>
      <c r="H22" s="75">
        <f>ROUND(F22*G22,2)</f>
        <v>43.01</v>
      </c>
    </row>
    <row r="23" spans="1:8" ht="31.5" customHeight="1" x14ac:dyDescent="0.25">
      <c r="A23" s="72">
        <v>9</v>
      </c>
      <c r="B23" s="85"/>
      <c r="C23" s="74" t="s">
        <v>80</v>
      </c>
      <c r="D23" s="74" t="s">
        <v>81</v>
      </c>
      <c r="E23" s="72" t="s">
        <v>79</v>
      </c>
      <c r="F23" s="72">
        <v>0.37276733206515</v>
      </c>
      <c r="G23" s="75">
        <v>65.709999999999994</v>
      </c>
      <c r="H23" s="75">
        <f>ROUND(F23*G23,2)</f>
        <v>24.49</v>
      </c>
    </row>
    <row r="24" spans="1:8" x14ac:dyDescent="0.25">
      <c r="A24" s="72">
        <v>10</v>
      </c>
      <c r="B24" s="85"/>
      <c r="C24" s="74" t="s">
        <v>82</v>
      </c>
      <c r="D24" s="74" t="s">
        <v>83</v>
      </c>
      <c r="E24" s="72" t="s">
        <v>79</v>
      </c>
      <c r="F24" s="72">
        <v>2.5002108511376998E-2</v>
      </c>
      <c r="G24" s="75">
        <v>89.99</v>
      </c>
      <c r="H24" s="75">
        <f>ROUND(F24*G24,2)</f>
        <v>2.25</v>
      </c>
    </row>
    <row r="25" spans="1:8" ht="31.5" customHeight="1" x14ac:dyDescent="0.25">
      <c r="A25" s="72">
        <v>11</v>
      </c>
      <c r="B25" s="85"/>
      <c r="C25" s="74" t="s">
        <v>84</v>
      </c>
      <c r="D25" s="74" t="s">
        <v>85</v>
      </c>
      <c r="E25" s="72" t="s">
        <v>79</v>
      </c>
      <c r="F25" s="72">
        <v>6.5577855402436996E-3</v>
      </c>
      <c r="G25" s="75">
        <v>31.26</v>
      </c>
      <c r="H25" s="75">
        <f>ROUND(F25*G25,2)</f>
        <v>0.2</v>
      </c>
    </row>
    <row r="26" spans="1:8" x14ac:dyDescent="0.25">
      <c r="A26" s="123" t="s">
        <v>43</v>
      </c>
      <c r="B26" s="124"/>
      <c r="C26" s="125"/>
      <c r="D26" s="125"/>
      <c r="E26" s="124"/>
      <c r="F26" s="76"/>
      <c r="G26" s="71"/>
      <c r="H26" s="71">
        <f>SUM(H27:H36)</f>
        <v>28834.080000000002</v>
      </c>
    </row>
    <row r="27" spans="1:8" ht="31.5" customHeight="1" x14ac:dyDescent="0.25">
      <c r="A27" s="72">
        <v>12</v>
      </c>
      <c r="B27" s="85"/>
      <c r="C27" s="74" t="s">
        <v>86</v>
      </c>
      <c r="D27" s="74" t="s">
        <v>87</v>
      </c>
      <c r="E27" s="72" t="s">
        <v>88</v>
      </c>
      <c r="F27" s="72">
        <v>0.80001868630839001</v>
      </c>
      <c r="G27" s="75">
        <v>19707.400000000001</v>
      </c>
      <c r="H27" s="75">
        <f t="shared" ref="H27:H36" si="1">ROUND(F27*G27,2)</f>
        <v>15766.29</v>
      </c>
    </row>
    <row r="28" spans="1:8" x14ac:dyDescent="0.25">
      <c r="A28" s="72">
        <v>13</v>
      </c>
      <c r="B28" s="85"/>
      <c r="C28" s="74" t="s">
        <v>89</v>
      </c>
      <c r="D28" s="74" t="s">
        <v>90</v>
      </c>
      <c r="E28" s="72" t="s">
        <v>91</v>
      </c>
      <c r="F28" s="106">
        <v>2.5000584168904001</v>
      </c>
      <c r="G28" s="75">
        <v>575.80999999999995</v>
      </c>
      <c r="H28" s="75">
        <f t="shared" si="1"/>
        <v>1439.56</v>
      </c>
    </row>
    <row r="29" spans="1:8" ht="31.5" customHeight="1" x14ac:dyDescent="0.25">
      <c r="A29" s="72">
        <v>14</v>
      </c>
      <c r="B29" s="85"/>
      <c r="C29" s="74" t="s">
        <v>92</v>
      </c>
      <c r="D29" s="74" t="s">
        <v>93</v>
      </c>
      <c r="E29" s="72" t="s">
        <v>91</v>
      </c>
      <c r="F29" s="106">
        <v>4.0000939676830001</v>
      </c>
      <c r="G29" s="75">
        <v>670.8</v>
      </c>
      <c r="H29" s="75">
        <f t="shared" si="1"/>
        <v>2683.26</v>
      </c>
    </row>
    <row r="30" spans="1:8" ht="47.25" customHeight="1" x14ac:dyDescent="0.25">
      <c r="A30" s="72">
        <v>15</v>
      </c>
      <c r="B30" s="85"/>
      <c r="C30" s="74" t="s">
        <v>94</v>
      </c>
      <c r="D30" s="74" t="s">
        <v>95</v>
      </c>
      <c r="E30" s="72" t="s">
        <v>91</v>
      </c>
      <c r="F30" s="106">
        <v>1.5000346721157001</v>
      </c>
      <c r="G30" s="75">
        <v>474.61</v>
      </c>
      <c r="H30" s="75">
        <f t="shared" si="1"/>
        <v>711.93</v>
      </c>
    </row>
    <row r="31" spans="1:8" ht="31.5" customHeight="1" x14ac:dyDescent="0.25">
      <c r="A31" s="72">
        <v>16</v>
      </c>
      <c r="B31" s="85"/>
      <c r="C31" s="74" t="s">
        <v>96</v>
      </c>
      <c r="D31" s="74" t="s">
        <v>97</v>
      </c>
      <c r="E31" s="72" t="s">
        <v>91</v>
      </c>
      <c r="F31" s="106">
        <v>3.5000823657387001</v>
      </c>
      <c r="G31" s="75">
        <v>2061.4</v>
      </c>
      <c r="H31" s="75">
        <f t="shared" si="1"/>
        <v>7215.07</v>
      </c>
    </row>
    <row r="32" spans="1:8" ht="31.5" customHeight="1" x14ac:dyDescent="0.25">
      <c r="A32" s="72">
        <v>17</v>
      </c>
      <c r="B32" s="85"/>
      <c r="C32" s="74" t="s">
        <v>98</v>
      </c>
      <c r="D32" s="74" t="s">
        <v>99</v>
      </c>
      <c r="E32" s="72" t="s">
        <v>91</v>
      </c>
      <c r="F32" s="106">
        <v>1.0000231147437999</v>
      </c>
      <c r="G32" s="75">
        <v>188.24</v>
      </c>
      <c r="H32" s="75">
        <f t="shared" si="1"/>
        <v>188.24</v>
      </c>
    </row>
    <row r="33" spans="1:8" ht="31.5" customHeight="1" x14ac:dyDescent="0.25">
      <c r="A33" s="72">
        <v>18</v>
      </c>
      <c r="B33" s="85"/>
      <c r="C33" s="74" t="s">
        <v>100</v>
      </c>
      <c r="D33" s="74" t="s">
        <v>101</v>
      </c>
      <c r="E33" s="72" t="s">
        <v>91</v>
      </c>
      <c r="F33" s="106">
        <v>0.50001162107628006</v>
      </c>
      <c r="G33" s="75">
        <v>210.93</v>
      </c>
      <c r="H33" s="75">
        <f t="shared" si="1"/>
        <v>105.47</v>
      </c>
    </row>
    <row r="34" spans="1:8" ht="31.5" customHeight="1" x14ac:dyDescent="0.25">
      <c r="A34" s="72">
        <v>19</v>
      </c>
      <c r="B34" s="85"/>
      <c r="C34" s="74" t="s">
        <v>102</v>
      </c>
      <c r="D34" s="74" t="s">
        <v>103</v>
      </c>
      <c r="E34" s="72" t="s">
        <v>91</v>
      </c>
      <c r="F34" s="106">
        <v>0.50001181772073999</v>
      </c>
      <c r="G34" s="75">
        <v>286.64</v>
      </c>
      <c r="H34" s="75">
        <f t="shared" si="1"/>
        <v>143.32</v>
      </c>
    </row>
    <row r="35" spans="1:8" x14ac:dyDescent="0.25">
      <c r="A35" s="72">
        <v>20</v>
      </c>
      <c r="B35" s="85"/>
      <c r="C35" s="74" t="s">
        <v>104</v>
      </c>
      <c r="D35" s="74" t="s">
        <v>105</v>
      </c>
      <c r="E35" s="72" t="s">
        <v>91</v>
      </c>
      <c r="F35" s="106">
        <v>3.5000753209575999</v>
      </c>
      <c r="G35" s="75">
        <v>164.69</v>
      </c>
      <c r="H35" s="75">
        <f t="shared" si="1"/>
        <v>576.42999999999995</v>
      </c>
    </row>
    <row r="36" spans="1:8" ht="47.25" customHeight="1" x14ac:dyDescent="0.25">
      <c r="A36" s="72">
        <v>21</v>
      </c>
      <c r="B36" s="85"/>
      <c r="C36" s="74" t="s">
        <v>106</v>
      </c>
      <c r="D36" s="74" t="s">
        <v>107</v>
      </c>
      <c r="E36" s="72" t="s">
        <v>91</v>
      </c>
      <c r="F36" s="106">
        <v>0.50001137173304</v>
      </c>
      <c r="G36" s="75">
        <v>9.02</v>
      </c>
      <c r="H36" s="75">
        <f t="shared" si="1"/>
        <v>4.51</v>
      </c>
    </row>
    <row r="37" spans="1:8" x14ac:dyDescent="0.25">
      <c r="A37" s="123" t="s">
        <v>108</v>
      </c>
      <c r="B37" s="124"/>
      <c r="C37" s="125"/>
      <c r="D37" s="125"/>
      <c r="E37" s="124"/>
      <c r="F37" s="76"/>
      <c r="G37" s="71"/>
      <c r="H37" s="71">
        <f>SUM(H38:H75)</f>
        <v>1395.3</v>
      </c>
    </row>
    <row r="38" spans="1:8" x14ac:dyDescent="0.25">
      <c r="A38" s="72">
        <v>22</v>
      </c>
      <c r="B38" s="85"/>
      <c r="C38" s="74" t="s">
        <v>109</v>
      </c>
      <c r="D38" s="74" t="s">
        <v>110</v>
      </c>
      <c r="E38" s="72" t="s">
        <v>111</v>
      </c>
      <c r="F38" s="72">
        <v>0.11500488173611</v>
      </c>
      <c r="G38" s="75">
        <v>4760.47</v>
      </c>
      <c r="H38" s="75">
        <f t="shared" ref="H38:H75" si="2">ROUND(F38*G38,2)</f>
        <v>547.48</v>
      </c>
    </row>
    <row r="39" spans="1:8" ht="31.5" customHeight="1" x14ac:dyDescent="0.25">
      <c r="A39" s="72">
        <v>23</v>
      </c>
      <c r="B39" s="85"/>
      <c r="C39" s="74" t="s">
        <v>112</v>
      </c>
      <c r="D39" s="74" t="s">
        <v>113</v>
      </c>
      <c r="E39" s="72" t="s">
        <v>111</v>
      </c>
      <c r="F39" s="72">
        <v>8.7503923274753995E-2</v>
      </c>
      <c r="G39" s="75">
        <v>4863.9799999999996</v>
      </c>
      <c r="H39" s="75">
        <f t="shared" si="2"/>
        <v>425.62</v>
      </c>
    </row>
    <row r="40" spans="1:8" ht="31.5" customHeight="1" x14ac:dyDescent="0.25">
      <c r="A40" s="72">
        <v>24</v>
      </c>
      <c r="B40" s="85"/>
      <c r="C40" s="74" t="s">
        <v>114</v>
      </c>
      <c r="D40" s="74" t="s">
        <v>115</v>
      </c>
      <c r="E40" s="72" t="s">
        <v>111</v>
      </c>
      <c r="F40" s="72">
        <v>7.5001945717984006E-2</v>
      </c>
      <c r="G40" s="75">
        <v>1361.22</v>
      </c>
      <c r="H40" s="75">
        <f t="shared" si="2"/>
        <v>102.09</v>
      </c>
    </row>
    <row r="41" spans="1:8" x14ac:dyDescent="0.25">
      <c r="A41" s="72">
        <v>25</v>
      </c>
      <c r="B41" s="85"/>
      <c r="C41" s="74" t="s">
        <v>116</v>
      </c>
      <c r="D41" s="74" t="s">
        <v>117</v>
      </c>
      <c r="E41" s="72" t="s">
        <v>118</v>
      </c>
      <c r="F41" s="72">
        <v>64.974539227316001</v>
      </c>
      <c r="G41" s="75">
        <v>1.1499999999999999</v>
      </c>
      <c r="H41" s="75">
        <f t="shared" si="2"/>
        <v>74.72</v>
      </c>
    </row>
    <row r="42" spans="1:8" ht="15" customHeight="1" x14ac:dyDescent="0.25">
      <c r="A42" s="72">
        <v>26</v>
      </c>
      <c r="B42" s="85"/>
      <c r="C42" s="74" t="s">
        <v>119</v>
      </c>
      <c r="D42" s="74" t="s">
        <v>120</v>
      </c>
      <c r="E42" s="72" t="s">
        <v>121</v>
      </c>
      <c r="F42" s="72">
        <v>3.0002514334560998E-3</v>
      </c>
      <c r="G42" s="75">
        <v>15481</v>
      </c>
      <c r="H42" s="75">
        <f t="shared" si="2"/>
        <v>46.45</v>
      </c>
    </row>
    <row r="43" spans="1:8" ht="31.5" customHeight="1" x14ac:dyDescent="0.25">
      <c r="A43" s="72">
        <v>27</v>
      </c>
      <c r="B43" s="85"/>
      <c r="C43" s="74" t="s">
        <v>122</v>
      </c>
      <c r="D43" s="74" t="s">
        <v>123</v>
      </c>
      <c r="E43" s="72" t="s">
        <v>124</v>
      </c>
      <c r="F43" s="72">
        <v>0.31001263121570999</v>
      </c>
      <c r="G43" s="75">
        <v>83</v>
      </c>
      <c r="H43" s="75">
        <f t="shared" si="2"/>
        <v>25.73</v>
      </c>
    </row>
    <row r="44" spans="1:8" ht="31.5" customHeight="1" x14ac:dyDescent="0.25">
      <c r="A44" s="72">
        <v>28</v>
      </c>
      <c r="B44" s="85"/>
      <c r="C44" s="74" t="s">
        <v>125</v>
      </c>
      <c r="D44" s="74" t="s">
        <v>126</v>
      </c>
      <c r="E44" s="72" t="s">
        <v>127</v>
      </c>
      <c r="F44" s="72">
        <v>0.13000529696143001</v>
      </c>
      <c r="G44" s="75">
        <v>180</v>
      </c>
      <c r="H44" s="75">
        <f t="shared" si="2"/>
        <v>23.4</v>
      </c>
    </row>
    <row r="45" spans="1:8" ht="15" customHeight="1" x14ac:dyDescent="0.25">
      <c r="A45" s="72">
        <v>29</v>
      </c>
      <c r="B45" s="85"/>
      <c r="C45" s="74" t="s">
        <v>128</v>
      </c>
      <c r="D45" s="74" t="s">
        <v>129</v>
      </c>
      <c r="E45" s="72" t="s">
        <v>130</v>
      </c>
      <c r="F45" s="72">
        <v>19.240783950291</v>
      </c>
      <c r="G45" s="75">
        <v>1</v>
      </c>
      <c r="H45" s="75">
        <f t="shared" si="2"/>
        <v>19.239999999999998</v>
      </c>
    </row>
    <row r="46" spans="1:8" ht="31.5" customHeight="1" x14ac:dyDescent="0.25">
      <c r="A46" s="72">
        <v>30</v>
      </c>
      <c r="B46" s="85"/>
      <c r="C46" s="74" t="s">
        <v>131</v>
      </c>
      <c r="D46" s="74" t="s">
        <v>132</v>
      </c>
      <c r="E46" s="72" t="s">
        <v>121</v>
      </c>
      <c r="F46" s="72">
        <v>2.3202466278404E-4</v>
      </c>
      <c r="G46" s="75">
        <v>65750</v>
      </c>
      <c r="H46" s="75">
        <f t="shared" si="2"/>
        <v>15.26</v>
      </c>
    </row>
    <row r="47" spans="1:8" ht="47.25" customHeight="1" x14ac:dyDescent="0.25">
      <c r="A47" s="72">
        <v>31</v>
      </c>
      <c r="B47" s="85"/>
      <c r="C47" s="74" t="s">
        <v>133</v>
      </c>
      <c r="D47" s="74" t="s">
        <v>134</v>
      </c>
      <c r="E47" s="72" t="s">
        <v>121</v>
      </c>
      <c r="F47" s="72">
        <v>1.9997544579906999E-4</v>
      </c>
      <c r="G47" s="75">
        <v>75162.289999999994</v>
      </c>
      <c r="H47" s="75">
        <f t="shared" si="2"/>
        <v>15.03</v>
      </c>
    </row>
    <row r="48" spans="1:8" ht="47.25" customHeight="1" x14ac:dyDescent="0.25">
      <c r="A48" s="72">
        <v>32</v>
      </c>
      <c r="B48" s="85"/>
      <c r="C48" s="74" t="s">
        <v>135</v>
      </c>
      <c r="D48" s="74" t="s">
        <v>136</v>
      </c>
      <c r="E48" s="72" t="s">
        <v>137</v>
      </c>
      <c r="F48" s="72">
        <v>0.44408977397649002</v>
      </c>
      <c r="G48" s="75">
        <v>30.4</v>
      </c>
      <c r="H48" s="75">
        <f t="shared" si="2"/>
        <v>13.5</v>
      </c>
    </row>
    <row r="49" spans="1:8" x14ac:dyDescent="0.25">
      <c r="A49" s="72">
        <v>33</v>
      </c>
      <c r="B49" s="85"/>
      <c r="C49" s="74" t="s">
        <v>138</v>
      </c>
      <c r="D49" s="74" t="s">
        <v>139</v>
      </c>
      <c r="E49" s="72" t="s">
        <v>137</v>
      </c>
      <c r="F49" s="72">
        <v>8.0003259668569998E-2</v>
      </c>
      <c r="G49" s="75">
        <v>155</v>
      </c>
      <c r="H49" s="75">
        <f t="shared" si="2"/>
        <v>12.4</v>
      </c>
    </row>
    <row r="50" spans="1:8" x14ac:dyDescent="0.25">
      <c r="A50" s="72">
        <v>34</v>
      </c>
      <c r="B50" s="85"/>
      <c r="C50" s="74" t="s">
        <v>140</v>
      </c>
      <c r="D50" s="74" t="s">
        <v>141</v>
      </c>
      <c r="E50" s="72" t="s">
        <v>124</v>
      </c>
      <c r="F50" s="72">
        <v>5.0002037292856003E-2</v>
      </c>
      <c r="G50" s="75">
        <v>203</v>
      </c>
      <c r="H50" s="75">
        <f t="shared" si="2"/>
        <v>10.15</v>
      </c>
    </row>
    <row r="51" spans="1:8" x14ac:dyDescent="0.25">
      <c r="A51" s="72">
        <v>35</v>
      </c>
      <c r="B51" s="85"/>
      <c r="C51" s="74" t="s">
        <v>142</v>
      </c>
      <c r="D51" s="74" t="s">
        <v>143</v>
      </c>
      <c r="E51" s="72" t="s">
        <v>144</v>
      </c>
      <c r="F51" s="72">
        <v>1.3876376484916999</v>
      </c>
      <c r="G51" s="75">
        <v>6.9</v>
      </c>
      <c r="H51" s="75">
        <f t="shared" si="2"/>
        <v>9.57</v>
      </c>
    </row>
    <row r="52" spans="1:8" x14ac:dyDescent="0.25">
      <c r="A52" s="72">
        <v>36</v>
      </c>
      <c r="B52" s="85"/>
      <c r="C52" s="74" t="s">
        <v>145</v>
      </c>
      <c r="D52" s="74" t="s">
        <v>146</v>
      </c>
      <c r="E52" s="72" t="s">
        <v>121</v>
      </c>
      <c r="F52" s="72">
        <v>6.5006671170760998E-4</v>
      </c>
      <c r="G52" s="75">
        <v>12430</v>
      </c>
      <c r="H52" s="75">
        <f t="shared" si="2"/>
        <v>8.08</v>
      </c>
    </row>
    <row r="53" spans="1:8" x14ac:dyDescent="0.25">
      <c r="A53" s="72">
        <v>37</v>
      </c>
      <c r="B53" s="85"/>
      <c r="C53" s="74" t="s">
        <v>147</v>
      </c>
      <c r="D53" s="74" t="s">
        <v>148</v>
      </c>
      <c r="E53" s="72" t="s">
        <v>137</v>
      </c>
      <c r="F53" s="72">
        <v>0.69030880852165</v>
      </c>
      <c r="G53" s="75">
        <v>9.0399999999999991</v>
      </c>
      <c r="H53" s="75">
        <f t="shared" si="2"/>
        <v>6.24</v>
      </c>
    </row>
    <row r="54" spans="1:8" ht="31.5" customHeight="1" x14ac:dyDescent="0.25">
      <c r="A54" s="72">
        <v>38</v>
      </c>
      <c r="B54" s="85"/>
      <c r="C54" s="74" t="s">
        <v>149</v>
      </c>
      <c r="D54" s="74" t="s">
        <v>150</v>
      </c>
      <c r="E54" s="72" t="s">
        <v>121</v>
      </c>
      <c r="F54" s="72">
        <v>4.8510623202573002E-4</v>
      </c>
      <c r="G54" s="75">
        <v>12606</v>
      </c>
      <c r="H54" s="75">
        <f t="shared" si="2"/>
        <v>6.12</v>
      </c>
    </row>
    <row r="55" spans="1:8" ht="31.5" customHeight="1" x14ac:dyDescent="0.25">
      <c r="A55" s="72">
        <v>39</v>
      </c>
      <c r="B55" s="85"/>
      <c r="C55" s="74" t="s">
        <v>151</v>
      </c>
      <c r="D55" s="74" t="s">
        <v>152</v>
      </c>
      <c r="E55" s="72" t="s">
        <v>121</v>
      </c>
      <c r="F55" s="72">
        <v>1.3994226392701999E-4</v>
      </c>
      <c r="G55" s="75">
        <v>37517</v>
      </c>
      <c r="H55" s="75">
        <f t="shared" si="2"/>
        <v>5.25</v>
      </c>
    </row>
    <row r="56" spans="1:8" x14ac:dyDescent="0.25">
      <c r="A56" s="72">
        <v>40</v>
      </c>
      <c r="B56" s="85"/>
      <c r="C56" s="74" t="s">
        <v>153</v>
      </c>
      <c r="D56" s="74" t="s">
        <v>154</v>
      </c>
      <c r="E56" s="72" t="s">
        <v>121</v>
      </c>
      <c r="F56" s="72">
        <v>3.4997403414951998E-4</v>
      </c>
      <c r="G56" s="75">
        <v>12430</v>
      </c>
      <c r="H56" s="75">
        <f t="shared" si="2"/>
        <v>4.3499999999999996</v>
      </c>
    </row>
    <row r="57" spans="1:8" x14ac:dyDescent="0.25">
      <c r="A57" s="72">
        <v>41</v>
      </c>
      <c r="B57" s="85"/>
      <c r="C57" s="74" t="s">
        <v>155</v>
      </c>
      <c r="D57" s="74" t="s">
        <v>156</v>
      </c>
      <c r="E57" s="72" t="s">
        <v>137</v>
      </c>
      <c r="F57" s="72">
        <v>0.13881925962801001</v>
      </c>
      <c r="G57" s="75">
        <v>28.6</v>
      </c>
      <c r="H57" s="75">
        <f t="shared" si="2"/>
        <v>3.97</v>
      </c>
    </row>
    <row r="58" spans="1:8" x14ac:dyDescent="0.25">
      <c r="A58" s="72">
        <v>42</v>
      </c>
      <c r="B58" s="85"/>
      <c r="C58" s="74" t="s">
        <v>157</v>
      </c>
      <c r="D58" s="74" t="s">
        <v>158</v>
      </c>
      <c r="E58" s="72" t="s">
        <v>121</v>
      </c>
      <c r="F58" s="72">
        <v>9.0050486458921004E-5</v>
      </c>
      <c r="G58" s="75">
        <v>42700.01</v>
      </c>
      <c r="H58" s="75">
        <f t="shared" si="2"/>
        <v>3.85</v>
      </c>
    </row>
    <row r="59" spans="1:8" ht="31.5" customHeight="1" x14ac:dyDescent="0.25">
      <c r="A59" s="72">
        <v>43</v>
      </c>
      <c r="B59" s="85"/>
      <c r="C59" s="74" t="s">
        <v>159</v>
      </c>
      <c r="D59" s="74" t="s">
        <v>160</v>
      </c>
      <c r="E59" s="72" t="s">
        <v>121</v>
      </c>
      <c r="F59" s="72">
        <v>2.9987213750311999E-5</v>
      </c>
      <c r="G59" s="75">
        <v>114220</v>
      </c>
      <c r="H59" s="75">
        <f t="shared" si="2"/>
        <v>3.43</v>
      </c>
    </row>
    <row r="60" spans="1:8" ht="47.25" customHeight="1" x14ac:dyDescent="0.25">
      <c r="A60" s="72">
        <v>44</v>
      </c>
      <c r="B60" s="85"/>
      <c r="C60" s="74" t="s">
        <v>161</v>
      </c>
      <c r="D60" s="74" t="s">
        <v>162</v>
      </c>
      <c r="E60" s="72" t="s">
        <v>137</v>
      </c>
      <c r="F60" s="72">
        <v>2.4976425358605999E-2</v>
      </c>
      <c r="G60" s="75">
        <v>91.29</v>
      </c>
      <c r="H60" s="75">
        <f t="shared" si="2"/>
        <v>2.2799999999999998</v>
      </c>
    </row>
    <row r="61" spans="1:8" ht="31.5" customHeight="1" x14ac:dyDescent="0.25">
      <c r="A61" s="72">
        <v>45</v>
      </c>
      <c r="B61" s="85"/>
      <c r="C61" s="74" t="s">
        <v>163</v>
      </c>
      <c r="D61" s="74" t="s">
        <v>164</v>
      </c>
      <c r="E61" s="72" t="s">
        <v>121</v>
      </c>
      <c r="F61" s="72">
        <v>2.0000814917143001E-4</v>
      </c>
      <c r="G61" s="75">
        <v>9800</v>
      </c>
      <c r="H61" s="75">
        <f t="shared" si="2"/>
        <v>1.96</v>
      </c>
    </row>
    <row r="62" spans="1:8" x14ac:dyDescent="0.25">
      <c r="A62" s="72">
        <v>46</v>
      </c>
      <c r="B62" s="85"/>
      <c r="C62" s="74" t="s">
        <v>165</v>
      </c>
      <c r="D62" s="74" t="s">
        <v>166</v>
      </c>
      <c r="E62" s="72" t="s">
        <v>137</v>
      </c>
      <c r="F62" s="72">
        <v>5.9981318059908001E-2</v>
      </c>
      <c r="G62" s="75">
        <v>28.26</v>
      </c>
      <c r="H62" s="75">
        <f t="shared" si="2"/>
        <v>1.7</v>
      </c>
    </row>
    <row r="63" spans="1:8" x14ac:dyDescent="0.25">
      <c r="A63" s="72">
        <v>47</v>
      </c>
      <c r="B63" s="85"/>
      <c r="C63" s="74" t="s">
        <v>167</v>
      </c>
      <c r="D63" s="74" t="s">
        <v>168</v>
      </c>
      <c r="E63" s="72" t="s">
        <v>137</v>
      </c>
      <c r="F63" s="72">
        <v>9.2609744823537992E-3</v>
      </c>
      <c r="G63" s="75">
        <v>138.76</v>
      </c>
      <c r="H63" s="75">
        <f t="shared" si="2"/>
        <v>1.29</v>
      </c>
    </row>
    <row r="64" spans="1:8" x14ac:dyDescent="0.25">
      <c r="A64" s="72">
        <v>48</v>
      </c>
      <c r="B64" s="85"/>
      <c r="C64" s="74" t="s">
        <v>169</v>
      </c>
      <c r="D64" s="74" t="s">
        <v>170</v>
      </c>
      <c r="E64" s="72" t="s">
        <v>137</v>
      </c>
      <c r="F64" s="72">
        <v>2.5016968676627001E-2</v>
      </c>
      <c r="G64" s="75">
        <v>47.57</v>
      </c>
      <c r="H64" s="75">
        <f t="shared" si="2"/>
        <v>1.19</v>
      </c>
    </row>
    <row r="65" spans="1:8" x14ac:dyDescent="0.25">
      <c r="A65" s="72">
        <v>49</v>
      </c>
      <c r="B65" s="85"/>
      <c r="C65" s="74" t="s">
        <v>171</v>
      </c>
      <c r="D65" s="74" t="s">
        <v>172</v>
      </c>
      <c r="E65" s="72" t="s">
        <v>137</v>
      </c>
      <c r="F65" s="72">
        <v>3.5085694370773003E-2</v>
      </c>
      <c r="G65" s="75">
        <v>28.93</v>
      </c>
      <c r="H65" s="75">
        <f t="shared" si="2"/>
        <v>1.02</v>
      </c>
    </row>
    <row r="66" spans="1:8" x14ac:dyDescent="0.25">
      <c r="A66" s="72">
        <v>50</v>
      </c>
      <c r="B66" s="85"/>
      <c r="C66" s="74" t="s">
        <v>173</v>
      </c>
      <c r="D66" s="74" t="s">
        <v>174</v>
      </c>
      <c r="E66" s="72" t="s">
        <v>124</v>
      </c>
      <c r="F66" s="72">
        <v>2.5049776449332001E-2</v>
      </c>
      <c r="G66" s="75">
        <v>30.74</v>
      </c>
      <c r="H66" s="75">
        <f t="shared" si="2"/>
        <v>0.77</v>
      </c>
    </row>
    <row r="67" spans="1:8" ht="47.25" customHeight="1" x14ac:dyDescent="0.25">
      <c r="A67" s="72">
        <v>51</v>
      </c>
      <c r="B67" s="85"/>
      <c r="C67" s="74" t="s">
        <v>175</v>
      </c>
      <c r="D67" s="74" t="s">
        <v>176</v>
      </c>
      <c r="E67" s="72" t="s">
        <v>177</v>
      </c>
      <c r="F67" s="72">
        <v>1.5054158982378001E-3</v>
      </c>
      <c r="G67" s="75">
        <v>405.22</v>
      </c>
      <c r="H67" s="75">
        <f t="shared" si="2"/>
        <v>0.61</v>
      </c>
    </row>
    <row r="68" spans="1:8" x14ac:dyDescent="0.25">
      <c r="A68" s="72">
        <v>52</v>
      </c>
      <c r="B68" s="85"/>
      <c r="C68" s="74" t="s">
        <v>178</v>
      </c>
      <c r="D68" s="74" t="s">
        <v>179</v>
      </c>
      <c r="E68" s="72" t="s">
        <v>137</v>
      </c>
      <c r="F68" s="72">
        <v>2.1630258521341001E-2</v>
      </c>
      <c r="G68" s="75">
        <v>27.74</v>
      </c>
      <c r="H68" s="75">
        <f t="shared" si="2"/>
        <v>0.6</v>
      </c>
    </row>
    <row r="69" spans="1:8" ht="31.5" customHeight="1" x14ac:dyDescent="0.25">
      <c r="A69" s="72">
        <v>53</v>
      </c>
      <c r="B69" s="85"/>
      <c r="C69" s="74" t="s">
        <v>180</v>
      </c>
      <c r="D69" s="74" t="s">
        <v>181</v>
      </c>
      <c r="E69" s="72" t="s">
        <v>137</v>
      </c>
      <c r="F69" s="72">
        <v>1.4998177998694E-2</v>
      </c>
      <c r="G69" s="75">
        <v>38.340000000000003</v>
      </c>
      <c r="H69" s="75">
        <f t="shared" si="2"/>
        <v>0.57999999999999996</v>
      </c>
    </row>
    <row r="70" spans="1:8" ht="31.5" x14ac:dyDescent="0.25">
      <c r="A70" s="72">
        <v>54</v>
      </c>
      <c r="B70" s="85"/>
      <c r="C70" s="74" t="s">
        <v>182</v>
      </c>
      <c r="D70" s="74" t="s">
        <v>183</v>
      </c>
      <c r="E70" s="72" t="s">
        <v>137</v>
      </c>
      <c r="F70" s="72">
        <v>1.2942641324522001E-2</v>
      </c>
      <c r="G70" s="75">
        <v>39.020000000000003</v>
      </c>
      <c r="H70" s="75">
        <f t="shared" si="2"/>
        <v>0.51</v>
      </c>
    </row>
    <row r="71" spans="1:8" ht="31.5" customHeight="1" x14ac:dyDescent="0.25">
      <c r="A71" s="72">
        <v>55</v>
      </c>
      <c r="B71" s="85"/>
      <c r="C71" s="74" t="s">
        <v>184</v>
      </c>
      <c r="D71" s="74" t="s">
        <v>185</v>
      </c>
      <c r="E71" s="72" t="s">
        <v>121</v>
      </c>
      <c r="F71" s="72">
        <v>4.9965298103074999E-6</v>
      </c>
      <c r="G71" s="75">
        <v>68050</v>
      </c>
      <c r="H71" s="75">
        <f t="shared" si="2"/>
        <v>0.34</v>
      </c>
    </row>
    <row r="72" spans="1:8" ht="31.5" customHeight="1" x14ac:dyDescent="0.25">
      <c r="A72" s="72">
        <v>56</v>
      </c>
      <c r="B72" s="85"/>
      <c r="C72" s="74" t="s">
        <v>186</v>
      </c>
      <c r="D72" s="74" t="s">
        <v>187</v>
      </c>
      <c r="E72" s="72" t="s">
        <v>121</v>
      </c>
      <c r="F72" s="72">
        <v>1.2043846798760999E-5</v>
      </c>
      <c r="G72" s="75">
        <v>22419</v>
      </c>
      <c r="H72" s="75">
        <f t="shared" si="2"/>
        <v>0.27</v>
      </c>
    </row>
    <row r="73" spans="1:8" x14ac:dyDescent="0.25">
      <c r="A73" s="72">
        <v>57</v>
      </c>
      <c r="B73" s="85"/>
      <c r="C73" s="74" t="s">
        <v>188</v>
      </c>
      <c r="D73" s="74" t="s">
        <v>189</v>
      </c>
      <c r="E73" s="72" t="s">
        <v>121</v>
      </c>
      <c r="F73" s="72">
        <v>1.7809430291322999E-4</v>
      </c>
      <c r="G73" s="75">
        <v>729.98</v>
      </c>
      <c r="H73" s="75">
        <f t="shared" si="2"/>
        <v>0.13</v>
      </c>
    </row>
    <row r="74" spans="1:8" x14ac:dyDescent="0.25">
      <c r="A74" s="72">
        <v>58</v>
      </c>
      <c r="B74" s="85"/>
      <c r="C74" s="74" t="s">
        <v>190</v>
      </c>
      <c r="D74" s="74" t="s">
        <v>191</v>
      </c>
      <c r="E74" s="72" t="s">
        <v>137</v>
      </c>
      <c r="F74" s="72">
        <v>2.9470255093119002E-3</v>
      </c>
      <c r="G74" s="75">
        <v>35.630000000000003</v>
      </c>
      <c r="H74" s="75">
        <f t="shared" si="2"/>
        <v>0.11</v>
      </c>
    </row>
    <row r="75" spans="1:8" x14ac:dyDescent="0.25">
      <c r="A75" s="72">
        <v>59</v>
      </c>
      <c r="B75" s="85"/>
      <c r="C75" s="74" t="s">
        <v>192</v>
      </c>
      <c r="D75" s="74" t="s">
        <v>193</v>
      </c>
      <c r="E75" s="72" t="s">
        <v>194</v>
      </c>
      <c r="F75" s="72">
        <v>2.4969961480408E-2</v>
      </c>
      <c r="G75" s="75">
        <v>0.4</v>
      </c>
      <c r="H75" s="75">
        <f t="shared" si="2"/>
        <v>0.01</v>
      </c>
    </row>
    <row r="78" spans="1:8" x14ac:dyDescent="0.25">
      <c r="B78" s="60" t="s">
        <v>31</v>
      </c>
    </row>
    <row r="79" spans="1:8" x14ac:dyDescent="0.25">
      <c r="B79" s="67" t="s">
        <v>32</v>
      </c>
    </row>
    <row r="81" spans="2:2" x14ac:dyDescent="0.25">
      <c r="B81" s="60" t="s">
        <v>33</v>
      </c>
    </row>
    <row r="82" spans="2:2" x14ac:dyDescent="0.25">
      <c r="B82" s="67" t="s">
        <v>34</v>
      </c>
    </row>
  </sheetData>
  <mergeCells count="15">
    <mergeCell ref="A12:E12"/>
    <mergeCell ref="A19:E19"/>
    <mergeCell ref="A21:E21"/>
    <mergeCell ref="A37:E3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69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K50"/>
  <sheetViews>
    <sheetView view="pageBreakPreview" topLeftCell="A37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2.8554687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195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6" t="s">
        <v>196</v>
      </c>
      <c r="C5" s="126"/>
      <c r="D5" s="126"/>
      <c r="E5" s="126"/>
    </row>
    <row r="6" spans="2:5" x14ac:dyDescent="0.25">
      <c r="B6" s="16"/>
      <c r="C6" s="6"/>
      <c r="D6" s="6"/>
      <c r="E6" s="6"/>
    </row>
    <row r="7" spans="2:5" ht="39.75" customHeight="1" x14ac:dyDescent="0.25">
      <c r="B7" s="127" t="str">
        <f>'Прил.1 Сравнит табл'!B7</f>
        <v>Наименование разрабатываемого показателя УНЦ - Постоянная часть ПС, СКУД ПС 220 кВ</v>
      </c>
      <c r="C7" s="127"/>
      <c r="D7" s="127"/>
      <c r="E7" s="127"/>
    </row>
    <row r="8" spans="2:5" x14ac:dyDescent="0.25">
      <c r="B8" s="128" t="str">
        <f>'Прил.1 Сравнит табл'!B9</f>
        <v>Единица измерения  — 1 ПС</v>
      </c>
      <c r="C8" s="128"/>
      <c r="D8" s="128"/>
      <c r="E8" s="128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197</v>
      </c>
      <c r="C10" s="2" t="s">
        <v>198</v>
      </c>
      <c r="D10" s="2" t="s">
        <v>199</v>
      </c>
      <c r="E10" s="2" t="s">
        <v>200</v>
      </c>
    </row>
    <row r="11" spans="2:5" x14ac:dyDescent="0.25">
      <c r="B11" s="7" t="s">
        <v>201</v>
      </c>
      <c r="C11" s="42">
        <f>'Прил.5 Расчет СМР и ОБ'!J14</f>
        <v>44446.35</v>
      </c>
      <c r="D11" s="41">
        <f t="shared" ref="D11:D18" si="0">C11/$C$24</f>
        <v>0.36797640320014252</v>
      </c>
      <c r="E11" s="41">
        <f t="shared" ref="E11:E18" si="1">C11/$C$40</f>
        <v>0.10039476566242349</v>
      </c>
    </row>
    <row r="12" spans="2:5" x14ac:dyDescent="0.25">
      <c r="B12" s="7" t="s">
        <v>202</v>
      </c>
      <c r="C12" s="42">
        <f>'Прил.5 Расчет СМР и ОБ'!J21</f>
        <v>909.34</v>
      </c>
      <c r="D12" s="41">
        <f t="shared" si="0"/>
        <v>7.5285296202279297E-3</v>
      </c>
      <c r="E12" s="41">
        <f t="shared" si="1"/>
        <v>2.0540038992508535E-3</v>
      </c>
    </row>
    <row r="13" spans="2:5" x14ac:dyDescent="0.25">
      <c r="B13" s="7" t="s">
        <v>203</v>
      </c>
      <c r="C13" s="42">
        <f>'Прил.5 Расчет СМР и ОБ'!J24</f>
        <v>33.07</v>
      </c>
      <c r="D13" s="41">
        <f t="shared" si="0"/>
        <v>2.7379030345188557E-4</v>
      </c>
      <c r="E13" s="41">
        <f t="shared" si="1"/>
        <v>7.4698032582120794E-5</v>
      </c>
    </row>
    <row r="14" spans="2:5" x14ac:dyDescent="0.25">
      <c r="B14" s="7" t="s">
        <v>204</v>
      </c>
      <c r="C14" s="42">
        <f>C13+C12</f>
        <v>942.41000000000008</v>
      </c>
      <c r="D14" s="41">
        <f t="shared" si="0"/>
        <v>7.8023199236798152E-3</v>
      </c>
      <c r="E14" s="41">
        <f t="shared" si="1"/>
        <v>2.1287019318329747E-3</v>
      </c>
    </row>
    <row r="15" spans="2:5" x14ac:dyDescent="0.25">
      <c r="B15" s="7" t="s">
        <v>205</v>
      </c>
      <c r="C15" s="42">
        <f>'Прил.5 Расчет СМР и ОБ'!J16</f>
        <v>434.04</v>
      </c>
      <c r="D15" s="41">
        <f t="shared" si="0"/>
        <v>3.5934666861281044E-3</v>
      </c>
      <c r="E15" s="41">
        <f t="shared" si="1"/>
        <v>9.804032071951531E-4</v>
      </c>
    </row>
    <row r="16" spans="2:5" x14ac:dyDescent="0.25">
      <c r="B16" s="7" t="s">
        <v>206</v>
      </c>
      <c r="C16" s="42">
        <f>'Прил.5 Расчет СМР и ОБ'!J49</f>
        <v>9618.9599999999991</v>
      </c>
      <c r="D16" s="41">
        <f t="shared" si="0"/>
        <v>7.9636467411295708E-2</v>
      </c>
      <c r="E16" s="41">
        <f t="shared" si="1"/>
        <v>2.1727166237862614E-2</v>
      </c>
    </row>
    <row r="17" spans="2:6" x14ac:dyDescent="0.25">
      <c r="B17" s="7" t="s">
        <v>207</v>
      </c>
      <c r="C17" s="42">
        <f>'Прил.5 Расчет СМР и ОБ'!J83</f>
        <v>1599.19</v>
      </c>
      <c r="D17" s="41">
        <f t="shared" si="0"/>
        <v>1.3239876485552492E-2</v>
      </c>
      <c r="E17" s="41">
        <f t="shared" si="1"/>
        <v>3.6122269950106369E-3</v>
      </c>
      <c r="F17" s="17"/>
    </row>
    <row r="18" spans="2:6" x14ac:dyDescent="0.25">
      <c r="B18" s="7" t="s">
        <v>208</v>
      </c>
      <c r="C18" s="42">
        <f>C17+C16</f>
        <v>11218.15</v>
      </c>
      <c r="D18" s="41">
        <f t="shared" si="0"/>
        <v>9.2876343896848193E-2</v>
      </c>
      <c r="E18" s="41">
        <f t="shared" si="1"/>
        <v>2.533939323287325E-2</v>
      </c>
    </row>
    <row r="19" spans="2:6" x14ac:dyDescent="0.25">
      <c r="B19" s="7" t="s">
        <v>209</v>
      </c>
      <c r="C19" s="42">
        <f>C18+C14+C11</f>
        <v>56606.909999999996</v>
      </c>
      <c r="D19" s="41"/>
      <c r="E19" s="7"/>
    </row>
    <row r="20" spans="2:6" x14ac:dyDescent="0.25">
      <c r="B20" s="7" t="s">
        <v>210</v>
      </c>
      <c r="C20" s="42">
        <f>ROUND(C21*(C11+C15),2)</f>
        <v>21991.39</v>
      </c>
      <c r="D20" s="41">
        <f>C20/$C$24</f>
        <v>0.1820692271372471</v>
      </c>
      <c r="E20" s="41">
        <f>C20/$C$40</f>
        <v>4.9673830261449212E-2</v>
      </c>
    </row>
    <row r="21" spans="2:6" x14ac:dyDescent="0.25">
      <c r="B21" s="7" t="s">
        <v>211</v>
      </c>
      <c r="C21" s="43">
        <f>'Прил.5 Расчет СМР и ОБ'!E87</f>
        <v>0.49</v>
      </c>
      <c r="D21" s="41"/>
      <c r="E21" s="7"/>
    </row>
    <row r="22" spans="2:6" x14ac:dyDescent="0.25">
      <c r="B22" s="7" t="s">
        <v>212</v>
      </c>
      <c r="C22" s="42">
        <f>ROUND(C23*(C11+C15),2)</f>
        <v>42187.57</v>
      </c>
      <c r="D22" s="41">
        <f>C22/$C$24</f>
        <v>0.34927570584208234</v>
      </c>
      <c r="E22" s="41">
        <f>C22/$C$40</f>
        <v>9.5292666417311822E-2</v>
      </c>
    </row>
    <row r="23" spans="2:6" x14ac:dyDescent="0.25">
      <c r="B23" s="7" t="s">
        <v>213</v>
      </c>
      <c r="C23" s="43">
        <f>'Прил.5 Расчет СМР и ОБ'!E86</f>
        <v>0.94</v>
      </c>
      <c r="D23" s="41"/>
      <c r="E23" s="7"/>
    </row>
    <row r="24" spans="2:6" x14ac:dyDescent="0.25">
      <c r="B24" s="7" t="s">
        <v>214</v>
      </c>
      <c r="C24" s="42">
        <f>C19+C20+C22</f>
        <v>120785.87</v>
      </c>
      <c r="D24" s="41">
        <f>C24/$C$24</f>
        <v>1</v>
      </c>
      <c r="E24" s="41">
        <f>C24/$C$40</f>
        <v>0.27282935750589071</v>
      </c>
    </row>
    <row r="25" spans="2:6" ht="25.5" customHeight="1" x14ac:dyDescent="0.25">
      <c r="B25" s="7" t="s">
        <v>215</v>
      </c>
      <c r="C25" s="42">
        <f>'Прил.5 Расчет СМР и ОБ'!J40</f>
        <v>268561.37</v>
      </c>
      <c r="D25" s="41"/>
      <c r="E25" s="41">
        <f>C25/$C$40</f>
        <v>0.60662249672086477</v>
      </c>
    </row>
    <row r="26" spans="2:6" ht="25.5" customHeight="1" x14ac:dyDescent="0.25">
      <c r="B26" s="7" t="s">
        <v>216</v>
      </c>
      <c r="C26" s="42">
        <f>'Прил.5 Расчет СМР и ОБ'!J41</f>
        <v>268561.32</v>
      </c>
      <c r="D26" s="41"/>
      <c r="E26" s="41">
        <f>C26/$C$40</f>
        <v>0.60662238378159572</v>
      </c>
    </row>
    <row r="27" spans="2:6" x14ac:dyDescent="0.25">
      <c r="B27" s="7" t="s">
        <v>217</v>
      </c>
      <c r="C27" s="40">
        <f>C24+C25</f>
        <v>389347.24</v>
      </c>
      <c r="D27" s="41"/>
      <c r="E27" s="41">
        <f>C27/$C$40</f>
        <v>0.87945185422675554</v>
      </c>
    </row>
    <row r="28" spans="2:6" ht="33" customHeight="1" x14ac:dyDescent="0.25">
      <c r="B28" s="7" t="s">
        <v>218</v>
      </c>
      <c r="C28" s="7"/>
      <c r="D28" s="7"/>
      <c r="E28" s="7"/>
    </row>
    <row r="29" spans="2:6" ht="25.5" customHeight="1" x14ac:dyDescent="0.25">
      <c r="B29" s="7" t="s">
        <v>219</v>
      </c>
      <c r="C29" s="40">
        <f>ROUND(C24*3.9%,2)</f>
        <v>4710.6499999999996</v>
      </c>
      <c r="D29" s="7"/>
      <c r="E29" s="41">
        <f t="shared" ref="E29:E40" si="2">C29/$C$40</f>
        <v>1.0640347359630096E-2</v>
      </c>
    </row>
    <row r="30" spans="2:6" ht="38.25" customHeight="1" x14ac:dyDescent="0.25">
      <c r="B30" s="98" t="s">
        <v>220</v>
      </c>
      <c r="C30" s="99">
        <f>ROUND((C24+C29)*2.1%,2)</f>
        <v>2635.43</v>
      </c>
      <c r="D30" s="98"/>
      <c r="E30" s="100">
        <f t="shared" si="2"/>
        <v>5.9528707592349135E-3</v>
      </c>
    </row>
    <row r="31" spans="2:6" x14ac:dyDescent="0.25">
      <c r="B31" s="98" t="s">
        <v>221</v>
      </c>
      <c r="C31" s="99">
        <v>23300</v>
      </c>
      <c r="D31" s="98"/>
      <c r="E31" s="100">
        <f t="shared" si="2"/>
        <v>5.2629699400163731E-2</v>
      </c>
    </row>
    <row r="32" spans="2:6" ht="25.5" customHeight="1" x14ac:dyDescent="0.25">
      <c r="B32" s="98" t="s">
        <v>222</v>
      </c>
      <c r="C32" s="99">
        <v>0</v>
      </c>
      <c r="D32" s="98"/>
      <c r="E32" s="100">
        <f t="shared" si="2"/>
        <v>0</v>
      </c>
      <c r="F32" s="83"/>
    </row>
    <row r="33" spans="2:11" ht="25.5" customHeight="1" x14ac:dyDescent="0.25">
      <c r="B33" s="98" t="s">
        <v>223</v>
      </c>
      <c r="C33" s="99">
        <v>0</v>
      </c>
      <c r="D33" s="98"/>
      <c r="E33" s="100">
        <f t="shared" si="2"/>
        <v>0</v>
      </c>
      <c r="F33" s="83"/>
    </row>
    <row r="34" spans="2:11" ht="51" customHeight="1" x14ac:dyDescent="0.25">
      <c r="B34" s="98" t="s">
        <v>224</v>
      </c>
      <c r="C34" s="99">
        <v>0</v>
      </c>
      <c r="D34" s="98"/>
      <c r="E34" s="100">
        <f t="shared" si="2"/>
        <v>0</v>
      </c>
      <c r="F34" s="83"/>
    </row>
    <row r="35" spans="2:11" ht="76.5" customHeight="1" x14ac:dyDescent="0.25">
      <c r="B35" s="7" t="s">
        <v>225</v>
      </c>
      <c r="C35" s="40">
        <v>0</v>
      </c>
      <c r="D35" s="7"/>
      <c r="E35" s="41">
        <f t="shared" si="2"/>
        <v>0</v>
      </c>
      <c r="F35" s="83"/>
    </row>
    <row r="36" spans="2:11" ht="25.5" customHeight="1" x14ac:dyDescent="0.25">
      <c r="B36" s="7" t="s">
        <v>226</v>
      </c>
      <c r="C36" s="40">
        <f>ROUND(SUM(C27:C35)*2.14%,2)</f>
        <v>8987.86</v>
      </c>
      <c r="D36" s="7"/>
      <c r="E36" s="41">
        <f t="shared" si="2"/>
        <v>2.0301646783294231E-2</v>
      </c>
      <c r="F36" s="58"/>
      <c r="K36" s="18"/>
    </row>
    <row r="37" spans="2:11" x14ac:dyDescent="0.25">
      <c r="B37" s="7" t="s">
        <v>227</v>
      </c>
      <c r="C37" s="40">
        <f>ROUND(SUM(C27:C35)*0.2%,2)</f>
        <v>839.99</v>
      </c>
      <c r="D37" s="7"/>
      <c r="E37" s="41">
        <f t="shared" si="2"/>
        <v>1.897357133010452E-3</v>
      </c>
      <c r="F37" s="58"/>
      <c r="K37" s="18"/>
    </row>
    <row r="38" spans="2:11" ht="38.25" customHeight="1" x14ac:dyDescent="0.25">
      <c r="B38" s="7" t="s">
        <v>228</v>
      </c>
      <c r="C38" s="42">
        <f>SUM(C27:C37)</f>
        <v>429821.17</v>
      </c>
      <c r="D38" s="7"/>
      <c r="E38" s="41">
        <f t="shared" si="2"/>
        <v>0.97087377566208888</v>
      </c>
    </row>
    <row r="39" spans="2:11" ht="13.5" customHeight="1" x14ac:dyDescent="0.25">
      <c r="B39" s="7" t="s">
        <v>229</v>
      </c>
      <c r="C39" s="42">
        <f>ROUND(C38*3%,2)</f>
        <v>12894.64</v>
      </c>
      <c r="D39" s="7"/>
      <c r="E39" s="41">
        <f t="shared" si="2"/>
        <v>2.9126224337911039E-2</v>
      </c>
    </row>
    <row r="40" spans="2:11" x14ac:dyDescent="0.25">
      <c r="B40" s="7" t="s">
        <v>230</v>
      </c>
      <c r="C40" s="42">
        <f>C39+C38</f>
        <v>442715.81</v>
      </c>
      <c r="D40" s="7"/>
      <c r="E40" s="41">
        <f t="shared" si="2"/>
        <v>1</v>
      </c>
    </row>
    <row r="41" spans="2:11" x14ac:dyDescent="0.25">
      <c r="B41" s="7" t="s">
        <v>231</v>
      </c>
      <c r="C41" s="42">
        <f>C40/'Прил.5 Расчет СМР и ОБ'!E90</f>
        <v>442715.81</v>
      </c>
      <c r="D41" s="7"/>
      <c r="E41" s="7"/>
    </row>
    <row r="42" spans="2:11" x14ac:dyDescent="0.25">
      <c r="B42" s="19"/>
      <c r="C42" s="6"/>
      <c r="D42" s="6"/>
      <c r="E42" s="6"/>
    </row>
    <row r="43" spans="2:11" x14ac:dyDescent="0.25">
      <c r="B43" s="6" t="s">
        <v>31</v>
      </c>
      <c r="C43" s="1"/>
      <c r="D43" s="6"/>
      <c r="E43" s="6"/>
    </row>
    <row r="44" spans="2:11" x14ac:dyDescent="0.25">
      <c r="B44" s="61" t="s">
        <v>32</v>
      </c>
      <c r="C44" s="1"/>
      <c r="D44" s="6"/>
      <c r="E44" s="6"/>
    </row>
    <row r="45" spans="2:11" x14ac:dyDescent="0.25">
      <c r="B45" s="6"/>
      <c r="C45" s="1"/>
      <c r="D45" s="6"/>
      <c r="E45" s="6"/>
    </row>
    <row r="46" spans="2:11" x14ac:dyDescent="0.25">
      <c r="B46" s="6" t="s">
        <v>33</v>
      </c>
      <c r="C46" s="1"/>
      <c r="D46" s="6"/>
      <c r="E46" s="6"/>
    </row>
    <row r="47" spans="2:11" x14ac:dyDescent="0.25">
      <c r="B47" s="61" t="s">
        <v>34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K97"/>
  <sheetViews>
    <sheetView tabSelected="1" view="pageBreakPreview" zoomScale="55" zoomScaleSheetLayoutView="55" workbookViewId="0">
      <selection activeCell="AD31" sqref="AD31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9.140625" style="1"/>
  </cols>
  <sheetData>
    <row r="2" spans="1:10" ht="15.75" customHeight="1" x14ac:dyDescent="0.25">
      <c r="I2" s="60"/>
      <c r="J2" s="59" t="s">
        <v>232</v>
      </c>
    </row>
    <row r="4" spans="1:10" s="6" customFormat="1" ht="12.75" customHeight="1" x14ac:dyDescent="0.2">
      <c r="A4" s="126" t="s">
        <v>233</v>
      </c>
      <c r="B4" s="126"/>
      <c r="C4" s="126"/>
      <c r="D4" s="126"/>
      <c r="E4" s="126"/>
      <c r="F4" s="126"/>
      <c r="G4" s="126"/>
      <c r="H4" s="126"/>
      <c r="I4" s="44"/>
      <c r="J4" s="44"/>
    </row>
    <row r="5" spans="1:10" s="6" customFormat="1" ht="12.7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0" s="6" customFormat="1" ht="41.25" customHeight="1" x14ac:dyDescent="0.2">
      <c r="A6" s="78" t="s">
        <v>234</v>
      </c>
      <c r="B6" s="79"/>
      <c r="C6" s="79"/>
      <c r="D6" s="142" t="s">
        <v>235</v>
      </c>
      <c r="E6" s="142"/>
      <c r="F6" s="142"/>
      <c r="G6" s="142"/>
      <c r="H6" s="142"/>
      <c r="I6" s="142"/>
      <c r="J6" s="142"/>
    </row>
    <row r="7" spans="1:10" s="6" customFormat="1" ht="12.75" customHeight="1" x14ac:dyDescent="0.2">
      <c r="A7" s="142" t="str">
        <f>'Прил.1 Сравнит табл'!B9</f>
        <v>Единица измерения  — 1 ПС</v>
      </c>
      <c r="B7" s="127"/>
      <c r="C7" s="127"/>
      <c r="D7" s="127"/>
      <c r="E7" s="127"/>
      <c r="F7" s="127"/>
      <c r="G7" s="127"/>
      <c r="H7" s="127"/>
      <c r="I7" s="80"/>
      <c r="J7" s="80"/>
    </row>
    <row r="8" spans="1:10" s="6" customFormat="1" ht="12.75" customHeight="1" x14ac:dyDescent="0.2"/>
    <row r="9" spans="1:10" ht="27" customHeight="1" x14ac:dyDescent="0.25">
      <c r="A9" s="129" t="s">
        <v>236</v>
      </c>
      <c r="B9" s="129" t="s">
        <v>53</v>
      </c>
      <c r="C9" s="129" t="s">
        <v>197</v>
      </c>
      <c r="D9" s="129" t="s">
        <v>55</v>
      </c>
      <c r="E9" s="130" t="s">
        <v>237</v>
      </c>
      <c r="F9" s="132" t="s">
        <v>57</v>
      </c>
      <c r="G9" s="133"/>
      <c r="H9" s="130" t="s">
        <v>238</v>
      </c>
      <c r="I9" s="132" t="s">
        <v>239</v>
      </c>
      <c r="J9" s="133"/>
    </row>
    <row r="10" spans="1:10" ht="28.5" customHeight="1" x14ac:dyDescent="0.25">
      <c r="A10" s="129"/>
      <c r="B10" s="129"/>
      <c r="C10" s="129"/>
      <c r="D10" s="129"/>
      <c r="E10" s="131"/>
      <c r="F10" s="2" t="s">
        <v>240</v>
      </c>
      <c r="G10" s="2" t="s">
        <v>59</v>
      </c>
      <c r="H10" s="131"/>
      <c r="I10" s="2" t="s">
        <v>240</v>
      </c>
      <c r="J10" s="2" t="s">
        <v>59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43" t="s">
        <v>241</v>
      </c>
      <c r="C12" s="134"/>
      <c r="D12" s="129"/>
      <c r="E12" s="135"/>
      <c r="F12" s="136"/>
      <c r="G12" s="136"/>
      <c r="H12" s="144"/>
      <c r="I12" s="45"/>
      <c r="J12" s="45"/>
    </row>
    <row r="13" spans="1:10" ht="25.5" customHeight="1" x14ac:dyDescent="0.25">
      <c r="A13" s="2">
        <v>1</v>
      </c>
      <c r="B13" s="48" t="s">
        <v>242</v>
      </c>
      <c r="C13" s="3" t="s">
        <v>243</v>
      </c>
      <c r="D13" s="2" t="s">
        <v>244</v>
      </c>
      <c r="E13" s="47">
        <v>98.616299999999995</v>
      </c>
      <c r="F13" s="14">
        <v>9.76</v>
      </c>
      <c r="G13" s="14">
        <f>F13*E13</f>
        <v>962.49508800000001</v>
      </c>
      <c r="H13" s="46">
        <f>G13/G14</f>
        <v>1</v>
      </c>
      <c r="I13" s="14">
        <f>ФОТр.тек.!E13</f>
        <v>450.69987855412</v>
      </c>
      <c r="J13" s="14">
        <f>ROUND(I13*E13,2)</f>
        <v>44446.35</v>
      </c>
    </row>
    <row r="14" spans="1:10" s="1" customFormat="1" ht="25.5" customHeight="1" x14ac:dyDescent="0.2">
      <c r="A14" s="2"/>
      <c r="B14" s="2"/>
      <c r="C14" s="5" t="s">
        <v>245</v>
      </c>
      <c r="D14" s="2" t="s">
        <v>244</v>
      </c>
      <c r="E14" s="47">
        <f>SUM(E13:E13)</f>
        <v>98.616299999999995</v>
      </c>
      <c r="F14" s="14"/>
      <c r="G14" s="14">
        <f>SUM(G13:G13)</f>
        <v>962.49508800000001</v>
      </c>
      <c r="H14" s="46">
        <v>1</v>
      </c>
      <c r="I14" s="14"/>
      <c r="J14" s="14">
        <f>SUM(J13:J13)</f>
        <v>44446.35</v>
      </c>
    </row>
    <row r="15" spans="1:10" s="1" customFormat="1" ht="14.25" customHeight="1" x14ac:dyDescent="0.2">
      <c r="A15" s="2"/>
      <c r="B15" s="134" t="s">
        <v>75</v>
      </c>
      <c r="C15" s="134"/>
      <c r="D15" s="129"/>
      <c r="E15" s="135"/>
      <c r="F15" s="136"/>
      <c r="G15" s="136"/>
      <c r="H15" s="144"/>
      <c r="I15" s="45"/>
      <c r="J15" s="45"/>
    </row>
    <row r="16" spans="1:10" s="1" customFormat="1" ht="14.25" customHeight="1" x14ac:dyDescent="0.2">
      <c r="A16" s="2">
        <v>2</v>
      </c>
      <c r="B16" s="2">
        <v>2</v>
      </c>
      <c r="C16" s="3" t="s">
        <v>75</v>
      </c>
      <c r="D16" s="2" t="s">
        <v>244</v>
      </c>
      <c r="E16" s="47">
        <v>0.77700000000000002</v>
      </c>
      <c r="F16" s="14">
        <v>12.612612612613001</v>
      </c>
      <c r="G16" s="14">
        <f>Прил.3!H20</f>
        <v>19.600000000000001</v>
      </c>
      <c r="H16" s="46">
        <v>1</v>
      </c>
      <c r="I16" s="14">
        <f>ROUND(F16*Прил.10!D10,2)</f>
        <v>558.61</v>
      </c>
      <c r="J16" s="14">
        <f>ROUND(I16*E16,2)</f>
        <v>434.04</v>
      </c>
    </row>
    <row r="17" spans="1:10" s="1" customFormat="1" ht="14.25" customHeight="1" x14ac:dyDescent="0.2">
      <c r="A17" s="2"/>
      <c r="B17" s="143" t="s">
        <v>76</v>
      </c>
      <c r="C17" s="134"/>
      <c r="D17" s="129"/>
      <c r="E17" s="135"/>
      <c r="F17" s="136"/>
      <c r="G17" s="136"/>
      <c r="H17" s="137"/>
      <c r="I17" s="46"/>
      <c r="J17" s="46"/>
    </row>
    <row r="18" spans="1:10" s="1" customFormat="1" ht="14.25" customHeight="1" x14ac:dyDescent="0.2">
      <c r="A18" s="2"/>
      <c r="B18" s="134" t="s">
        <v>246</v>
      </c>
      <c r="C18" s="134"/>
      <c r="D18" s="129"/>
      <c r="E18" s="135"/>
      <c r="F18" s="136"/>
      <c r="G18" s="136"/>
      <c r="H18" s="144"/>
      <c r="I18" s="45"/>
      <c r="J18" s="45"/>
    </row>
    <row r="19" spans="1:10" s="1" customFormat="1" ht="25.5" customHeight="1" x14ac:dyDescent="0.2">
      <c r="A19" s="2">
        <v>3</v>
      </c>
      <c r="B19" s="48" t="s">
        <v>77</v>
      </c>
      <c r="C19" s="3" t="s">
        <v>78</v>
      </c>
      <c r="D19" s="2" t="s">
        <v>79</v>
      </c>
      <c r="E19" s="47">
        <v>0.37273795055318998</v>
      </c>
      <c r="F19" s="9">
        <v>115.4</v>
      </c>
      <c r="G19" s="14">
        <f>ROUND(E19*F19,2)</f>
        <v>43.01</v>
      </c>
      <c r="H19" s="46">
        <f>G19/$G$25</f>
        <v>0.61486776268763399</v>
      </c>
      <c r="I19" s="14">
        <f>ROUND(F19*Прил.10!$D$11,2)</f>
        <v>1554.44</v>
      </c>
      <c r="J19" s="14">
        <f>ROUND(I19*E19,2)</f>
        <v>579.4</v>
      </c>
    </row>
    <row r="20" spans="1:10" s="1" customFormat="1" ht="25.5" customHeight="1" x14ac:dyDescent="0.2">
      <c r="A20" s="2">
        <v>4</v>
      </c>
      <c r="B20" s="48" t="s">
        <v>80</v>
      </c>
      <c r="C20" s="3" t="s">
        <v>81</v>
      </c>
      <c r="D20" s="2" t="s">
        <v>79</v>
      </c>
      <c r="E20" s="47">
        <v>0.37276733206515</v>
      </c>
      <c r="F20" s="9">
        <v>65.709999999999994</v>
      </c>
      <c r="G20" s="14">
        <f>ROUND(E20*F20,2)</f>
        <v>24.49</v>
      </c>
      <c r="H20" s="46">
        <f>G20/$G$25</f>
        <v>0.35010721944245887</v>
      </c>
      <c r="I20" s="14">
        <f>ROUND(F20*Прил.10!$D$11,2)</f>
        <v>885.11</v>
      </c>
      <c r="J20" s="14">
        <f>ROUND(I20*E20,2)</f>
        <v>329.94</v>
      </c>
    </row>
    <row r="21" spans="1:10" s="1" customFormat="1" ht="14.25" customHeight="1" x14ac:dyDescent="0.2">
      <c r="B21" s="2"/>
      <c r="C21" s="3" t="s">
        <v>247</v>
      </c>
      <c r="D21" s="2"/>
      <c r="E21" s="49"/>
      <c r="F21" s="14"/>
      <c r="G21" s="14">
        <f>SUM(G19:G20)</f>
        <v>67.5</v>
      </c>
      <c r="H21" s="46">
        <f>G21/G25</f>
        <v>0.96497498213009292</v>
      </c>
      <c r="I21" s="14"/>
      <c r="J21" s="14">
        <f>SUM(J19:J20)</f>
        <v>909.34</v>
      </c>
    </row>
    <row r="22" spans="1:10" s="1" customFormat="1" ht="14.25" hidden="1" customHeight="1" outlineLevel="1" x14ac:dyDescent="0.2">
      <c r="A22" s="2">
        <v>5</v>
      </c>
      <c r="B22" s="48" t="s">
        <v>82</v>
      </c>
      <c r="C22" s="3" t="s">
        <v>83</v>
      </c>
      <c r="D22" s="2" t="s">
        <v>79</v>
      </c>
      <c r="E22" s="47">
        <v>2.5002108511376998E-2</v>
      </c>
      <c r="F22" s="9">
        <v>89.99</v>
      </c>
      <c r="G22" s="14">
        <f>ROUND(E22*F22,2)</f>
        <v>2.25</v>
      </c>
      <c r="H22" s="46">
        <f>G22/$G$25</f>
        <v>3.2165832737669764E-2</v>
      </c>
      <c r="I22" s="14">
        <f>ROUND(F22*Прил.10!$D$11,2)</f>
        <v>1212.17</v>
      </c>
      <c r="J22" s="14">
        <f>ROUND(I22*E22,2)</f>
        <v>30.31</v>
      </c>
    </row>
    <row r="23" spans="1:10" s="1" customFormat="1" ht="38.25" hidden="1" customHeight="1" outlineLevel="1" x14ac:dyDescent="0.2">
      <c r="A23" s="2">
        <v>6</v>
      </c>
      <c r="B23" s="48" t="s">
        <v>84</v>
      </c>
      <c r="C23" s="3" t="s">
        <v>85</v>
      </c>
      <c r="D23" s="2" t="s">
        <v>79</v>
      </c>
      <c r="E23" s="47">
        <v>6.5577855402436996E-3</v>
      </c>
      <c r="F23" s="9">
        <v>31.26</v>
      </c>
      <c r="G23" s="14">
        <f>ROUND(E23*F23,2)</f>
        <v>0.2</v>
      </c>
      <c r="H23" s="46">
        <f>G23/$G$25</f>
        <v>2.8591851322373124E-3</v>
      </c>
      <c r="I23" s="14">
        <f>ROUND(F23*Прил.10!$D$11,2)</f>
        <v>421.07</v>
      </c>
      <c r="J23" s="14">
        <f>ROUND(I23*E23,2)</f>
        <v>2.76</v>
      </c>
    </row>
    <row r="24" spans="1:10" s="1" customFormat="1" ht="14.25" customHeight="1" collapsed="1" x14ac:dyDescent="0.2">
      <c r="A24" s="2"/>
      <c r="B24" s="2"/>
      <c r="C24" s="3" t="s">
        <v>248</v>
      </c>
      <c r="D24" s="2"/>
      <c r="E24" s="50"/>
      <c r="F24" s="14"/>
      <c r="G24" s="14">
        <f>SUM(G22:G23)</f>
        <v>2.4500000000000002</v>
      </c>
      <c r="H24" s="46">
        <f>G24/G25</f>
        <v>3.5025017869907075E-2</v>
      </c>
      <c r="I24" s="14"/>
      <c r="J24" s="14">
        <f>SUM(J22:J23)</f>
        <v>33.07</v>
      </c>
    </row>
    <row r="25" spans="1:10" s="1" customFormat="1" ht="25.5" customHeight="1" x14ac:dyDescent="0.2">
      <c r="A25" s="2"/>
      <c r="B25" s="51"/>
      <c r="C25" s="52" t="s">
        <v>249</v>
      </c>
      <c r="D25" s="51"/>
      <c r="E25" s="53"/>
      <c r="F25" s="54"/>
      <c r="G25" s="54">
        <f>G21+G24</f>
        <v>69.95</v>
      </c>
      <c r="H25" s="55">
        <v>1</v>
      </c>
      <c r="I25" s="54"/>
      <c r="J25" s="54">
        <f>J21+J24</f>
        <v>942.41000000000008</v>
      </c>
    </row>
    <row r="26" spans="1:10" x14ac:dyDescent="0.25">
      <c r="A26" s="64"/>
      <c r="B26" s="138" t="s">
        <v>250</v>
      </c>
      <c r="C26" s="138"/>
      <c r="D26" s="138"/>
      <c r="E26" s="138"/>
      <c r="F26" s="138"/>
      <c r="G26" s="138"/>
      <c r="H26" s="138"/>
      <c r="I26" s="138"/>
      <c r="J26" s="138"/>
    </row>
    <row r="27" spans="1:10" ht="15" customHeight="1" x14ac:dyDescent="0.25">
      <c r="A27" s="2"/>
      <c r="B27" s="134" t="s">
        <v>251</v>
      </c>
      <c r="C27" s="134"/>
      <c r="D27" s="134"/>
      <c r="E27" s="134"/>
      <c r="F27" s="134"/>
      <c r="G27" s="134"/>
      <c r="H27" s="134"/>
      <c r="I27" s="134"/>
      <c r="J27" s="134"/>
    </row>
    <row r="28" spans="1:10" ht="25.5" customHeight="1" x14ac:dyDescent="0.25">
      <c r="A28" s="2">
        <v>7</v>
      </c>
      <c r="B28" s="48" t="s">
        <v>86</v>
      </c>
      <c r="C28" s="3" t="s">
        <v>87</v>
      </c>
      <c r="D28" s="2" t="s">
        <v>88</v>
      </c>
      <c r="E28" s="47">
        <v>0.80001868630839001</v>
      </c>
      <c r="F28" s="4">
        <v>19707.400000000001</v>
      </c>
      <c r="G28" s="14">
        <f>ROUND(E28*F28,2)</f>
        <v>15766.29</v>
      </c>
      <c r="H28" s="46">
        <f t="shared" ref="H28:H39" si="0">G28/$G$40</f>
        <v>0.36750256461537067</v>
      </c>
      <c r="I28" s="4">
        <f>ROUND(F28*Прил.10!$D$13,2)</f>
        <v>123368.32000000001</v>
      </c>
      <c r="J28" s="14">
        <f>ROUND(I28*E28,2)</f>
        <v>98696.960000000006</v>
      </c>
    </row>
    <row r="29" spans="1:10" ht="25.5" customHeight="1" x14ac:dyDescent="0.25">
      <c r="A29" s="2">
        <v>8</v>
      </c>
      <c r="B29" s="48" t="s">
        <v>252</v>
      </c>
      <c r="C29" s="3" t="s">
        <v>253</v>
      </c>
      <c r="D29" s="2" t="s">
        <v>91</v>
      </c>
      <c r="E29" s="107">
        <v>2.5000584168904001</v>
      </c>
      <c r="F29" s="4">
        <v>5415.89</v>
      </c>
      <c r="G29" s="14">
        <f>ROUND(E29*F29,2)</f>
        <v>13540.04</v>
      </c>
      <c r="H29" s="46">
        <f t="shared" si="0"/>
        <v>0.31561004047208974</v>
      </c>
      <c r="I29" s="4">
        <f>ROUND(F29*Прил.10!$D$13,2)</f>
        <v>33903.47</v>
      </c>
      <c r="J29" s="14">
        <f>ROUND(I29*E29,2)</f>
        <v>84760.66</v>
      </c>
    </row>
    <row r="30" spans="1:10" ht="25.5" customHeight="1" x14ac:dyDescent="0.25">
      <c r="A30" s="2">
        <v>9</v>
      </c>
      <c r="B30" s="48" t="s">
        <v>89</v>
      </c>
      <c r="C30" s="3" t="s">
        <v>90</v>
      </c>
      <c r="D30" s="2" t="s">
        <v>91</v>
      </c>
      <c r="E30" s="107">
        <v>4.0000939676830001</v>
      </c>
      <c r="F30" s="4">
        <v>575.80999999999995</v>
      </c>
      <c r="G30" s="14">
        <f>ROUND(E30*F30,2)</f>
        <v>2303.29</v>
      </c>
      <c r="H30" s="46">
        <f t="shared" si="0"/>
        <v>5.3688279363942756E-2</v>
      </c>
      <c r="I30" s="4">
        <f>ROUND(F30*Прил.10!$D$13,2)</f>
        <v>3604.57</v>
      </c>
      <c r="J30" s="14">
        <f>ROUND(I30*E30,2)</f>
        <v>14418.62</v>
      </c>
    </row>
    <row r="31" spans="1:10" x14ac:dyDescent="0.25">
      <c r="A31" s="65"/>
      <c r="B31" s="2"/>
      <c r="C31" s="3" t="s">
        <v>254</v>
      </c>
      <c r="D31" s="2"/>
      <c r="E31" s="47"/>
      <c r="F31" s="4"/>
      <c r="G31" s="14">
        <f>SUM(G28:G30)</f>
        <v>31609.62</v>
      </c>
      <c r="H31" s="46">
        <f t="shared" si="0"/>
        <v>0.73680088445140313</v>
      </c>
      <c r="I31" s="14"/>
      <c r="J31" s="14">
        <f>SUM(J28:J30)</f>
        <v>197876.24</v>
      </c>
    </row>
    <row r="32" spans="1:10" ht="38.25" hidden="1" customHeight="1" outlineLevel="1" x14ac:dyDescent="0.25">
      <c r="A32" s="2">
        <v>10</v>
      </c>
      <c r="B32" s="62" t="s">
        <v>255</v>
      </c>
      <c r="C32" s="3" t="s">
        <v>256</v>
      </c>
      <c r="D32" s="2" t="s">
        <v>91</v>
      </c>
      <c r="E32" s="107">
        <v>1.5000346721157001</v>
      </c>
      <c r="F32" s="4">
        <v>2122.7199999999998</v>
      </c>
      <c r="G32" s="14">
        <f t="shared" ref="G32:G38" si="1">ROUND(E32*F32,2)</f>
        <v>3184.15</v>
      </c>
      <c r="H32" s="46">
        <f t="shared" si="0"/>
        <v>7.422058652479642E-2</v>
      </c>
      <c r="I32" s="4">
        <f>ROUND(F32*Прил.10!$D$13,2)</f>
        <v>13288.23</v>
      </c>
      <c r="J32" s="14">
        <f t="shared" ref="J32:J38" si="2">ROUND(I32*E32,2)</f>
        <v>19932.810000000001</v>
      </c>
    </row>
    <row r="33" spans="1:10" ht="25.5" hidden="1" customHeight="1" outlineLevel="1" x14ac:dyDescent="0.25">
      <c r="A33" s="2">
        <v>11</v>
      </c>
      <c r="B33" s="62" t="s">
        <v>257</v>
      </c>
      <c r="C33" s="3" t="s">
        <v>258</v>
      </c>
      <c r="D33" s="2" t="s">
        <v>91</v>
      </c>
      <c r="E33" s="107">
        <v>3.5000823657387001</v>
      </c>
      <c r="F33" s="4">
        <v>615.58000000000004</v>
      </c>
      <c r="G33" s="14">
        <f t="shared" si="1"/>
        <v>2154.58</v>
      </c>
      <c r="H33" s="46">
        <f t="shared" si="0"/>
        <v>5.0221940334028187E-2</v>
      </c>
      <c r="I33" s="4">
        <f>ROUND(F33*Прил.10!$D$13,2)</f>
        <v>3853.53</v>
      </c>
      <c r="J33" s="14">
        <f t="shared" si="2"/>
        <v>13487.67</v>
      </c>
    </row>
    <row r="34" spans="1:10" ht="38.25" hidden="1" customHeight="1" outlineLevel="1" x14ac:dyDescent="0.25">
      <c r="A34" s="2">
        <v>12</v>
      </c>
      <c r="B34" s="62" t="s">
        <v>259</v>
      </c>
      <c r="C34" s="3" t="s">
        <v>260</v>
      </c>
      <c r="D34" s="2" t="s">
        <v>91</v>
      </c>
      <c r="E34" s="107">
        <v>1.0000231147437999</v>
      </c>
      <c r="F34" s="4">
        <v>2122.7199999999998</v>
      </c>
      <c r="G34" s="14">
        <f t="shared" si="1"/>
        <v>2122.77</v>
      </c>
      <c r="H34" s="46">
        <f t="shared" si="0"/>
        <v>4.9480468714489606E-2</v>
      </c>
      <c r="I34" s="4">
        <f>ROUND(F34*Прил.10!$D$13,2)</f>
        <v>13288.23</v>
      </c>
      <c r="J34" s="14">
        <f t="shared" si="2"/>
        <v>13288.54</v>
      </c>
    </row>
    <row r="35" spans="1:10" ht="25.5" hidden="1" customHeight="1" outlineLevel="1" x14ac:dyDescent="0.25">
      <c r="A35" s="2">
        <v>13</v>
      </c>
      <c r="B35" s="62" t="s">
        <v>261</v>
      </c>
      <c r="C35" s="3" t="s">
        <v>262</v>
      </c>
      <c r="D35" s="2" t="s">
        <v>91</v>
      </c>
      <c r="E35" s="107">
        <v>0.50001162107628006</v>
      </c>
      <c r="F35" s="4">
        <v>3451.57</v>
      </c>
      <c r="G35" s="14">
        <f t="shared" si="1"/>
        <v>1725.83</v>
      </c>
      <c r="H35" s="46">
        <f t="shared" si="0"/>
        <v>4.0228040400762964E-2</v>
      </c>
      <c r="I35" s="4">
        <f>ROUND(F35*Прил.10!$D$13,2)</f>
        <v>21606.83</v>
      </c>
      <c r="J35" s="14">
        <f t="shared" si="2"/>
        <v>10803.67</v>
      </c>
    </row>
    <row r="36" spans="1:10" ht="25.5" hidden="1" customHeight="1" outlineLevel="1" x14ac:dyDescent="0.25">
      <c r="A36" s="2">
        <v>14</v>
      </c>
      <c r="B36" s="62" t="s">
        <v>96</v>
      </c>
      <c r="C36" s="3" t="s">
        <v>97</v>
      </c>
      <c r="D36" s="2" t="s">
        <v>91</v>
      </c>
      <c r="E36" s="107">
        <v>0.50001181772073999</v>
      </c>
      <c r="F36" s="4">
        <v>2061.4</v>
      </c>
      <c r="G36" s="14">
        <f t="shared" si="1"/>
        <v>1030.72</v>
      </c>
      <c r="H36" s="46">
        <f t="shared" si="0"/>
        <v>2.4025451986507594E-2</v>
      </c>
      <c r="I36" s="4">
        <f>ROUND(F36*Прил.10!$D$13,2)</f>
        <v>12904.36</v>
      </c>
      <c r="J36" s="14">
        <f t="shared" si="2"/>
        <v>6452.33</v>
      </c>
    </row>
    <row r="37" spans="1:10" ht="25.5" hidden="1" customHeight="1" outlineLevel="1" x14ac:dyDescent="0.25">
      <c r="A37" s="2">
        <v>15</v>
      </c>
      <c r="B37" s="62" t="s">
        <v>263</v>
      </c>
      <c r="C37" s="3" t="s">
        <v>264</v>
      </c>
      <c r="D37" s="2" t="s">
        <v>91</v>
      </c>
      <c r="E37" s="107">
        <v>3.5000753209575999</v>
      </c>
      <c r="F37" s="4">
        <v>283.18</v>
      </c>
      <c r="G37" s="14">
        <f t="shared" si="1"/>
        <v>991.15</v>
      </c>
      <c r="H37" s="46">
        <f t="shared" si="0"/>
        <v>2.3103099519197264E-2</v>
      </c>
      <c r="I37" s="4">
        <f>ROUND(F37*Прил.10!$D$13,2)</f>
        <v>1772.71</v>
      </c>
      <c r="J37" s="14">
        <f t="shared" si="2"/>
        <v>6204.62</v>
      </c>
    </row>
    <row r="38" spans="1:10" ht="25.5" hidden="1" customHeight="1" outlineLevel="1" x14ac:dyDescent="0.25">
      <c r="A38" s="2">
        <v>16</v>
      </c>
      <c r="B38" s="62" t="s">
        <v>104</v>
      </c>
      <c r="C38" s="3" t="s">
        <v>105</v>
      </c>
      <c r="D38" s="2" t="s">
        <v>91</v>
      </c>
      <c r="E38" s="107">
        <v>0.50001137173304</v>
      </c>
      <c r="F38" s="4">
        <v>164.69</v>
      </c>
      <c r="G38" s="14">
        <f t="shared" si="1"/>
        <v>82.35</v>
      </c>
      <c r="H38" s="46">
        <f t="shared" si="0"/>
        <v>1.9195280688149065E-3</v>
      </c>
      <c r="I38" s="4">
        <f>ROUND(F38*Прил.10!$D$13,2)</f>
        <v>1030.96</v>
      </c>
      <c r="J38" s="14">
        <f t="shared" si="2"/>
        <v>515.49</v>
      </c>
    </row>
    <row r="39" spans="1:10" collapsed="1" x14ac:dyDescent="0.25">
      <c r="A39" s="65"/>
      <c r="B39" s="2"/>
      <c r="C39" s="3" t="s">
        <v>265</v>
      </c>
      <c r="D39" s="2"/>
      <c r="E39" s="50"/>
      <c r="F39" s="4"/>
      <c r="G39" s="14">
        <f>SUM(G32:G38)</f>
        <v>11291.55</v>
      </c>
      <c r="H39" s="46">
        <f t="shared" si="0"/>
        <v>0.26319911554859693</v>
      </c>
      <c r="I39" s="14"/>
      <c r="J39" s="14">
        <f>SUM(J32:J38)</f>
        <v>70685.13</v>
      </c>
    </row>
    <row r="40" spans="1:10" x14ac:dyDescent="0.25">
      <c r="A40" s="2"/>
      <c r="B40" s="2"/>
      <c r="C40" s="5" t="s">
        <v>266</v>
      </c>
      <c r="D40" s="2"/>
      <c r="E40" s="50"/>
      <c r="F40" s="4"/>
      <c r="G40" s="14">
        <f>G31+G39</f>
        <v>42901.17</v>
      </c>
      <c r="H40" s="46">
        <f>(G31+G39)/G40</f>
        <v>1</v>
      </c>
      <c r="I40" s="14"/>
      <c r="J40" s="14">
        <f>J39+J31</f>
        <v>268561.37</v>
      </c>
    </row>
    <row r="41" spans="1:10" ht="25.5" customHeight="1" x14ac:dyDescent="0.25">
      <c r="A41" s="2"/>
      <c r="B41" s="2"/>
      <c r="C41" s="3" t="s">
        <v>267</v>
      </c>
      <c r="D41" s="2"/>
      <c r="E41" s="50"/>
      <c r="F41" s="4"/>
      <c r="G41" s="14">
        <f>'Прил.6 Расчет ОБ'!G24</f>
        <v>42901.170000000006</v>
      </c>
      <c r="H41" s="46">
        <f>G41/$G$40</f>
        <v>1.0000000000000002</v>
      </c>
      <c r="I41" s="14"/>
      <c r="J41" s="14">
        <f>ROUND(G41*Прил.10!$D$13,2)</f>
        <v>268561.32</v>
      </c>
    </row>
    <row r="42" spans="1:10" s="1" customFormat="1" ht="14.25" customHeight="1" x14ac:dyDescent="0.2">
      <c r="A42" s="63"/>
      <c r="B42" s="139" t="s">
        <v>108</v>
      </c>
      <c r="C42" s="140"/>
      <c r="D42" s="140"/>
      <c r="E42" s="140"/>
      <c r="F42" s="140"/>
      <c r="G42" s="140"/>
      <c r="H42" s="140"/>
      <c r="I42" s="140"/>
      <c r="J42" s="141"/>
    </row>
    <row r="43" spans="1:10" s="1" customFormat="1" ht="14.25" customHeight="1" x14ac:dyDescent="0.2">
      <c r="A43" s="2"/>
      <c r="B43" s="134" t="s">
        <v>268</v>
      </c>
      <c r="C43" s="134"/>
      <c r="D43" s="129"/>
      <c r="E43" s="135"/>
      <c r="F43" s="136"/>
      <c r="G43" s="136"/>
      <c r="H43" s="137"/>
      <c r="I43" s="46"/>
      <c r="J43" s="46"/>
    </row>
    <row r="44" spans="1:10" s="1" customFormat="1" ht="14.25" customHeight="1" x14ac:dyDescent="0.2">
      <c r="A44" s="2">
        <v>17</v>
      </c>
      <c r="B44" s="48" t="s">
        <v>109</v>
      </c>
      <c r="C44" s="3" t="s">
        <v>110</v>
      </c>
      <c r="D44" s="2" t="s">
        <v>111</v>
      </c>
      <c r="E44" s="47">
        <v>0.11500488173611</v>
      </c>
      <c r="F44" s="9">
        <v>4760.47</v>
      </c>
      <c r="G44" s="14">
        <f>ROUND(E44*F44,2)</f>
        <v>547.48</v>
      </c>
      <c r="H44" s="46">
        <f t="shared" ref="H44:H82" si="3">G44/$G$84</f>
        <v>0.39237439977065869</v>
      </c>
      <c r="I44" s="14">
        <f>ROUND(F44*Прил.10!$D$12,2)</f>
        <v>38274.18</v>
      </c>
      <c r="J44" s="14">
        <f>ROUND(I44*E44,2)</f>
        <v>4401.72</v>
      </c>
    </row>
    <row r="45" spans="1:10" s="1" customFormat="1" ht="25.5" customHeight="1" x14ac:dyDescent="0.2">
      <c r="A45" s="2">
        <v>18</v>
      </c>
      <c r="B45" s="48" t="s">
        <v>112</v>
      </c>
      <c r="C45" s="3" t="s">
        <v>113</v>
      </c>
      <c r="D45" s="2" t="s">
        <v>111</v>
      </c>
      <c r="E45" s="47">
        <v>8.7503923274753995E-2</v>
      </c>
      <c r="F45" s="9">
        <v>4863.9799999999996</v>
      </c>
      <c r="G45" s="14">
        <f>ROUND(E45*F45,2)</f>
        <v>425.62</v>
      </c>
      <c r="H45" s="46">
        <f t="shared" si="3"/>
        <v>0.305038343008672</v>
      </c>
      <c r="I45" s="14">
        <f>ROUND(F45*Прил.10!$D$12,2)</f>
        <v>39106.400000000001</v>
      </c>
      <c r="J45" s="14">
        <f>ROUND(I45*E45,2)</f>
        <v>3421.96</v>
      </c>
    </row>
    <row r="46" spans="1:10" s="1" customFormat="1" ht="25.5" customHeight="1" x14ac:dyDescent="0.2">
      <c r="A46" s="2">
        <v>19</v>
      </c>
      <c r="B46" s="48" t="s">
        <v>114</v>
      </c>
      <c r="C46" s="3" t="s">
        <v>115</v>
      </c>
      <c r="D46" s="2" t="s">
        <v>111</v>
      </c>
      <c r="E46" s="47">
        <v>7.5001945717984006E-2</v>
      </c>
      <c r="F46" s="9">
        <v>1361.22</v>
      </c>
      <c r="G46" s="14">
        <f>ROUND(E46*F46,2)</f>
        <v>102.09</v>
      </c>
      <c r="H46" s="46">
        <f t="shared" si="3"/>
        <v>7.316706084712965E-2</v>
      </c>
      <c r="I46" s="14">
        <f>ROUND(F46*Прил.10!$D$12,2)</f>
        <v>10944.21</v>
      </c>
      <c r="J46" s="14">
        <f>ROUND(I46*E46,2)</f>
        <v>820.84</v>
      </c>
    </row>
    <row r="47" spans="1:10" s="1" customFormat="1" ht="14.25" customHeight="1" x14ac:dyDescent="0.2">
      <c r="A47" s="2">
        <v>20</v>
      </c>
      <c r="B47" s="48" t="s">
        <v>116</v>
      </c>
      <c r="C47" s="3" t="s">
        <v>117</v>
      </c>
      <c r="D47" s="2" t="s">
        <v>118</v>
      </c>
      <c r="E47" s="47">
        <v>64.974539227316001</v>
      </c>
      <c r="F47" s="9">
        <v>1.1499999999999999</v>
      </c>
      <c r="G47" s="14">
        <f>ROUND(E47*F47,2)</f>
        <v>74.72</v>
      </c>
      <c r="H47" s="46">
        <f t="shared" si="3"/>
        <v>5.3551207625600228E-2</v>
      </c>
      <c r="I47" s="14">
        <f>ROUND(F47*Прил.10!$D$12,2)</f>
        <v>9.25</v>
      </c>
      <c r="J47" s="14">
        <f>ROUND(I47*E47,2)</f>
        <v>601.01</v>
      </c>
    </row>
    <row r="48" spans="1:10" s="1" customFormat="1" ht="25.5" customHeight="1" x14ac:dyDescent="0.2">
      <c r="A48" s="2">
        <v>21</v>
      </c>
      <c r="B48" s="48" t="s">
        <v>119</v>
      </c>
      <c r="C48" s="3" t="s">
        <v>120</v>
      </c>
      <c r="D48" s="2" t="s">
        <v>121</v>
      </c>
      <c r="E48" s="47">
        <v>3.0002514334560998E-3</v>
      </c>
      <c r="F48" s="9">
        <v>15481</v>
      </c>
      <c r="G48" s="14">
        <f>ROUND(E48*F48,2)</f>
        <v>46.45</v>
      </c>
      <c r="H48" s="46">
        <f t="shared" si="3"/>
        <v>3.3290331828280659E-2</v>
      </c>
      <c r="I48" s="14">
        <f>ROUND(F48*Прил.10!$D$12,2)</f>
        <v>124467.24</v>
      </c>
      <c r="J48" s="14">
        <f>ROUND(I48*E48,2)</f>
        <v>373.43</v>
      </c>
    </row>
    <row r="49" spans="1:10" s="1" customFormat="1" ht="14.25" customHeight="1" x14ac:dyDescent="0.2">
      <c r="B49" s="2"/>
      <c r="C49" s="3" t="s">
        <v>269</v>
      </c>
      <c r="D49" s="2"/>
      <c r="E49" s="47"/>
      <c r="F49" s="4"/>
      <c r="G49" s="14">
        <f>SUM(G44:G48)</f>
        <v>1196.3599999999999</v>
      </c>
      <c r="H49" s="46">
        <f t="shared" si="3"/>
        <v>0.85742134308034113</v>
      </c>
      <c r="I49" s="14"/>
      <c r="J49" s="14">
        <f>SUM(J44:J48)</f>
        <v>9618.9599999999991</v>
      </c>
    </row>
    <row r="50" spans="1:10" s="1" customFormat="1" ht="25.5" hidden="1" customHeight="1" outlineLevel="1" x14ac:dyDescent="0.2">
      <c r="A50" s="2">
        <v>22</v>
      </c>
      <c r="B50" s="62" t="s">
        <v>122</v>
      </c>
      <c r="C50" s="3" t="s">
        <v>123</v>
      </c>
      <c r="D50" s="2" t="s">
        <v>124</v>
      </c>
      <c r="E50" s="47">
        <v>0.31001263121570999</v>
      </c>
      <c r="F50" s="9">
        <v>83</v>
      </c>
      <c r="G50" s="14">
        <f t="shared" ref="G50:G82" si="4">ROUND(F50*E50,2)</f>
        <v>25.73</v>
      </c>
      <c r="H50" s="46">
        <f t="shared" si="3"/>
        <v>1.8440478750089587E-2</v>
      </c>
      <c r="I50" s="14">
        <f>ROUND(F50*Прил.10!$D$12,2)</f>
        <v>667.32</v>
      </c>
      <c r="J50" s="14">
        <f t="shared" ref="J50:J82" si="5">ROUND(I50*E50,2)</f>
        <v>206.88</v>
      </c>
    </row>
    <row r="51" spans="1:10" s="1" customFormat="1" ht="25.5" hidden="1" customHeight="1" outlineLevel="1" x14ac:dyDescent="0.2">
      <c r="A51" s="2">
        <v>23</v>
      </c>
      <c r="B51" s="48" t="s">
        <v>125</v>
      </c>
      <c r="C51" s="3" t="s">
        <v>126</v>
      </c>
      <c r="D51" s="2" t="s">
        <v>127</v>
      </c>
      <c r="E51" s="47">
        <v>0.13000529696143001</v>
      </c>
      <c r="F51" s="9">
        <v>180</v>
      </c>
      <c r="G51" s="14">
        <f t="shared" si="4"/>
        <v>23.4</v>
      </c>
      <c r="H51" s="46">
        <f t="shared" si="3"/>
        <v>1.6770586970543969E-2</v>
      </c>
      <c r="I51" s="14">
        <f>ROUND(F51*Прил.10!$D$12,2)</f>
        <v>1447.2</v>
      </c>
      <c r="J51" s="14">
        <f t="shared" si="5"/>
        <v>188.14</v>
      </c>
    </row>
    <row r="52" spans="1:10" s="1" customFormat="1" ht="25.5" hidden="1" customHeight="1" outlineLevel="1" x14ac:dyDescent="0.2">
      <c r="A52" s="2">
        <v>24</v>
      </c>
      <c r="B52" s="48" t="s">
        <v>128</v>
      </c>
      <c r="C52" s="3" t="s">
        <v>129</v>
      </c>
      <c r="D52" s="2" t="s">
        <v>130</v>
      </c>
      <c r="E52" s="47">
        <v>19.240783950291</v>
      </c>
      <c r="F52" s="9">
        <v>1</v>
      </c>
      <c r="G52" s="14">
        <f t="shared" si="4"/>
        <v>19.239999999999998</v>
      </c>
      <c r="H52" s="46">
        <f t="shared" si="3"/>
        <v>1.3789149286891707E-2</v>
      </c>
      <c r="I52" s="14">
        <f>ROUND(F52*Прил.10!$D$12,2)</f>
        <v>8.0399999999999991</v>
      </c>
      <c r="J52" s="14">
        <f t="shared" si="5"/>
        <v>154.69999999999999</v>
      </c>
    </row>
    <row r="53" spans="1:10" s="1" customFormat="1" ht="25.5" hidden="1" customHeight="1" outlineLevel="1" x14ac:dyDescent="0.2">
      <c r="A53" s="2">
        <v>25</v>
      </c>
      <c r="B53" s="48" t="s">
        <v>131</v>
      </c>
      <c r="C53" s="3" t="s">
        <v>132</v>
      </c>
      <c r="D53" s="2" t="s">
        <v>121</v>
      </c>
      <c r="E53" s="47">
        <v>2.3202466278404E-4</v>
      </c>
      <c r="F53" s="9">
        <v>65750</v>
      </c>
      <c r="G53" s="14">
        <f t="shared" si="4"/>
        <v>15.26</v>
      </c>
      <c r="H53" s="46">
        <f t="shared" si="3"/>
        <v>1.0936716118397477E-2</v>
      </c>
      <c r="I53" s="14">
        <f>ROUND(F53*Прил.10!$D$12,2)</f>
        <v>528630</v>
      </c>
      <c r="J53" s="14">
        <f t="shared" si="5"/>
        <v>122.66</v>
      </c>
    </row>
    <row r="54" spans="1:10" s="1" customFormat="1" ht="38.25" hidden="1" customHeight="1" outlineLevel="1" x14ac:dyDescent="0.2">
      <c r="A54" s="2">
        <v>26</v>
      </c>
      <c r="B54" s="48" t="s">
        <v>133</v>
      </c>
      <c r="C54" s="3" t="s">
        <v>134</v>
      </c>
      <c r="D54" s="2" t="s">
        <v>121</v>
      </c>
      <c r="E54" s="47">
        <v>1.9997544579906999E-4</v>
      </c>
      <c r="F54" s="9">
        <v>75162.289999999994</v>
      </c>
      <c r="G54" s="14">
        <f t="shared" si="4"/>
        <v>15.03</v>
      </c>
      <c r="H54" s="46">
        <f t="shared" si="3"/>
        <v>1.077187701569555E-2</v>
      </c>
      <c r="I54" s="14">
        <f>ROUND(F54*Прил.10!$D$12,2)</f>
        <v>604304.81000000006</v>
      </c>
      <c r="J54" s="14">
        <f t="shared" si="5"/>
        <v>120.85</v>
      </c>
    </row>
    <row r="55" spans="1:10" s="1" customFormat="1" ht="38.25" hidden="1" customHeight="1" outlineLevel="1" x14ac:dyDescent="0.2">
      <c r="A55" s="2">
        <v>27</v>
      </c>
      <c r="B55" s="48" t="s">
        <v>135</v>
      </c>
      <c r="C55" s="3" t="s">
        <v>136</v>
      </c>
      <c r="D55" s="2" t="s">
        <v>137</v>
      </c>
      <c r="E55" s="47">
        <v>0.44408977397649002</v>
      </c>
      <c r="F55" s="9">
        <v>30.4</v>
      </c>
      <c r="G55" s="14">
        <f t="shared" si="4"/>
        <v>13.5</v>
      </c>
      <c r="H55" s="46">
        <f t="shared" si="3"/>
        <v>9.67533863685229E-3</v>
      </c>
      <c r="I55" s="14">
        <f>ROUND(F55*Прил.10!$D$12,2)</f>
        <v>244.42</v>
      </c>
      <c r="J55" s="14">
        <f t="shared" si="5"/>
        <v>108.54</v>
      </c>
    </row>
    <row r="56" spans="1:10" s="1" customFormat="1" ht="14.25" hidden="1" customHeight="1" outlineLevel="1" x14ac:dyDescent="0.2">
      <c r="A56" s="2">
        <v>28</v>
      </c>
      <c r="B56" s="48" t="s">
        <v>138</v>
      </c>
      <c r="C56" s="3" t="s">
        <v>139</v>
      </c>
      <c r="D56" s="2" t="s">
        <v>137</v>
      </c>
      <c r="E56" s="47">
        <v>8.0003259668569998E-2</v>
      </c>
      <c r="F56" s="9">
        <v>155</v>
      </c>
      <c r="G56" s="14">
        <f t="shared" si="4"/>
        <v>12.4</v>
      </c>
      <c r="H56" s="46">
        <f t="shared" si="3"/>
        <v>8.8869777108865483E-3</v>
      </c>
      <c r="I56" s="14">
        <f>ROUND(F56*Прил.10!$D$12,2)</f>
        <v>1246.2</v>
      </c>
      <c r="J56" s="14">
        <f t="shared" si="5"/>
        <v>99.7</v>
      </c>
    </row>
    <row r="57" spans="1:10" s="1" customFormat="1" ht="14.25" hidden="1" customHeight="1" outlineLevel="1" x14ac:dyDescent="0.2">
      <c r="A57" s="2">
        <v>29</v>
      </c>
      <c r="B57" s="48" t="s">
        <v>140</v>
      </c>
      <c r="C57" s="3" t="s">
        <v>141</v>
      </c>
      <c r="D57" s="2" t="s">
        <v>124</v>
      </c>
      <c r="E57" s="47">
        <v>5.0002037292856003E-2</v>
      </c>
      <c r="F57" s="9">
        <v>203</v>
      </c>
      <c r="G57" s="14">
        <f t="shared" si="4"/>
        <v>10.15</v>
      </c>
      <c r="H57" s="46">
        <f t="shared" si="3"/>
        <v>7.2744212714111666E-3</v>
      </c>
      <c r="I57" s="14">
        <f>ROUND(F57*Прил.10!$D$12,2)</f>
        <v>1632.12</v>
      </c>
      <c r="J57" s="14">
        <f t="shared" si="5"/>
        <v>81.61</v>
      </c>
    </row>
    <row r="58" spans="1:10" s="1" customFormat="1" ht="14.25" hidden="1" customHeight="1" outlineLevel="1" x14ac:dyDescent="0.2">
      <c r="A58" s="2">
        <v>30</v>
      </c>
      <c r="B58" s="48" t="s">
        <v>142</v>
      </c>
      <c r="C58" s="3" t="s">
        <v>143</v>
      </c>
      <c r="D58" s="2" t="s">
        <v>144</v>
      </c>
      <c r="E58" s="47">
        <v>1.3876376484916999</v>
      </c>
      <c r="F58" s="9">
        <v>6.9</v>
      </c>
      <c r="G58" s="14">
        <f t="shared" si="4"/>
        <v>9.57</v>
      </c>
      <c r="H58" s="46">
        <f t="shared" si="3"/>
        <v>6.858740055901957E-3</v>
      </c>
      <c r="I58" s="14">
        <f>ROUND(F58*Прил.10!$D$12,2)</f>
        <v>55.48</v>
      </c>
      <c r="J58" s="14">
        <f t="shared" si="5"/>
        <v>76.989999999999995</v>
      </c>
    </row>
    <row r="59" spans="1:10" s="1" customFormat="1" ht="14.25" hidden="1" customHeight="1" outlineLevel="1" x14ac:dyDescent="0.2">
      <c r="A59" s="2">
        <v>31</v>
      </c>
      <c r="B59" s="48" t="s">
        <v>145</v>
      </c>
      <c r="C59" s="3" t="s">
        <v>146</v>
      </c>
      <c r="D59" s="2" t="s">
        <v>121</v>
      </c>
      <c r="E59" s="47">
        <v>6.5006671170760998E-4</v>
      </c>
      <c r="F59" s="9">
        <v>12430</v>
      </c>
      <c r="G59" s="14">
        <f t="shared" si="4"/>
        <v>8.08</v>
      </c>
      <c r="H59" s="46">
        <f t="shared" si="3"/>
        <v>5.7908693470938152E-3</v>
      </c>
      <c r="I59" s="14">
        <f>ROUND(F59*Прил.10!$D$12,2)</f>
        <v>99937.2</v>
      </c>
      <c r="J59" s="14">
        <f t="shared" si="5"/>
        <v>64.97</v>
      </c>
    </row>
    <row r="60" spans="1:10" s="1" customFormat="1" ht="14.25" hidden="1" customHeight="1" outlineLevel="1" x14ac:dyDescent="0.2">
      <c r="A60" s="2">
        <v>32</v>
      </c>
      <c r="B60" s="48" t="s">
        <v>147</v>
      </c>
      <c r="C60" s="3" t="s">
        <v>148</v>
      </c>
      <c r="D60" s="2" t="s">
        <v>137</v>
      </c>
      <c r="E60" s="47">
        <v>0.69030880852165</v>
      </c>
      <c r="F60" s="9">
        <v>9.0399999999999991</v>
      </c>
      <c r="G60" s="14">
        <f t="shared" si="4"/>
        <v>6.24</v>
      </c>
      <c r="H60" s="46">
        <f t="shared" si="3"/>
        <v>4.4721565254783923E-3</v>
      </c>
      <c r="I60" s="14">
        <f>ROUND(F60*Прил.10!$D$12,2)</f>
        <v>72.680000000000007</v>
      </c>
      <c r="J60" s="14">
        <f t="shared" si="5"/>
        <v>50.17</v>
      </c>
    </row>
    <row r="61" spans="1:10" s="1" customFormat="1" ht="25.5" hidden="1" customHeight="1" outlineLevel="1" x14ac:dyDescent="0.2">
      <c r="A61" s="2">
        <v>33</v>
      </c>
      <c r="B61" s="48" t="s">
        <v>149</v>
      </c>
      <c r="C61" s="3" t="s">
        <v>150</v>
      </c>
      <c r="D61" s="2" t="s">
        <v>121</v>
      </c>
      <c r="E61" s="47">
        <v>4.8510623202573002E-4</v>
      </c>
      <c r="F61" s="9">
        <v>12606</v>
      </c>
      <c r="G61" s="14">
        <f t="shared" si="4"/>
        <v>6.12</v>
      </c>
      <c r="H61" s="46">
        <f t="shared" si="3"/>
        <v>4.3861535153730379E-3</v>
      </c>
      <c r="I61" s="14">
        <f>ROUND(F61*Прил.10!$D$12,2)</f>
        <v>101352.24</v>
      </c>
      <c r="J61" s="14">
        <f t="shared" si="5"/>
        <v>49.17</v>
      </c>
    </row>
    <row r="62" spans="1:10" s="1" customFormat="1" ht="38.25" hidden="1" customHeight="1" outlineLevel="1" x14ac:dyDescent="0.2">
      <c r="A62" s="2">
        <v>34</v>
      </c>
      <c r="B62" s="48" t="s">
        <v>151</v>
      </c>
      <c r="C62" s="3" t="s">
        <v>152</v>
      </c>
      <c r="D62" s="2" t="s">
        <v>121</v>
      </c>
      <c r="E62" s="47">
        <v>1.3994226392701999E-4</v>
      </c>
      <c r="F62" s="9">
        <v>37517</v>
      </c>
      <c r="G62" s="14">
        <f t="shared" si="4"/>
        <v>5.25</v>
      </c>
      <c r="H62" s="46">
        <f t="shared" si="3"/>
        <v>3.7626316921092239E-3</v>
      </c>
      <c r="I62" s="14">
        <f>ROUND(F62*Прил.10!$D$12,2)</f>
        <v>301636.68</v>
      </c>
      <c r="J62" s="14">
        <f t="shared" si="5"/>
        <v>42.21</v>
      </c>
    </row>
    <row r="63" spans="1:10" s="1" customFormat="1" ht="14.25" hidden="1" customHeight="1" outlineLevel="1" x14ac:dyDescent="0.2">
      <c r="A63" s="2">
        <v>35</v>
      </c>
      <c r="B63" s="48" t="s">
        <v>153</v>
      </c>
      <c r="C63" s="3" t="s">
        <v>154</v>
      </c>
      <c r="D63" s="2" t="s">
        <v>121</v>
      </c>
      <c r="E63" s="47">
        <v>3.4997403414951998E-4</v>
      </c>
      <c r="F63" s="9">
        <v>12430</v>
      </c>
      <c r="G63" s="14">
        <f t="shared" si="4"/>
        <v>4.3499999999999996</v>
      </c>
      <c r="H63" s="46">
        <f t="shared" si="3"/>
        <v>3.117609116319071E-3</v>
      </c>
      <c r="I63" s="14">
        <f>ROUND(F63*Прил.10!$D$12,2)</f>
        <v>99937.2</v>
      </c>
      <c r="J63" s="14">
        <f t="shared" si="5"/>
        <v>34.979999999999997</v>
      </c>
    </row>
    <row r="64" spans="1:10" s="1" customFormat="1" ht="14.25" hidden="1" customHeight="1" outlineLevel="1" x14ac:dyDescent="0.2">
      <c r="A64" s="2">
        <v>36</v>
      </c>
      <c r="B64" s="48" t="s">
        <v>155</v>
      </c>
      <c r="C64" s="3" t="s">
        <v>156</v>
      </c>
      <c r="D64" s="2" t="s">
        <v>137</v>
      </c>
      <c r="E64" s="47">
        <v>0.13881925962801001</v>
      </c>
      <c r="F64" s="9">
        <v>28.6</v>
      </c>
      <c r="G64" s="14">
        <f t="shared" si="4"/>
        <v>3.97</v>
      </c>
      <c r="H64" s="46">
        <f t="shared" si="3"/>
        <v>2.8452662509854515E-3</v>
      </c>
      <c r="I64" s="14">
        <f>ROUND(F64*Прил.10!$D$12,2)</f>
        <v>229.94</v>
      </c>
      <c r="J64" s="14">
        <f t="shared" si="5"/>
        <v>31.92</v>
      </c>
    </row>
    <row r="65" spans="1:10" s="1" customFormat="1" ht="14.25" hidden="1" customHeight="1" outlineLevel="1" x14ac:dyDescent="0.2">
      <c r="A65" s="2">
        <v>37</v>
      </c>
      <c r="B65" s="48" t="s">
        <v>157</v>
      </c>
      <c r="C65" s="3" t="s">
        <v>158</v>
      </c>
      <c r="D65" s="2" t="s">
        <v>121</v>
      </c>
      <c r="E65" s="47">
        <v>9.0050486458921004E-5</v>
      </c>
      <c r="F65" s="9">
        <v>42700.01</v>
      </c>
      <c r="G65" s="14">
        <f t="shared" si="4"/>
        <v>3.85</v>
      </c>
      <c r="H65" s="46">
        <f t="shared" si="3"/>
        <v>2.7592632408800976E-3</v>
      </c>
      <c r="I65" s="14">
        <f>ROUND(F65*Прил.10!$D$12,2)</f>
        <v>343308.08</v>
      </c>
      <c r="J65" s="14">
        <f t="shared" si="5"/>
        <v>30.92</v>
      </c>
    </row>
    <row r="66" spans="1:10" s="1" customFormat="1" ht="25.5" hidden="1" customHeight="1" outlineLevel="1" x14ac:dyDescent="0.2">
      <c r="A66" s="2">
        <v>38</v>
      </c>
      <c r="B66" s="48" t="s">
        <v>159</v>
      </c>
      <c r="C66" s="3" t="s">
        <v>160</v>
      </c>
      <c r="D66" s="2" t="s">
        <v>121</v>
      </c>
      <c r="E66" s="47">
        <v>2.9987213750311999E-5</v>
      </c>
      <c r="F66" s="9">
        <v>114220</v>
      </c>
      <c r="G66" s="14">
        <f t="shared" si="4"/>
        <v>3.43</v>
      </c>
      <c r="H66" s="46">
        <f t="shared" si="3"/>
        <v>2.4582527055113596E-3</v>
      </c>
      <c r="I66" s="14">
        <f>ROUND(F66*Прил.10!$D$12,2)</f>
        <v>918328.8</v>
      </c>
      <c r="J66" s="14">
        <f t="shared" si="5"/>
        <v>27.54</v>
      </c>
    </row>
    <row r="67" spans="1:10" s="1" customFormat="1" ht="38.25" hidden="1" customHeight="1" outlineLevel="1" x14ac:dyDescent="0.2">
      <c r="A67" s="2">
        <v>39</v>
      </c>
      <c r="B67" s="48" t="s">
        <v>161</v>
      </c>
      <c r="C67" s="3" t="s">
        <v>162</v>
      </c>
      <c r="D67" s="2" t="s">
        <v>137</v>
      </c>
      <c r="E67" s="47">
        <v>2.4976425358605999E-2</v>
      </c>
      <c r="F67" s="9">
        <v>91.29</v>
      </c>
      <c r="G67" s="14">
        <f t="shared" si="4"/>
        <v>2.2799999999999998</v>
      </c>
      <c r="H67" s="46">
        <f t="shared" si="3"/>
        <v>1.63405719200172E-3</v>
      </c>
      <c r="I67" s="14">
        <f>ROUND(F67*Прил.10!$D$12,2)</f>
        <v>733.97</v>
      </c>
      <c r="J67" s="14">
        <f t="shared" si="5"/>
        <v>18.329999999999998</v>
      </c>
    </row>
    <row r="68" spans="1:10" s="1" customFormat="1" ht="25.5" hidden="1" customHeight="1" outlineLevel="1" x14ac:dyDescent="0.2">
      <c r="A68" s="2">
        <v>40</v>
      </c>
      <c r="B68" s="48" t="s">
        <v>163</v>
      </c>
      <c r="C68" s="3" t="s">
        <v>164</v>
      </c>
      <c r="D68" s="2" t="s">
        <v>121</v>
      </c>
      <c r="E68" s="47">
        <v>2.0000814917143001E-4</v>
      </c>
      <c r="F68" s="9">
        <v>9800</v>
      </c>
      <c r="G68" s="14">
        <f t="shared" si="4"/>
        <v>1.96</v>
      </c>
      <c r="H68" s="46">
        <f t="shared" si="3"/>
        <v>1.4047158317207768E-3</v>
      </c>
      <c r="I68" s="14">
        <f>ROUND(F68*Прил.10!$D$12,2)</f>
        <v>78792</v>
      </c>
      <c r="J68" s="14">
        <f t="shared" si="5"/>
        <v>15.76</v>
      </c>
    </row>
    <row r="69" spans="1:10" s="1" customFormat="1" ht="14.25" hidden="1" customHeight="1" outlineLevel="1" x14ac:dyDescent="0.2">
      <c r="A69" s="2">
        <v>41</v>
      </c>
      <c r="B69" s="48" t="s">
        <v>165</v>
      </c>
      <c r="C69" s="3" t="s">
        <v>166</v>
      </c>
      <c r="D69" s="2" t="s">
        <v>137</v>
      </c>
      <c r="E69" s="47">
        <v>5.9981318059908001E-2</v>
      </c>
      <c r="F69" s="9">
        <v>28.26</v>
      </c>
      <c r="G69" s="14">
        <f t="shared" si="4"/>
        <v>1.7</v>
      </c>
      <c r="H69" s="46">
        <f t="shared" si="3"/>
        <v>1.2183759764925106E-3</v>
      </c>
      <c r="I69" s="14">
        <f>ROUND(F69*Прил.10!$D$12,2)</f>
        <v>227.21</v>
      </c>
      <c r="J69" s="14">
        <f t="shared" si="5"/>
        <v>13.63</v>
      </c>
    </row>
    <row r="70" spans="1:10" s="1" customFormat="1" ht="14.25" hidden="1" customHeight="1" outlineLevel="1" x14ac:dyDescent="0.2">
      <c r="A70" s="2">
        <v>42</v>
      </c>
      <c r="B70" s="48" t="s">
        <v>167</v>
      </c>
      <c r="C70" s="3" t="s">
        <v>168</v>
      </c>
      <c r="D70" s="2" t="s">
        <v>137</v>
      </c>
      <c r="E70" s="47">
        <v>9.2609744823537992E-3</v>
      </c>
      <c r="F70" s="9">
        <v>138.76</v>
      </c>
      <c r="G70" s="14">
        <f t="shared" si="4"/>
        <v>1.29</v>
      </c>
      <c r="H70" s="46">
        <f t="shared" si="3"/>
        <v>9.2453235863255219E-4</v>
      </c>
      <c r="I70" s="14">
        <f>ROUND(F70*Прил.10!$D$12,2)</f>
        <v>1115.6300000000001</v>
      </c>
      <c r="J70" s="14">
        <f t="shared" si="5"/>
        <v>10.33</v>
      </c>
    </row>
    <row r="71" spans="1:10" s="1" customFormat="1" ht="14.25" hidden="1" customHeight="1" outlineLevel="1" x14ac:dyDescent="0.2">
      <c r="A71" s="2">
        <v>43</v>
      </c>
      <c r="B71" s="48" t="s">
        <v>169</v>
      </c>
      <c r="C71" s="3" t="s">
        <v>170</v>
      </c>
      <c r="D71" s="2" t="s">
        <v>137</v>
      </c>
      <c r="E71" s="47">
        <v>2.5016968676627001E-2</v>
      </c>
      <c r="F71" s="9">
        <v>47.57</v>
      </c>
      <c r="G71" s="14">
        <f t="shared" si="4"/>
        <v>1.19</v>
      </c>
      <c r="H71" s="46">
        <f t="shared" si="3"/>
        <v>8.5286318354475734E-4</v>
      </c>
      <c r="I71" s="14">
        <f>ROUND(F71*Прил.10!$D$12,2)</f>
        <v>382.46</v>
      </c>
      <c r="J71" s="14">
        <f t="shared" si="5"/>
        <v>9.57</v>
      </c>
    </row>
    <row r="72" spans="1:10" s="1" customFormat="1" ht="14.25" hidden="1" customHeight="1" outlineLevel="1" x14ac:dyDescent="0.2">
      <c r="A72" s="2">
        <v>44</v>
      </c>
      <c r="B72" s="48" t="s">
        <v>171</v>
      </c>
      <c r="C72" s="3" t="s">
        <v>172</v>
      </c>
      <c r="D72" s="2" t="s">
        <v>137</v>
      </c>
      <c r="E72" s="47">
        <v>3.5085694370773003E-2</v>
      </c>
      <c r="F72" s="9">
        <v>28.93</v>
      </c>
      <c r="G72" s="14">
        <f t="shared" si="4"/>
        <v>1.02</v>
      </c>
      <c r="H72" s="46">
        <f t="shared" si="3"/>
        <v>7.3102558589550643E-4</v>
      </c>
      <c r="I72" s="14">
        <f>ROUND(F72*Прил.10!$D$12,2)</f>
        <v>232.6</v>
      </c>
      <c r="J72" s="14">
        <f t="shared" si="5"/>
        <v>8.16</v>
      </c>
    </row>
    <row r="73" spans="1:10" s="1" customFormat="1" ht="14.25" hidden="1" customHeight="1" outlineLevel="1" x14ac:dyDescent="0.2">
      <c r="A73" s="2">
        <v>45</v>
      </c>
      <c r="B73" s="48" t="s">
        <v>173</v>
      </c>
      <c r="C73" s="3" t="s">
        <v>174</v>
      </c>
      <c r="D73" s="2" t="s">
        <v>124</v>
      </c>
      <c r="E73" s="47">
        <v>2.5049776449332001E-2</v>
      </c>
      <c r="F73" s="9">
        <v>30.74</v>
      </c>
      <c r="G73" s="14">
        <f t="shared" si="4"/>
        <v>0.77</v>
      </c>
      <c r="H73" s="46">
        <f t="shared" si="3"/>
        <v>5.518526481760195E-4</v>
      </c>
      <c r="I73" s="14">
        <f>ROUND(F73*Прил.10!$D$12,2)</f>
        <v>247.15</v>
      </c>
      <c r="J73" s="14">
        <f t="shared" si="5"/>
        <v>6.19</v>
      </c>
    </row>
    <row r="74" spans="1:10" s="1" customFormat="1" ht="38.25" hidden="1" customHeight="1" outlineLevel="1" x14ac:dyDescent="0.2">
      <c r="A74" s="2">
        <v>46</v>
      </c>
      <c r="B74" s="48" t="s">
        <v>175</v>
      </c>
      <c r="C74" s="3" t="s">
        <v>176</v>
      </c>
      <c r="D74" s="2" t="s">
        <v>177</v>
      </c>
      <c r="E74" s="47">
        <v>1.5054158982378001E-3</v>
      </c>
      <c r="F74" s="9">
        <v>405.22</v>
      </c>
      <c r="G74" s="14">
        <f t="shared" si="4"/>
        <v>0.61</v>
      </c>
      <c r="H74" s="46">
        <f t="shared" si="3"/>
        <v>4.3718196803554791E-4</v>
      </c>
      <c r="I74" s="14">
        <f>ROUND(F74*Прил.10!$D$12,2)</f>
        <v>3257.97</v>
      </c>
      <c r="J74" s="14">
        <f t="shared" si="5"/>
        <v>4.9000000000000004</v>
      </c>
    </row>
    <row r="75" spans="1:10" s="1" customFormat="1" ht="14.25" hidden="1" customHeight="1" outlineLevel="1" x14ac:dyDescent="0.2">
      <c r="A75" s="2">
        <v>47</v>
      </c>
      <c r="B75" s="48" t="s">
        <v>178</v>
      </c>
      <c r="C75" s="3" t="s">
        <v>179</v>
      </c>
      <c r="D75" s="2" t="s">
        <v>137</v>
      </c>
      <c r="E75" s="47">
        <v>2.1630258521341001E-2</v>
      </c>
      <c r="F75" s="9">
        <v>27.74</v>
      </c>
      <c r="G75" s="14">
        <f t="shared" si="4"/>
        <v>0.6</v>
      </c>
      <c r="H75" s="46">
        <f t="shared" si="3"/>
        <v>4.3001505052676843E-4</v>
      </c>
      <c r="I75" s="14">
        <f>ROUND(F75*Прил.10!$D$12,2)</f>
        <v>223.03</v>
      </c>
      <c r="J75" s="14">
        <f t="shared" si="5"/>
        <v>4.82</v>
      </c>
    </row>
    <row r="76" spans="1:10" s="1" customFormat="1" ht="25.5" hidden="1" customHeight="1" outlineLevel="1" x14ac:dyDescent="0.2">
      <c r="A76" s="2">
        <v>48</v>
      </c>
      <c r="B76" s="48" t="s">
        <v>180</v>
      </c>
      <c r="C76" s="3" t="s">
        <v>181</v>
      </c>
      <c r="D76" s="2" t="s">
        <v>137</v>
      </c>
      <c r="E76" s="47">
        <v>1.4998177998694E-2</v>
      </c>
      <c r="F76" s="9">
        <v>38.340000000000003</v>
      </c>
      <c r="G76" s="14">
        <f t="shared" si="4"/>
        <v>0.57999999999999996</v>
      </c>
      <c r="H76" s="46">
        <f t="shared" si="3"/>
        <v>4.1568121550920948E-4</v>
      </c>
      <c r="I76" s="14">
        <f>ROUND(F76*Прил.10!$D$12,2)</f>
        <v>308.25</v>
      </c>
      <c r="J76" s="14">
        <f t="shared" si="5"/>
        <v>4.62</v>
      </c>
    </row>
    <row r="77" spans="1:10" s="1" customFormat="1" ht="25.5" hidden="1" customHeight="1" outlineLevel="1" x14ac:dyDescent="0.2">
      <c r="A77" s="2">
        <v>49</v>
      </c>
      <c r="B77" s="48" t="s">
        <v>182</v>
      </c>
      <c r="C77" s="3" t="s">
        <v>183</v>
      </c>
      <c r="D77" s="2" t="s">
        <v>137</v>
      </c>
      <c r="E77" s="47">
        <v>1.2942641324522001E-2</v>
      </c>
      <c r="F77" s="9">
        <v>39.020000000000003</v>
      </c>
      <c r="G77" s="14">
        <f t="shared" si="4"/>
        <v>0.51</v>
      </c>
      <c r="H77" s="46">
        <f t="shared" si="3"/>
        <v>3.6551279294775321E-4</v>
      </c>
      <c r="I77" s="14">
        <f>ROUND(F77*Прил.10!$D$12,2)</f>
        <v>313.72000000000003</v>
      </c>
      <c r="J77" s="14">
        <f t="shared" si="5"/>
        <v>4.0599999999999996</v>
      </c>
    </row>
    <row r="78" spans="1:10" s="1" customFormat="1" ht="25.5" hidden="1" customHeight="1" outlineLevel="1" x14ac:dyDescent="0.2">
      <c r="A78" s="2">
        <v>50</v>
      </c>
      <c r="B78" s="48" t="s">
        <v>184</v>
      </c>
      <c r="C78" s="3" t="s">
        <v>185</v>
      </c>
      <c r="D78" s="2" t="s">
        <v>121</v>
      </c>
      <c r="E78" s="47">
        <v>4.9965298103074999E-6</v>
      </c>
      <c r="F78" s="9">
        <v>68050</v>
      </c>
      <c r="G78" s="14">
        <f t="shared" si="4"/>
        <v>0.34</v>
      </c>
      <c r="H78" s="46">
        <f t="shared" si="3"/>
        <v>2.4367519529850214E-4</v>
      </c>
      <c r="I78" s="14">
        <f>ROUND(F78*Прил.10!$D$12,2)</f>
        <v>547122</v>
      </c>
      <c r="J78" s="14">
        <f t="shared" si="5"/>
        <v>2.73</v>
      </c>
    </row>
    <row r="79" spans="1:10" s="1" customFormat="1" ht="25.5" hidden="1" customHeight="1" outlineLevel="1" x14ac:dyDescent="0.2">
      <c r="A79" s="2">
        <v>51</v>
      </c>
      <c r="B79" s="48" t="s">
        <v>186</v>
      </c>
      <c r="C79" s="3" t="s">
        <v>187</v>
      </c>
      <c r="D79" s="2" t="s">
        <v>121</v>
      </c>
      <c r="E79" s="47">
        <v>1.2043846798760999E-5</v>
      </c>
      <c r="F79" s="9">
        <v>22419</v>
      </c>
      <c r="G79" s="14">
        <f t="shared" si="4"/>
        <v>0.27</v>
      </c>
      <c r="H79" s="46">
        <f t="shared" si="3"/>
        <v>1.9350677273704582E-4</v>
      </c>
      <c r="I79" s="14">
        <f>ROUND(F79*Прил.10!$D$12,2)</f>
        <v>180248.76</v>
      </c>
      <c r="J79" s="14">
        <f t="shared" si="5"/>
        <v>2.17</v>
      </c>
    </row>
    <row r="80" spans="1:10" s="1" customFormat="1" ht="14.25" hidden="1" customHeight="1" outlineLevel="1" x14ac:dyDescent="0.2">
      <c r="A80" s="2">
        <v>52</v>
      </c>
      <c r="B80" s="48" t="s">
        <v>188</v>
      </c>
      <c r="C80" s="3" t="s">
        <v>189</v>
      </c>
      <c r="D80" s="2" t="s">
        <v>121</v>
      </c>
      <c r="E80" s="47">
        <v>1.7809430291322999E-4</v>
      </c>
      <c r="F80" s="9">
        <v>729.98</v>
      </c>
      <c r="G80" s="14">
        <f t="shared" si="4"/>
        <v>0.13</v>
      </c>
      <c r="H80" s="46">
        <f t="shared" si="3"/>
        <v>9.3169927614133172E-5</v>
      </c>
      <c r="I80" s="14">
        <f>ROUND(F80*Прил.10!$D$12,2)</f>
        <v>5869.04</v>
      </c>
      <c r="J80" s="14">
        <f t="shared" si="5"/>
        <v>1.05</v>
      </c>
    </row>
    <row r="81" spans="1:10" s="1" customFormat="1" ht="14.25" hidden="1" customHeight="1" outlineLevel="1" x14ac:dyDescent="0.2">
      <c r="A81" s="2">
        <v>53</v>
      </c>
      <c r="B81" s="48" t="s">
        <v>190</v>
      </c>
      <c r="C81" s="3" t="s">
        <v>191</v>
      </c>
      <c r="D81" s="2" t="s">
        <v>137</v>
      </c>
      <c r="E81" s="47">
        <v>2.9470255093119002E-3</v>
      </c>
      <c r="F81" s="9">
        <v>35.630000000000003</v>
      </c>
      <c r="G81" s="14">
        <f t="shared" si="4"/>
        <v>0.11</v>
      </c>
      <c r="H81" s="46">
        <f t="shared" si="3"/>
        <v>7.8836092596574223E-5</v>
      </c>
      <c r="I81" s="14">
        <f>ROUND(F81*Прил.10!$D$12,2)</f>
        <v>286.47000000000003</v>
      </c>
      <c r="J81" s="14">
        <f t="shared" si="5"/>
        <v>0.84</v>
      </c>
    </row>
    <row r="82" spans="1:10" s="1" customFormat="1" ht="14.25" hidden="1" customHeight="1" outlineLevel="1" x14ac:dyDescent="0.2">
      <c r="A82" s="2">
        <v>54</v>
      </c>
      <c r="B82" s="48" t="s">
        <v>192</v>
      </c>
      <c r="C82" s="3" t="s">
        <v>193</v>
      </c>
      <c r="D82" s="2" t="s">
        <v>194</v>
      </c>
      <c r="E82" s="47">
        <v>2.4969961480408E-2</v>
      </c>
      <c r="F82" s="9">
        <v>0.4</v>
      </c>
      <c r="G82" s="14">
        <f t="shared" si="4"/>
        <v>0.01</v>
      </c>
      <c r="H82" s="46">
        <f t="shared" si="3"/>
        <v>7.1669175087794739E-6</v>
      </c>
      <c r="I82" s="14">
        <f>ROUND(F82*Прил.10!$D$12,2)</f>
        <v>3.22</v>
      </c>
      <c r="J82" s="14">
        <f t="shared" si="5"/>
        <v>0.08</v>
      </c>
    </row>
    <row r="83" spans="1:10" s="1" customFormat="1" ht="14.25" customHeight="1" collapsed="1" x14ac:dyDescent="0.2">
      <c r="A83" s="2"/>
      <c r="B83" s="2"/>
      <c r="C83" s="3" t="s">
        <v>270</v>
      </c>
      <c r="D83" s="2"/>
      <c r="E83" s="50"/>
      <c r="F83" s="4"/>
      <c r="G83" s="14">
        <f>SUM(G50:G82)</f>
        <v>198.94000000000005</v>
      </c>
      <c r="H83" s="46">
        <f>G83/G84</f>
        <v>0.1425786569196589</v>
      </c>
      <c r="I83" s="14"/>
      <c r="J83" s="14">
        <f>SUM(J50:J82)</f>
        <v>1599.19</v>
      </c>
    </row>
    <row r="84" spans="1:10" s="1" customFormat="1" ht="14.25" customHeight="1" x14ac:dyDescent="0.2">
      <c r="A84" s="2"/>
      <c r="B84" s="2"/>
      <c r="C84" s="5" t="s">
        <v>271</v>
      </c>
      <c r="D84" s="2"/>
      <c r="E84" s="50"/>
      <c r="F84" s="4"/>
      <c r="G84" s="14">
        <f>G49+G83</f>
        <v>1395.3</v>
      </c>
      <c r="H84" s="46">
        <v>1</v>
      </c>
      <c r="I84" s="4"/>
      <c r="J84" s="14">
        <f>J49+J83</f>
        <v>11218.15</v>
      </c>
    </row>
    <row r="85" spans="1:10" s="1" customFormat="1" ht="14.25" customHeight="1" x14ac:dyDescent="0.2">
      <c r="A85" s="2"/>
      <c r="B85" s="2"/>
      <c r="C85" s="3" t="s">
        <v>272</v>
      </c>
      <c r="D85" s="2"/>
      <c r="E85" s="50"/>
      <c r="F85" s="4"/>
      <c r="G85" s="14">
        <f>G14+G25+G84</f>
        <v>2427.7450879999997</v>
      </c>
      <c r="H85" s="46"/>
      <c r="I85" s="4"/>
      <c r="J85" s="14">
        <f>J14+J25+J84</f>
        <v>56606.91</v>
      </c>
    </row>
    <row r="86" spans="1:10" s="1" customFormat="1" ht="14.25" customHeight="1" x14ac:dyDescent="0.2">
      <c r="A86" s="2"/>
      <c r="B86" s="2"/>
      <c r="C86" s="3" t="s">
        <v>273</v>
      </c>
      <c r="D86" s="2" t="s">
        <v>274</v>
      </c>
      <c r="E86" s="56">
        <v>0.94</v>
      </c>
      <c r="F86" s="4"/>
      <c r="G86" s="14">
        <v>1818.61</v>
      </c>
      <c r="H86" s="46"/>
      <c r="I86" s="4"/>
      <c r="J86" s="14">
        <f>ROUND(E86*(J14+J16),2)</f>
        <v>42187.57</v>
      </c>
    </row>
    <row r="87" spans="1:10" s="1" customFormat="1" ht="14.25" customHeight="1" x14ac:dyDescent="0.2">
      <c r="A87" s="2"/>
      <c r="B87" s="2"/>
      <c r="C87" s="3" t="s">
        <v>275</v>
      </c>
      <c r="D87" s="2" t="s">
        <v>274</v>
      </c>
      <c r="E87" s="56">
        <v>0.49</v>
      </c>
      <c r="F87" s="4"/>
      <c r="G87" s="14">
        <v>961.74</v>
      </c>
      <c r="H87" s="46"/>
      <c r="I87" s="4"/>
      <c r="J87" s="14">
        <f>ROUND(E87*(J14+J16),2)</f>
        <v>21991.39</v>
      </c>
    </row>
    <row r="88" spans="1:10" s="1" customFormat="1" ht="14.25" customHeight="1" x14ac:dyDescent="0.2">
      <c r="A88" s="2"/>
      <c r="B88" s="2"/>
      <c r="C88" s="3" t="s">
        <v>276</v>
      </c>
      <c r="D88" s="2"/>
      <c r="E88" s="50"/>
      <c r="F88" s="4"/>
      <c r="G88" s="14">
        <f>G14+G25+G84+G86+G87</f>
        <v>5208.0950879999991</v>
      </c>
      <c r="H88" s="46"/>
      <c r="I88" s="4"/>
      <c r="J88" s="14">
        <f>J14+J25+J84+J86+J87</f>
        <v>120785.87000000001</v>
      </c>
    </row>
    <row r="89" spans="1:10" s="1" customFormat="1" ht="14.25" customHeight="1" x14ac:dyDescent="0.2">
      <c r="A89" s="2"/>
      <c r="B89" s="2"/>
      <c r="C89" s="3" t="s">
        <v>277</v>
      </c>
      <c r="D89" s="2"/>
      <c r="E89" s="50"/>
      <c r="F89" s="4"/>
      <c r="G89" s="14">
        <f>G88+G40</f>
        <v>48109.265088</v>
      </c>
      <c r="H89" s="46"/>
      <c r="I89" s="4"/>
      <c r="J89" s="14">
        <f>J88+J40</f>
        <v>389347.24</v>
      </c>
    </row>
    <row r="90" spans="1:10" s="1" customFormat="1" ht="14.25" customHeight="1" x14ac:dyDescent="0.2">
      <c r="A90" s="2"/>
      <c r="B90" s="2"/>
      <c r="C90" s="3" t="s">
        <v>231</v>
      </c>
      <c r="D90" s="2" t="s">
        <v>278</v>
      </c>
      <c r="E90" s="57">
        <v>1</v>
      </c>
      <c r="F90" s="4"/>
      <c r="G90" s="14">
        <f>G89/E90</f>
        <v>48109.265088</v>
      </c>
      <c r="H90" s="46"/>
      <c r="I90" s="4"/>
      <c r="J90" s="14">
        <f>J89/E90</f>
        <v>389347.24</v>
      </c>
    </row>
    <row r="92" spans="1:10" s="1" customFormat="1" ht="14.25" customHeight="1" x14ac:dyDescent="0.2">
      <c r="A92" s="10"/>
    </row>
    <row r="93" spans="1:10" s="1" customFormat="1" ht="14.25" customHeight="1" x14ac:dyDescent="0.2">
      <c r="A93" s="6" t="s">
        <v>31</v>
      </c>
    </row>
    <row r="94" spans="1:10" s="1" customFormat="1" ht="14.25" customHeight="1" x14ac:dyDescent="0.2">
      <c r="A94" s="61" t="s">
        <v>32</v>
      </c>
    </row>
    <row r="95" spans="1:10" s="1" customFormat="1" ht="14.25" customHeight="1" x14ac:dyDescent="0.2">
      <c r="A95" s="6"/>
    </row>
    <row r="96" spans="1:10" s="1" customFormat="1" ht="14.25" customHeight="1" x14ac:dyDescent="0.2">
      <c r="A96" s="6" t="s">
        <v>33</v>
      </c>
    </row>
    <row r="97" spans="1:1" s="1" customFormat="1" ht="14.25" customHeight="1" x14ac:dyDescent="0.2">
      <c r="A97" s="61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1"/>
  <sheetViews>
    <sheetView view="pageBreakPreview" topLeftCell="A16" workbookViewId="0">
      <selection activeCell="E27" sqref="E27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9" t="s">
        <v>279</v>
      </c>
      <c r="B1" s="149"/>
      <c r="C1" s="149"/>
      <c r="D1" s="149"/>
      <c r="E1" s="149"/>
      <c r="F1" s="149"/>
      <c r="G1" s="149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6" t="s">
        <v>280</v>
      </c>
      <c r="B5" s="126"/>
      <c r="C5" s="126"/>
      <c r="D5" s="126"/>
      <c r="E5" s="126"/>
      <c r="F5" s="126"/>
      <c r="G5" s="126"/>
    </row>
    <row r="6" spans="1:7" ht="64.5" customHeight="1" x14ac:dyDescent="0.25">
      <c r="A6" s="113" t="str">
        <f>'Прил.1 Сравнит табл'!B7</f>
        <v>Наименование разрабатываемого показателя УНЦ - Постоянная часть ПС, СКУД ПС 220 кВ</v>
      </c>
      <c r="B6" s="113"/>
      <c r="C6" s="113"/>
      <c r="D6" s="113"/>
      <c r="E6" s="113"/>
      <c r="F6" s="113"/>
      <c r="G6" s="113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50" t="s">
        <v>236</v>
      </c>
      <c r="B8" s="150" t="s">
        <v>53</v>
      </c>
      <c r="C8" s="150" t="s">
        <v>197</v>
      </c>
      <c r="D8" s="150" t="s">
        <v>55</v>
      </c>
      <c r="E8" s="130" t="s">
        <v>237</v>
      </c>
      <c r="F8" s="150" t="s">
        <v>57</v>
      </c>
      <c r="G8" s="150"/>
    </row>
    <row r="9" spans="1:7" x14ac:dyDescent="0.25">
      <c r="A9" s="150"/>
      <c r="B9" s="150"/>
      <c r="C9" s="150"/>
      <c r="D9" s="150"/>
      <c r="E9" s="131"/>
      <c r="F9" s="2" t="s">
        <v>240</v>
      </c>
      <c r="G9" s="2" t="s">
        <v>59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45" t="s">
        <v>281</v>
      </c>
      <c r="C11" s="146"/>
      <c r="D11" s="146"/>
      <c r="E11" s="146"/>
      <c r="F11" s="146"/>
      <c r="G11" s="147"/>
    </row>
    <row r="12" spans="1:7" ht="27" customHeight="1" x14ac:dyDescent="0.25">
      <c r="A12" s="2"/>
      <c r="B12" s="5"/>
      <c r="C12" s="3" t="s">
        <v>282</v>
      </c>
      <c r="D12" s="5"/>
      <c r="E12" s="8"/>
      <c r="F12" s="4"/>
      <c r="G12" s="4">
        <v>0</v>
      </c>
    </row>
    <row r="13" spans="1:7" x14ac:dyDescent="0.25">
      <c r="A13" s="2"/>
      <c r="B13" s="134" t="s">
        <v>283</v>
      </c>
      <c r="C13" s="134"/>
      <c r="D13" s="134"/>
      <c r="E13" s="148"/>
      <c r="F13" s="136"/>
      <c r="G13" s="136"/>
    </row>
    <row r="14" spans="1:7" ht="25.5" customHeight="1" x14ac:dyDescent="0.25">
      <c r="A14" s="2">
        <v>1</v>
      </c>
      <c r="B14" s="57" t="str">
        <f>'Прил.5 Расчет СМР и ОБ'!B28</f>
        <v>61.2.07.08-0002</v>
      </c>
      <c r="C14" s="82" t="str">
        <f>'Прил.5 Расчет СМР и ОБ'!C28</f>
        <v>Считыватель VinSonic для магнитных карт MSR-0101</v>
      </c>
      <c r="D14" s="57" t="str">
        <f>'Прил.5 Расчет СМР и ОБ'!D28</f>
        <v>10 шт</v>
      </c>
      <c r="E14" s="57">
        <f>'Прил.5 Расчет СМР и ОБ'!E28</f>
        <v>0.80001868630839001</v>
      </c>
      <c r="F14" s="14">
        <f>'Прил.5 Расчет СМР и ОБ'!F28</f>
        <v>19707.400000000001</v>
      </c>
      <c r="G14" s="14">
        <f t="shared" ref="G14:G23" si="0">ROUND(E14*F14,2)</f>
        <v>15766.29</v>
      </c>
    </row>
    <row r="15" spans="1:7" ht="25.5" customHeight="1" x14ac:dyDescent="0.25">
      <c r="A15" s="2">
        <v>2</v>
      </c>
      <c r="B15" s="57" t="str">
        <f>'Прил.5 Расчет СМР и ОБ'!B29</f>
        <v>62.4.02.01-0049</v>
      </c>
      <c r="C15" s="82" t="str">
        <f>'Прил.5 Расчет СМР и ОБ'!C29</f>
        <v>Источник бесперебойного питания: Delta N Series UPS</v>
      </c>
      <c r="D15" s="57" t="str">
        <f>'Прил.5 Расчет СМР и ОБ'!D29</f>
        <v>шт</v>
      </c>
      <c r="E15" s="107">
        <f>'Прил.5 Расчет СМР и ОБ'!E29</f>
        <v>2.5000584168904001</v>
      </c>
      <c r="F15" s="14">
        <f>'Прил.5 Расчет СМР и ОБ'!F29</f>
        <v>5415.89</v>
      </c>
      <c r="G15" s="14">
        <f t="shared" si="0"/>
        <v>13540.04</v>
      </c>
    </row>
    <row r="16" spans="1:7" ht="25.5" customHeight="1" x14ac:dyDescent="0.25">
      <c r="A16" s="2">
        <v>3</v>
      </c>
      <c r="B16" s="57" t="str">
        <f>'Прил.5 Расчет СМР и ОБ'!B30</f>
        <v>61.2.07.04-0004</v>
      </c>
      <c r="C16" s="82" t="str">
        <f>'Прил.5 Расчет СМР и ОБ'!C30</f>
        <v>Контроллер доступа, марка "С2000-2" исп. 01</v>
      </c>
      <c r="D16" s="57" t="str">
        <f>'Прил.5 Расчет СМР и ОБ'!D30</f>
        <v>шт</v>
      </c>
      <c r="E16" s="107">
        <f>'Прил.5 Расчет СМР и ОБ'!E30</f>
        <v>4.0000939676830001</v>
      </c>
      <c r="F16" s="14">
        <f>'Прил.5 Расчет СМР и ОБ'!F30</f>
        <v>575.80999999999995</v>
      </c>
      <c r="G16" s="14">
        <f t="shared" si="0"/>
        <v>2303.29</v>
      </c>
    </row>
    <row r="17" spans="1:7" ht="38.25" customHeight="1" x14ac:dyDescent="0.25">
      <c r="A17" s="2">
        <v>4</v>
      </c>
      <c r="B17" s="57" t="str">
        <f>'Прил.5 Расчет СМР и ОБ'!B32</f>
        <v>61.2.01.03-0019</v>
      </c>
      <c r="C17" s="82" t="str">
        <f>'Прил.5 Расчет СМР и ОБ'!C32</f>
        <v>Извещатель охранный инфракрасный пассивный: "Пирон-1", взрывозащитное исполнение</v>
      </c>
      <c r="D17" s="57" t="str">
        <f>'Прил.5 Расчет СМР и ОБ'!D32</f>
        <v>шт</v>
      </c>
      <c r="E17" s="107">
        <f>'Прил.5 Расчет СМР и ОБ'!E32</f>
        <v>1.5000346721157001</v>
      </c>
      <c r="F17" s="14">
        <f>'Прил.5 Расчет СМР и ОБ'!F32</f>
        <v>2122.7199999999998</v>
      </c>
      <c r="G17" s="14">
        <f t="shared" si="0"/>
        <v>3184.15</v>
      </c>
    </row>
    <row r="18" spans="1:7" ht="25.5" customHeight="1" x14ac:dyDescent="0.25">
      <c r="A18" s="2">
        <v>5</v>
      </c>
      <c r="B18" s="57" t="str">
        <f>'Прил.5 Расчет СМР и ОБ'!B33</f>
        <v>61.2.07.01-0011</v>
      </c>
      <c r="C18" s="82" t="str">
        <f>'Прил.5 Расчет СМР и ОБ'!C33</f>
        <v>Замок электромеханический горизонтальный NICE PLA 11</v>
      </c>
      <c r="D18" s="57" t="str">
        <f>'Прил.5 Расчет СМР и ОБ'!D33</f>
        <v>шт</v>
      </c>
      <c r="E18" s="107">
        <f>'Прил.5 Расчет СМР и ОБ'!E33</f>
        <v>3.5000823657387001</v>
      </c>
      <c r="F18" s="14">
        <f>'Прил.5 Расчет СМР и ОБ'!F33</f>
        <v>615.58000000000004</v>
      </c>
      <c r="G18" s="14">
        <f t="shared" si="0"/>
        <v>2154.58</v>
      </c>
    </row>
    <row r="19" spans="1:7" ht="38.25" customHeight="1" x14ac:dyDescent="0.25">
      <c r="A19" s="2">
        <v>6</v>
      </c>
      <c r="B19" s="57" t="str">
        <f>'Прил.5 Расчет СМР и ОБ'!B34</f>
        <v>61.2.01.03-0020</v>
      </c>
      <c r="C19" s="82" t="str">
        <f>'Прил.5 Расчет СМР и ОБ'!C34</f>
        <v>Извещатель охранный инфракрасный пассивный: "Пирон-1А", взрывозащитное исполнение</v>
      </c>
      <c r="D19" s="57" t="str">
        <f>'Прил.5 Расчет СМР и ОБ'!D34</f>
        <v>шт</v>
      </c>
      <c r="E19" s="107">
        <f>'Прил.5 Расчет СМР и ОБ'!E34</f>
        <v>1.0000231147437999</v>
      </c>
      <c r="F19" s="14">
        <f>'Прил.5 Расчет СМР и ОБ'!F34</f>
        <v>2122.7199999999998</v>
      </c>
      <c r="G19" s="14">
        <f t="shared" si="0"/>
        <v>2122.77</v>
      </c>
    </row>
    <row r="20" spans="1:7" ht="25.5" customHeight="1" x14ac:dyDescent="0.25">
      <c r="A20" s="2">
        <v>7</v>
      </c>
      <c r="B20" s="57" t="str">
        <f>'Прил.5 Расчет СМР и ОБ'!B35</f>
        <v>62.4.02.01-0075</v>
      </c>
      <c r="C20" s="82" t="str">
        <f>'Прил.5 Расчет СМР и ОБ'!C35</f>
        <v>Источник бесперебойного питания: СКАТ-1200У2</v>
      </c>
      <c r="D20" s="57" t="str">
        <f>'Прил.5 Расчет СМР и ОБ'!D35</f>
        <v>шт</v>
      </c>
      <c r="E20" s="107">
        <f>'Прил.5 Расчет СМР и ОБ'!E35</f>
        <v>0.50001162107628006</v>
      </c>
      <c r="F20" s="14">
        <f>'Прил.5 Расчет СМР и ОБ'!F35</f>
        <v>3451.57</v>
      </c>
      <c r="G20" s="14">
        <f t="shared" si="0"/>
        <v>1725.83</v>
      </c>
    </row>
    <row r="21" spans="1:7" ht="25.5" customHeight="1" x14ac:dyDescent="0.25">
      <c r="A21" s="2">
        <v>8</v>
      </c>
      <c r="B21" s="57" t="str">
        <f>'Прил.5 Расчет СМР и ОБ'!B36</f>
        <v>61.3.03.01-0002</v>
      </c>
      <c r="C21" s="82" t="str">
        <f>'Прил.5 Расчет СМР и ОБ'!C36</f>
        <v>Домофон многоабонентный "Мета ком-99" на 100 абонентов</v>
      </c>
      <c r="D21" s="57" t="str">
        <f>'Прил.5 Расчет СМР и ОБ'!D36</f>
        <v>шт</v>
      </c>
      <c r="E21" s="107">
        <f>'Прил.5 Расчет СМР и ОБ'!E36</f>
        <v>0.50001181772073999</v>
      </c>
      <c r="F21" s="14">
        <f>'Прил.5 Расчет СМР и ОБ'!F36</f>
        <v>2061.4</v>
      </c>
      <c r="G21" s="14">
        <f t="shared" si="0"/>
        <v>1030.72</v>
      </c>
    </row>
    <row r="22" spans="1:7" ht="25.5" customHeight="1" x14ac:dyDescent="0.25">
      <c r="A22" s="2">
        <v>9</v>
      </c>
      <c r="B22" s="57" t="str">
        <f>'Прил.5 Расчет СМР и ОБ'!B37</f>
        <v>61.2.01.05-0002</v>
      </c>
      <c r="C22" s="82" t="str">
        <f>'Прил.5 Расчет СМР и ОБ'!C37</f>
        <v>Извещатель охранный контактный: ДПМ-1-100</v>
      </c>
      <c r="D22" s="57" t="str">
        <f>'Прил.5 Расчет СМР и ОБ'!D37</f>
        <v>шт</v>
      </c>
      <c r="E22" s="107">
        <f>'Прил.5 Расчет СМР и ОБ'!E37</f>
        <v>3.5000753209575999</v>
      </c>
      <c r="F22" s="14">
        <f>'Прил.5 Расчет СМР и ОБ'!F37</f>
        <v>283.18</v>
      </c>
      <c r="G22" s="14">
        <f t="shared" si="0"/>
        <v>991.15</v>
      </c>
    </row>
    <row r="23" spans="1:7" ht="25.5" customHeight="1" x14ac:dyDescent="0.25">
      <c r="A23" s="2">
        <v>10</v>
      </c>
      <c r="B23" s="57" t="str">
        <f>'Прил.5 Расчет СМР и ОБ'!B38</f>
        <v>61.1.03.03-0001</v>
      </c>
      <c r="C23" s="82" t="str">
        <f>'Прил.5 Расчет СМР и ОБ'!C38</f>
        <v>Изделия домофона до 200 абонентских пультов</v>
      </c>
      <c r="D23" s="57" t="str">
        <f>'Прил.5 Расчет СМР и ОБ'!D38</f>
        <v>шт</v>
      </c>
      <c r="E23" s="107">
        <f>'Прил.5 Расчет СМР и ОБ'!E38</f>
        <v>0.50001137173304</v>
      </c>
      <c r="F23" s="14">
        <f>'Прил.5 Расчет СМР и ОБ'!F38</f>
        <v>164.69</v>
      </c>
      <c r="G23" s="14">
        <f t="shared" si="0"/>
        <v>82.35</v>
      </c>
    </row>
    <row r="24" spans="1:7" ht="25.5" customHeight="1" x14ac:dyDescent="0.25">
      <c r="A24" s="2"/>
      <c r="B24" s="12"/>
      <c r="C24" s="12" t="s">
        <v>284</v>
      </c>
      <c r="D24" s="12"/>
      <c r="E24" s="13"/>
      <c r="F24" s="4"/>
      <c r="G24" s="14">
        <f>SUM(G14:G23)</f>
        <v>42901.170000000006</v>
      </c>
    </row>
    <row r="25" spans="1:7" ht="19.5" customHeight="1" x14ac:dyDescent="0.25">
      <c r="A25" s="2"/>
      <c r="B25" s="3"/>
      <c r="C25" s="3" t="s">
        <v>285</v>
      </c>
      <c r="D25" s="3"/>
      <c r="E25" s="9"/>
      <c r="F25" s="4"/>
      <c r="G25" s="14">
        <f>G12+G24</f>
        <v>42901.170000000006</v>
      </c>
    </row>
    <row r="26" spans="1:7" x14ac:dyDescent="0.25">
      <c r="A26" s="10"/>
      <c r="B26" s="11"/>
      <c r="C26" s="10"/>
      <c r="D26" s="10"/>
      <c r="E26" s="10"/>
      <c r="F26" s="10"/>
      <c r="G26" s="10"/>
    </row>
    <row r="27" spans="1:7" x14ac:dyDescent="0.25">
      <c r="A27" s="6" t="s">
        <v>31</v>
      </c>
      <c r="B27" s="1"/>
      <c r="C27" s="1"/>
      <c r="D27" s="10"/>
      <c r="E27" s="10"/>
      <c r="F27" s="10"/>
      <c r="G27" s="10"/>
    </row>
    <row r="28" spans="1:7" x14ac:dyDescent="0.25">
      <c r="A28" s="61" t="s">
        <v>32</v>
      </c>
      <c r="B28" s="1"/>
      <c r="C28" s="1"/>
      <c r="D28" s="10"/>
      <c r="E28" s="10"/>
      <c r="F28" s="10"/>
      <c r="G28" s="10"/>
    </row>
    <row r="29" spans="1:7" x14ac:dyDescent="0.25">
      <c r="A29" s="6"/>
      <c r="B29" s="1"/>
      <c r="C29" s="1"/>
      <c r="D29" s="10"/>
      <c r="E29" s="10"/>
      <c r="F29" s="10"/>
      <c r="G29" s="10"/>
    </row>
    <row r="30" spans="1:7" x14ac:dyDescent="0.25">
      <c r="A30" s="6" t="s">
        <v>33</v>
      </c>
      <c r="B30" s="1"/>
      <c r="C30" s="1"/>
      <c r="D30" s="10"/>
      <c r="E30" s="10"/>
      <c r="F30" s="10"/>
      <c r="G30" s="10"/>
    </row>
    <row r="31" spans="1:7" x14ac:dyDescent="0.25">
      <c r="A31" s="61" t="s">
        <v>34</v>
      </c>
      <c r="B31" s="1"/>
      <c r="C31" s="1"/>
      <c r="D31" s="10"/>
      <c r="E31" s="10"/>
      <c r="F31" s="10"/>
      <c r="G31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5" sqref="D14:D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0"/>
      <c r="B1" s="60"/>
      <c r="C1" s="60"/>
      <c r="D1" s="60" t="s">
        <v>286</v>
      </c>
    </row>
    <row r="2" spans="1:4" ht="15.75" customHeight="1" x14ac:dyDescent="0.25">
      <c r="A2" s="60"/>
      <c r="B2" s="60"/>
      <c r="C2" s="60"/>
      <c r="D2" s="60"/>
    </row>
    <row r="3" spans="1:4" ht="15.75" customHeight="1" x14ac:dyDescent="0.25">
      <c r="A3" s="60"/>
      <c r="B3" s="101" t="s">
        <v>287</v>
      </c>
      <c r="C3" s="60"/>
      <c r="D3" s="60"/>
    </row>
    <row r="4" spans="1:4" ht="15.75" customHeight="1" x14ac:dyDescent="0.25">
      <c r="A4" s="60"/>
      <c r="B4" s="60"/>
      <c r="C4" s="60"/>
      <c r="D4" s="60"/>
    </row>
    <row r="5" spans="1:4" ht="31.5" customHeight="1" x14ac:dyDescent="0.25">
      <c r="A5" s="151" t="s">
        <v>288</v>
      </c>
      <c r="B5" s="151"/>
      <c r="C5" s="151"/>
      <c r="D5" s="102" t="str">
        <f>'Прил.5 Расчет СМР и ОБ'!D6:J6</f>
        <v>Постоянная часть ПС, СКУД ПС 220 кВ</v>
      </c>
    </row>
    <row r="6" spans="1:4" ht="15.75" customHeight="1" x14ac:dyDescent="0.25">
      <c r="A6" s="60" t="s">
        <v>5</v>
      </c>
      <c r="B6" s="60"/>
      <c r="C6" s="60"/>
      <c r="D6" s="60"/>
    </row>
    <row r="7" spans="1:4" ht="15.75" customHeight="1" x14ac:dyDescent="0.25">
      <c r="A7" s="60"/>
      <c r="B7" s="60"/>
      <c r="C7" s="60"/>
      <c r="D7" s="60"/>
    </row>
    <row r="8" spans="1:4" x14ac:dyDescent="0.25">
      <c r="A8" s="117" t="s">
        <v>289</v>
      </c>
      <c r="B8" s="117" t="s">
        <v>290</v>
      </c>
      <c r="C8" s="117" t="s">
        <v>291</v>
      </c>
      <c r="D8" s="117" t="s">
        <v>292</v>
      </c>
    </row>
    <row r="9" spans="1:4" x14ac:dyDescent="0.25">
      <c r="A9" s="117"/>
      <c r="B9" s="117"/>
      <c r="C9" s="117"/>
      <c r="D9" s="117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105" t="s">
        <v>293</v>
      </c>
      <c r="B11" s="105" t="s">
        <v>294</v>
      </c>
      <c r="C11" s="103" t="s">
        <v>295</v>
      </c>
      <c r="D11" s="104">
        <f>'Прил.4 РМ'!C41/1000</f>
        <v>442.71580999999998</v>
      </c>
    </row>
    <row r="13" spans="1:4" x14ac:dyDescent="0.25">
      <c r="A13" s="6" t="s">
        <v>296</v>
      </c>
      <c r="B13" s="1"/>
      <c r="C13" s="1"/>
      <c r="D13" s="10"/>
    </row>
    <row r="14" spans="1:4" x14ac:dyDescent="0.25">
      <c r="A14" s="61" t="s">
        <v>32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33</v>
      </c>
      <c r="B16" s="1"/>
      <c r="C16" s="1"/>
      <c r="D16" s="10"/>
    </row>
    <row r="17" spans="1:4" x14ac:dyDescent="0.25">
      <c r="A17" s="61" t="s">
        <v>34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14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1" t="s">
        <v>297</v>
      </c>
      <c r="C4" s="111"/>
      <c r="D4" s="111"/>
    </row>
    <row r="5" spans="2:5" ht="18.75" customHeight="1" x14ac:dyDescent="0.25">
      <c r="B5" s="35"/>
    </row>
    <row r="6" spans="2:5" ht="15.75" customHeight="1" x14ac:dyDescent="0.25">
      <c r="B6" s="112" t="s">
        <v>298</v>
      </c>
      <c r="C6" s="112"/>
      <c r="D6" s="112"/>
    </row>
    <row r="7" spans="2:5" x14ac:dyDescent="0.25">
      <c r="B7" s="152"/>
      <c r="C7" s="152"/>
      <c r="D7" s="152"/>
      <c r="E7" s="152"/>
    </row>
    <row r="8" spans="2:5" ht="47.25" customHeight="1" x14ac:dyDescent="0.25">
      <c r="B8" s="37" t="s">
        <v>299</v>
      </c>
      <c r="C8" s="37" t="s">
        <v>300</v>
      </c>
      <c r="D8" s="37" t="s">
        <v>301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302</v>
      </c>
      <c r="C10" s="37" t="s">
        <v>303</v>
      </c>
      <c r="D10" s="37">
        <v>44.29</v>
      </c>
    </row>
    <row r="11" spans="2:5" ht="31.5" customHeight="1" x14ac:dyDescent="0.25">
      <c r="B11" s="37" t="s">
        <v>304</v>
      </c>
      <c r="C11" s="37" t="s">
        <v>303</v>
      </c>
      <c r="D11" s="37">
        <v>13.47</v>
      </c>
    </row>
    <row r="12" spans="2:5" ht="31.5" customHeight="1" x14ac:dyDescent="0.25">
      <c r="B12" s="37" t="s">
        <v>305</v>
      </c>
      <c r="C12" s="37" t="s">
        <v>303</v>
      </c>
      <c r="D12" s="37">
        <v>8.0399999999999991</v>
      </c>
    </row>
    <row r="13" spans="2:5" ht="31.5" customHeight="1" x14ac:dyDescent="0.25">
      <c r="B13" s="37" t="s">
        <v>306</v>
      </c>
      <c r="C13" s="38" t="s">
        <v>307</v>
      </c>
      <c r="D13" s="37">
        <v>6.26</v>
      </c>
    </row>
    <row r="14" spans="2:5" ht="78.75" customHeight="1" x14ac:dyDescent="0.25">
      <c r="B14" s="37" t="s">
        <v>308</v>
      </c>
      <c r="C14" s="37" t="s">
        <v>309</v>
      </c>
      <c r="D14" s="39">
        <v>3.9E-2</v>
      </c>
    </row>
    <row r="15" spans="2:5" ht="78.75" customHeight="1" x14ac:dyDescent="0.25">
      <c r="B15" s="37" t="s">
        <v>310</v>
      </c>
      <c r="C15" s="37" t="s">
        <v>311</v>
      </c>
      <c r="D15" s="39">
        <v>2.1000000000000001E-2</v>
      </c>
    </row>
    <row r="16" spans="2:5" ht="15.75" customHeight="1" x14ac:dyDescent="0.25">
      <c r="B16" s="37" t="s">
        <v>221</v>
      </c>
      <c r="C16" s="37"/>
      <c r="D16" s="37" t="s">
        <v>312</v>
      </c>
    </row>
    <row r="17" spans="2:4" ht="31.5" customHeight="1" x14ac:dyDescent="0.25">
      <c r="B17" s="37" t="s">
        <v>313</v>
      </c>
      <c r="C17" s="37" t="s">
        <v>314</v>
      </c>
      <c r="D17" s="39">
        <v>2.1399999999999999E-2</v>
      </c>
    </row>
    <row r="18" spans="2:4" ht="31.5" customHeight="1" x14ac:dyDescent="0.25">
      <c r="B18" s="37" t="s">
        <v>227</v>
      </c>
      <c r="C18" s="37" t="s">
        <v>315</v>
      </c>
      <c r="D18" s="39">
        <v>2E-3</v>
      </c>
    </row>
    <row r="19" spans="2:4" ht="24" customHeight="1" x14ac:dyDescent="0.25">
      <c r="B19" s="37" t="s">
        <v>229</v>
      </c>
      <c r="C19" s="37" t="s">
        <v>316</v>
      </c>
      <c r="D19" s="39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31</v>
      </c>
      <c r="C26" s="1"/>
    </row>
    <row r="27" spans="2:4" x14ac:dyDescent="0.25">
      <c r="B27" s="61" t="s">
        <v>32</v>
      </c>
      <c r="C27" s="1"/>
    </row>
    <row r="28" spans="2:4" x14ac:dyDescent="0.25">
      <c r="B28" s="6"/>
      <c r="C28" s="1"/>
    </row>
    <row r="29" spans="2:4" x14ac:dyDescent="0.25">
      <c r="B29" s="6" t="s">
        <v>33</v>
      </c>
      <c r="C29" s="1"/>
    </row>
    <row r="30" spans="2:4" x14ac:dyDescent="0.25">
      <c r="B30" s="61" t="s">
        <v>34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53" t="s">
        <v>317</v>
      </c>
      <c r="B2" s="153"/>
      <c r="C2" s="153"/>
      <c r="D2" s="153"/>
      <c r="E2" s="153"/>
      <c r="F2" s="153"/>
    </row>
    <row r="4" spans="1:7" ht="18" customHeight="1" x14ac:dyDescent="0.25">
      <c r="A4" s="20" t="s">
        <v>318</v>
      </c>
    </row>
    <row r="5" spans="1:7" x14ac:dyDescent="0.25">
      <c r="A5" s="21" t="s">
        <v>236</v>
      </c>
      <c r="B5" s="21" t="s">
        <v>319</v>
      </c>
      <c r="C5" s="21" t="s">
        <v>320</v>
      </c>
      <c r="D5" s="21" t="s">
        <v>321</v>
      </c>
      <c r="E5" s="21" t="s">
        <v>322</v>
      </c>
      <c r="F5" s="21" t="s">
        <v>323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324</v>
      </c>
      <c r="B7" s="24" t="s">
        <v>325</v>
      </c>
      <c r="C7" s="23" t="s">
        <v>326</v>
      </c>
      <c r="D7" s="23" t="s">
        <v>327</v>
      </c>
      <c r="E7" s="25">
        <v>47872.94</v>
      </c>
      <c r="F7" s="24" t="s">
        <v>328</v>
      </c>
    </row>
    <row r="8" spans="1:7" ht="30" customHeight="1" x14ac:dyDescent="0.25">
      <c r="A8" s="22" t="s">
        <v>329</v>
      </c>
      <c r="B8" s="24" t="s">
        <v>330</v>
      </c>
      <c r="C8" s="23" t="s">
        <v>331</v>
      </c>
      <c r="D8" s="23" t="s">
        <v>332</v>
      </c>
      <c r="E8" s="25">
        <f>1973/12</f>
        <v>164.41666666667001</v>
      </c>
      <c r="F8" s="24" t="s">
        <v>333</v>
      </c>
      <c r="G8" s="26"/>
    </row>
    <row r="9" spans="1:7" x14ac:dyDescent="0.25">
      <c r="A9" s="22" t="s">
        <v>334</v>
      </c>
      <c r="B9" s="24" t="s">
        <v>335</v>
      </c>
      <c r="C9" s="23" t="s">
        <v>336</v>
      </c>
      <c r="D9" s="23" t="s">
        <v>327</v>
      </c>
      <c r="E9" s="25">
        <v>1</v>
      </c>
      <c r="F9" s="24"/>
      <c r="G9" s="27"/>
    </row>
    <row r="10" spans="1:7" x14ac:dyDescent="0.25">
      <c r="A10" s="22" t="s">
        <v>337</v>
      </c>
      <c r="B10" s="24" t="s">
        <v>338</v>
      </c>
      <c r="C10" s="23"/>
      <c r="D10" s="23"/>
      <c r="E10" s="28">
        <v>4.0999999999999996</v>
      </c>
      <c r="F10" s="24" t="s">
        <v>339</v>
      </c>
      <c r="G10" s="27"/>
    </row>
    <row r="11" spans="1:7" ht="75" customHeight="1" x14ac:dyDescent="0.25">
      <c r="A11" s="22" t="s">
        <v>340</v>
      </c>
      <c r="B11" s="24" t="s">
        <v>341</v>
      </c>
      <c r="C11" s="23" t="s">
        <v>342</v>
      </c>
      <c r="D11" s="23" t="s">
        <v>327</v>
      </c>
      <c r="E11" s="29">
        <v>1.359</v>
      </c>
      <c r="F11" s="24" t="s">
        <v>343</v>
      </c>
    </row>
    <row r="12" spans="1:7" ht="75" customHeight="1" x14ac:dyDescent="0.25">
      <c r="A12" s="22" t="s">
        <v>344</v>
      </c>
      <c r="B12" s="30" t="s">
        <v>345</v>
      </c>
      <c r="C12" s="23" t="s">
        <v>346</v>
      </c>
      <c r="D12" s="23" t="s">
        <v>327</v>
      </c>
      <c r="E12" s="31">
        <v>1.139</v>
      </c>
      <c r="F12" s="32" t="s">
        <v>347</v>
      </c>
      <c r="G12" s="27"/>
    </row>
    <row r="13" spans="1:7" ht="60" customHeight="1" x14ac:dyDescent="0.25">
      <c r="A13" s="22" t="s">
        <v>348</v>
      </c>
      <c r="B13" s="33" t="s">
        <v>349</v>
      </c>
      <c r="C13" s="23" t="s">
        <v>350</v>
      </c>
      <c r="D13" s="23" t="s">
        <v>351</v>
      </c>
      <c r="E13" s="34">
        <f>((E7*E9/E8)*E11)*E12</f>
        <v>450.69987855412</v>
      </c>
      <c r="F13" s="24" t="s">
        <v>352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2023-11-26T05:16:15Z</cp:lastPrinted>
  <dcterms:created xsi:type="dcterms:W3CDTF">2020-09-30T08:50:27Z</dcterms:created>
  <dcterms:modified xsi:type="dcterms:W3CDTF">2023-11-26T05:16:26Z</dcterms:modified>
  <cp:category/>
</cp:coreProperties>
</file>