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ya\Desktop\З1\35 кВ\"/>
    </mc:Choice>
  </mc:AlternateContent>
  <bookViews>
    <workbookView xWindow="-120" yWindow="-120" windowWidth="29040" windowHeight="15840" tabRatio="891" activeTab="1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" sheetId="7" r:id="rId7"/>
    <sheet name="Прил.10" sheetId="8" r:id="rId8"/>
    <sheet name="ФОТр.тек." sheetId="9" r:id="rId9"/>
  </sheets>
  <definedNames>
    <definedName name="\AUTOEXEC" localSheetId="4">#REF!</definedName>
    <definedName name="\AUTOEXEC" localSheetId="6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 localSheetId="6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 localSheetId="6">#REF!</definedName>
    <definedName name="______a2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 localSheetId="6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 localSheetId="6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 localSheetId="6">#REF!</definedName>
    <definedName name="_AUTOEXEC">#REF!</definedName>
    <definedName name="_def2000г" localSheetId="4">#REF!</definedName>
    <definedName name="_def2000г" localSheetId="6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 localSheetId="6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 localSheetId="6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 localSheetId="6">#REF!</definedName>
    <definedName name="_k">#REF!</definedName>
    <definedName name="_m" localSheetId="4">#REF!</definedName>
    <definedName name="_m">#REF!</definedName>
    <definedName name="_qs2" localSheetId="4">#REF!</definedName>
    <definedName name="_qs2" localSheetId="6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 localSheetId="6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 localSheetId="6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 localSheetId="6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 localSheetId="6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 localSheetId="6">#REF!</definedName>
    <definedName name="Criteria">#REF!</definedName>
    <definedName name="cvtnf" localSheetId="6">#REF!</definedName>
    <definedName name="cvtnf">#REF!</definedName>
    <definedName name="d" localSheetId="4">#REF!</definedName>
    <definedName name="d" localSheetId="6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 localSheetId="6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 localSheetId="6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6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 localSheetId="6">#REF!</definedName>
    <definedName name="htvjyn">#REF!</definedName>
    <definedName name="i" localSheetId="4">#REF!</definedName>
    <definedName name="i" localSheetId="6">#REF!</definedName>
    <definedName name="i">#REF!</definedName>
    <definedName name="iii" localSheetId="4">#REF!</definedName>
    <definedName name="iii" localSheetId="6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 localSheetId="6">#REF!</definedName>
    <definedName name="Itog">#REF!</definedName>
    <definedName name="jkjhggh" localSheetId="4">#REF!</definedName>
    <definedName name="jkjhggh" localSheetId="6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4">#REF!</definedName>
    <definedName name="KPlan" localSheetId="6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IF(Прил.7!n_3=1,Прил.7!n_2,Прил.7!n_3&amp;Прил.7!n_1)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IF(Прил.7!n_3=1,Прил.7!n_2,Прил.7!n_3&amp;Прил.7!n_5)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 localSheetId="6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 localSheetId="6">#REF!</definedName>
    <definedName name="oppp">#REF!</definedName>
    <definedName name="pp" localSheetId="4">#REF!</definedName>
    <definedName name="pp" localSheetId="6">#REF!</definedName>
    <definedName name="pp">#REF!</definedName>
    <definedName name="Print_Area" localSheetId="4">#REF!</definedName>
    <definedName name="Print_Area" localSheetId="6">#REF!</definedName>
    <definedName name="Print_Area">#REF!</definedName>
    <definedName name="propis" localSheetId="4">#REF!</definedName>
    <definedName name="propis" localSheetId="6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 localSheetId="6">#REF!</definedName>
    <definedName name="rrrrrr">#REF!</definedName>
    <definedName name="rtyrty" localSheetId="4">#REF!</definedName>
    <definedName name="rtyrty" localSheetId="6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 localSheetId="6">#REF!</definedName>
    <definedName name="SD_DC">#REF!</definedName>
    <definedName name="SDDsfd" localSheetId="4">#REF!</definedName>
    <definedName name="SDDsfd" localSheetId="6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 localSheetId="6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 localSheetId="6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 localSheetId="6">#REF!</definedName>
    <definedName name="Status">#REF!</definedName>
    <definedName name="SUM_" localSheetId="4">#REF!</definedName>
    <definedName name="SUM_" localSheetId="6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 localSheetId="6">#REF!</definedName>
    <definedName name="ttt">#REF!</definedName>
    <definedName name="ujl" localSheetId="4">#REF!</definedName>
    <definedName name="ujl" localSheetId="6">#REF!</definedName>
    <definedName name="ujl">#REF!</definedName>
    <definedName name="USA_1" localSheetId="4">#REF!</definedName>
    <definedName name="USA_1" localSheetId="6">#REF!</definedName>
    <definedName name="USA_1">#REF!</definedName>
    <definedName name="v" localSheetId="4">#REF!</definedName>
    <definedName name="v" localSheetId="6">#REF!</definedName>
    <definedName name="v">#REF!</definedName>
    <definedName name="VH" localSheetId="4">#REF!</definedName>
    <definedName name="VH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 localSheetId="6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 localSheetId="6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 localSheetId="6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 localSheetId="6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 localSheetId="6">#REF!</definedName>
    <definedName name="анол">#REF!</definedName>
    <definedName name="аода" localSheetId="4">#REF!</definedName>
    <definedName name="аода" localSheetId="6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 localSheetId="6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 localSheetId="6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 localSheetId="6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 localSheetId="6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 localSheetId="6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 localSheetId="6">#REF!</definedName>
    <definedName name="аыпрыпр">#REF!</definedName>
    <definedName name="б" localSheetId="4">#REF!</definedName>
    <definedName name="б" localSheetId="6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 localSheetId="6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 localSheetId="6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 localSheetId="6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 localSheetId="6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 localSheetId="6">#REF!</definedName>
    <definedName name="варо">#REF!</definedName>
    <definedName name="вб">#REF!</definedName>
    <definedName name="ввв" localSheetId="4">#REF!</definedName>
    <definedName name="ввв" localSheetId="6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 localSheetId="6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 localSheetId="6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4">#REF!</definedName>
    <definedName name="внеове" localSheetId="6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 localSheetId="6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 localSheetId="6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 localSheetId="6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 localSheetId="6">#REF!</definedName>
    <definedName name="ГАП">#REF!</definedName>
    <definedName name="гелог" localSheetId="4">#REF!</definedName>
    <definedName name="гелог" localSheetId="6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 localSheetId="6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 localSheetId="6">#REF!</definedName>
    <definedName name="гидро1">#REF!</definedName>
    <definedName name="гидро5" localSheetId="4">#REF!</definedName>
    <definedName name="гидро5" localSheetId="6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 localSheetId="6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 localSheetId="6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 localSheetId="6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6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6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 localSheetId="6">#REF!</definedName>
    <definedName name="Дефлятор1">#REF!</definedName>
    <definedName name="диапазон" localSheetId="4">#REF!</definedName>
    <definedName name="диапазон" localSheetId="6">#REF!</definedName>
    <definedName name="диапазон">#REF!</definedName>
    <definedName name="Диск" localSheetId="4">#REF!</definedName>
    <definedName name="Диск" localSheetId="6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6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 localSheetId="6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 localSheetId="6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 localSheetId="6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6">#REF!</definedName>
    <definedName name="ж" localSheetId="8">#REF!</definedName>
    <definedName name="ж">#REF!</definedName>
    <definedName name="жжж" localSheetId="4">#REF!</definedName>
    <definedName name="жжж" localSheetId="6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 localSheetId="6">#REF!</definedName>
    <definedName name="Заказчик">#REF!</definedName>
    <definedName name="Зел">#REF!</definedName>
    <definedName name="зждзд" localSheetId="4">#REF!</definedName>
    <definedName name="зждзд" localSheetId="6">#REF!</definedName>
    <definedName name="зждзд">#REF!</definedName>
    <definedName name="зз" localSheetId="4">#REF!</definedName>
    <definedName name="зз" localSheetId="6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 localSheetId="6">#REF!</definedName>
    <definedName name="ЗИП_Всего_1">#REF!</definedName>
    <definedName name="зит">#REF!</definedName>
    <definedName name="зощр" localSheetId="4">#REF!</definedName>
    <definedName name="зощр" localSheetId="6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 localSheetId="6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 localSheetId="6">#REF!</definedName>
    <definedName name="Ини">#REF!</definedName>
    <definedName name="инфл" localSheetId="4">#REF!</definedName>
    <definedName name="инфл" localSheetId="6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йцу" localSheetId="4">#REF!</definedName>
    <definedName name="йцу" localSheetId="6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 localSheetId="6">#REF!</definedName>
    <definedName name="КВАРТАЛ2">#REF!</definedName>
    <definedName name="кгкг" localSheetId="4">#REF!</definedName>
    <definedName name="кгкг" localSheetId="6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 localSheetId="6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 localSheetId="6">#REF!</definedName>
    <definedName name="комплект">#REF!</definedName>
    <definedName name="конкурс" localSheetId="4">#REF!</definedName>
    <definedName name="конкурс" localSheetId="6">#REF!</definedName>
    <definedName name="конкурс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4">#REF!</definedName>
    <definedName name="КОЭФ3" localSheetId="6">#REF!</definedName>
    <definedName name="КОЭФ3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 localSheetId="6">#REF!</definedName>
    <definedName name="_xlnm.Criteria">#REF!</definedName>
    <definedName name="Крп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 localSheetId="6">#REF!</definedName>
    <definedName name="М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 localSheetId="6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 localSheetId="6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 localSheetId="6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 localSheetId="6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 localSheetId="6">#REF!</definedName>
    <definedName name="нер">#REF!</definedName>
    <definedName name="нес2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6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 localSheetId="6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 localSheetId="6">#REF!</definedName>
    <definedName name="о">#REF!</definedName>
    <definedName name="об" localSheetId="4">#REF!</definedName>
    <definedName name="об" localSheetId="6">#REF!</definedName>
    <definedName name="об">#REF!</definedName>
    <definedName name="обл">#REF!</definedName>
    <definedName name="_xlnm.Print_Area" localSheetId="2">Прил.3!$A$1:$H$82</definedName>
    <definedName name="_xlnm.Print_Area" localSheetId="3">'Прил.4 РМ'!$A$1:$E$48</definedName>
    <definedName name="_xlnm.Print_Area" localSheetId="4">'Прил.5 Расчет СМР и ОБ'!$A$1:$J$97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 localSheetId="6">#REF!</definedName>
    <definedName name="окн">#REF!</definedName>
    <definedName name="ол" localSheetId="4">#REF!</definedName>
    <definedName name="ол" localSheetId="6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 localSheetId="6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 localSheetId="6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 localSheetId="6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 localSheetId="6">#REF!</definedName>
    <definedName name="пл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 localSheetId="6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 localSheetId="6">#REF!</definedName>
    <definedName name="пов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 localSheetId="6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 localSheetId="6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 localSheetId="6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4">#REF!</definedName>
    <definedName name="прпр_1" localSheetId="6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 localSheetId="6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 localSheetId="6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 localSheetId="6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фровка" localSheetId="6">#REF!</definedName>
    <definedName name="Расшифровка">#REF!</definedName>
    <definedName name="рбтмь" localSheetId="4">#REF!</definedName>
    <definedName name="рбтмь" localSheetId="6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 localSheetId="6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 localSheetId="6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 localSheetId="6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 localSheetId="6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 localSheetId="6">#REF!</definedName>
    <definedName name="Сводка">#REF!</definedName>
    <definedName name="СДП">#REF!</definedName>
    <definedName name="се">#REF!</definedName>
    <definedName name="сев" localSheetId="4">#REF!</definedName>
    <definedName name="сев" localSheetId="6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 localSheetId="6">#REF!</definedName>
    <definedName name="Сегодня">#REF!</definedName>
    <definedName name="Семь" localSheetId="4">#REF!</definedName>
    <definedName name="Семь" localSheetId="6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лБелг" localSheetId="4">#REF!</definedName>
    <definedName name="СлБелг" localSheetId="6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 localSheetId="6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 localSheetId="6">#REF!</definedName>
    <definedName name="См7">#REF!</definedName>
    <definedName name="смета" localSheetId="4">#REF!</definedName>
    <definedName name="смета" localSheetId="6">#REF!</definedName>
    <definedName name="смета">#REF!</definedName>
    <definedName name="Смета_2">#REF!</definedName>
    <definedName name="смета1" localSheetId="4">#REF!</definedName>
    <definedName name="смета1" localSheetId="6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 localSheetId="6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 localSheetId="6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 localSheetId="6">#REF!</definedName>
    <definedName name="т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 localSheetId="6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 localSheetId="6">#REF!</definedName>
    <definedName name="Ф5.1">#REF!</definedName>
    <definedName name="Ф91" localSheetId="4">#REF!</definedName>
    <definedName name="Ф91" localSheetId="6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 localSheetId="6">#REF!</definedName>
    <definedName name="фукек">#REF!</definedName>
    <definedName name="ффггг" localSheetId="4">#REF!</definedName>
    <definedName name="ффггг" localSheetId="6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 localSheetId="6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 localSheetId="6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 localSheetId="6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 localSheetId="6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 localSheetId="6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 localSheetId="6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6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 localSheetId="6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>#REF!</definedName>
    <definedName name="ЭлеСи_1" localSheetId="4">#REF!</definedName>
    <definedName name="ЭлеСи_1" localSheetId="6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6">#REF!</definedName>
    <definedName name="юююю" localSheetId="8">#REF!</definedName>
    <definedName name="юююю">#REF!</definedName>
    <definedName name="яапт" localSheetId="4">#REF!</definedName>
    <definedName name="яапт" localSheetId="6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18" i="1"/>
  <c r="J14" i="2"/>
  <c r="H14" i="2"/>
  <c r="F14" i="2"/>
  <c r="D17" i="1" l="1"/>
  <c r="D23" i="1" s="1"/>
  <c r="D24" i="1" s="1"/>
  <c r="G13" i="5"/>
  <c r="G16" i="5" l="1"/>
  <c r="E8" i="9" l="1"/>
  <c r="E13" i="9" s="1"/>
  <c r="I13" i="5" s="1"/>
  <c r="J13" i="5" s="1"/>
  <c r="J14" i="5" s="1"/>
  <c r="D5" i="7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G18" i="6" s="1"/>
  <c r="D18" i="6"/>
  <c r="C18" i="6"/>
  <c r="B18" i="6"/>
  <c r="F17" i="6"/>
  <c r="E17" i="6"/>
  <c r="D17" i="6"/>
  <c r="C17" i="6"/>
  <c r="B17" i="6"/>
  <c r="F16" i="6"/>
  <c r="E16" i="6"/>
  <c r="G16" i="6" s="1"/>
  <c r="D16" i="6"/>
  <c r="C16" i="6"/>
  <c r="B16" i="6"/>
  <c r="F15" i="6"/>
  <c r="E15" i="6"/>
  <c r="D15" i="6"/>
  <c r="C15" i="6"/>
  <c r="B15" i="6"/>
  <c r="F14" i="6"/>
  <c r="E14" i="6"/>
  <c r="G14" i="6" s="1"/>
  <c r="D14" i="6"/>
  <c r="C14" i="6"/>
  <c r="B14" i="6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I51" i="5"/>
  <c r="J51" i="5" s="1"/>
  <c r="G51" i="5"/>
  <c r="I50" i="5"/>
  <c r="J50" i="5" s="1"/>
  <c r="G50" i="5"/>
  <c r="I48" i="5"/>
  <c r="J48" i="5" s="1"/>
  <c r="G48" i="5"/>
  <c r="I47" i="5"/>
  <c r="J47" i="5" s="1"/>
  <c r="G47" i="5"/>
  <c r="I46" i="5"/>
  <c r="J46" i="5" s="1"/>
  <c r="G46" i="5"/>
  <c r="I45" i="5"/>
  <c r="J45" i="5" s="1"/>
  <c r="G45" i="5"/>
  <c r="I44" i="5"/>
  <c r="J44" i="5" s="1"/>
  <c r="G44" i="5"/>
  <c r="I38" i="5"/>
  <c r="J38" i="5" s="1"/>
  <c r="G38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0" i="5"/>
  <c r="J30" i="5" s="1"/>
  <c r="G30" i="5"/>
  <c r="I29" i="5"/>
  <c r="J29" i="5" s="1"/>
  <c r="G29" i="5"/>
  <c r="I28" i="5"/>
  <c r="J28" i="5" s="1"/>
  <c r="G28" i="5"/>
  <c r="I23" i="5"/>
  <c r="J23" i="5" s="1"/>
  <c r="G23" i="5"/>
  <c r="I22" i="5"/>
  <c r="J22" i="5" s="1"/>
  <c r="G22" i="5"/>
  <c r="I20" i="5"/>
  <c r="J20" i="5" s="1"/>
  <c r="G20" i="5"/>
  <c r="I19" i="5"/>
  <c r="J19" i="5" s="1"/>
  <c r="G19" i="5"/>
  <c r="I16" i="5"/>
  <c r="J16" i="5" s="1"/>
  <c r="C15" i="4" s="1"/>
  <c r="A7" i="5"/>
  <c r="B8" i="4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4" i="3"/>
  <c r="H33" i="3"/>
  <c r="H32" i="3"/>
  <c r="H31" i="3"/>
  <c r="H30" i="3"/>
  <c r="H29" i="3"/>
  <c r="H28" i="3"/>
  <c r="H27" i="3"/>
  <c r="H26" i="3"/>
  <c r="H25" i="3"/>
  <c r="H23" i="3"/>
  <c r="H22" i="3"/>
  <c r="H21" i="3"/>
  <c r="H20" i="3"/>
  <c r="H17" i="3"/>
  <c r="F17" i="3"/>
  <c r="H16" i="3"/>
  <c r="H15" i="3"/>
  <c r="H14" i="3"/>
  <c r="H13" i="3"/>
  <c r="H12" i="3"/>
  <c r="H11" i="3"/>
  <c r="F10" i="3"/>
  <c r="B7" i="2"/>
  <c r="B6" i="2" l="1"/>
  <c r="A6" i="6"/>
  <c r="A5" i="3"/>
  <c r="B7" i="4"/>
  <c r="G22" i="6"/>
  <c r="H24" i="3"/>
  <c r="H35" i="3"/>
  <c r="H19" i="3"/>
  <c r="H10" i="3"/>
  <c r="J49" i="5"/>
  <c r="C16" i="4" s="1"/>
  <c r="G21" i="6"/>
  <c r="G15" i="6"/>
  <c r="G19" i="6"/>
  <c r="G20" i="6"/>
  <c r="J83" i="5"/>
  <c r="C17" i="4" s="1"/>
  <c r="J31" i="5"/>
  <c r="J39" i="5"/>
  <c r="G17" i="6"/>
  <c r="G23" i="6"/>
  <c r="J24" i="5"/>
  <c r="C13" i="4" s="1"/>
  <c r="G39" i="5"/>
  <c r="G49" i="5"/>
  <c r="G83" i="5"/>
  <c r="G31" i="5"/>
  <c r="J21" i="5"/>
  <c r="G24" i="5"/>
  <c r="G21" i="5"/>
  <c r="C11" i="4"/>
  <c r="C18" i="4" l="1"/>
  <c r="J40" i="5"/>
  <c r="C25" i="4" s="1"/>
  <c r="J84" i="5"/>
  <c r="G24" i="6"/>
  <c r="G41" i="5" s="1"/>
  <c r="E14" i="5"/>
  <c r="G14" i="5"/>
  <c r="H13" i="5" s="1"/>
  <c r="J25" i="5"/>
  <c r="J85" i="5" s="1"/>
  <c r="C12" i="4"/>
  <c r="C14" i="4" s="1"/>
  <c r="C19" i="4" s="1"/>
  <c r="G84" i="5"/>
  <c r="G40" i="5"/>
  <c r="H31" i="5" s="1"/>
  <c r="G25" i="6"/>
  <c r="G25" i="5"/>
  <c r="C23" i="4" l="1"/>
  <c r="C22" i="4" s="1"/>
  <c r="C21" i="4"/>
  <c r="C20" i="4" s="1"/>
  <c r="J87" i="5"/>
  <c r="H48" i="5"/>
  <c r="H44" i="5"/>
  <c r="H47" i="5"/>
  <c r="H46" i="5"/>
  <c r="H45" i="5"/>
  <c r="H57" i="5"/>
  <c r="H52" i="5"/>
  <c r="H76" i="5"/>
  <c r="H65" i="5"/>
  <c r="H64" i="5"/>
  <c r="H59" i="5"/>
  <c r="H58" i="5"/>
  <c r="H74" i="5"/>
  <c r="H62" i="5"/>
  <c r="H69" i="5"/>
  <c r="H79" i="5"/>
  <c r="H51" i="5"/>
  <c r="H50" i="5"/>
  <c r="H82" i="5"/>
  <c r="H72" i="5"/>
  <c r="H56" i="5"/>
  <c r="H71" i="5"/>
  <c r="H70" i="5"/>
  <c r="H61" i="5"/>
  <c r="H60" i="5"/>
  <c r="H75" i="5"/>
  <c r="H73" i="5"/>
  <c r="H80" i="5"/>
  <c r="H63" i="5"/>
  <c r="H49" i="5"/>
  <c r="H78" i="5"/>
  <c r="H68" i="5"/>
  <c r="H77" i="5"/>
  <c r="H67" i="5"/>
  <c r="H66" i="5"/>
  <c r="H81" i="5"/>
  <c r="H53" i="5"/>
  <c r="H55" i="5"/>
  <c r="H54" i="5"/>
  <c r="H83" i="5"/>
  <c r="J41" i="5"/>
  <c r="C26" i="4" s="1"/>
  <c r="H41" i="5"/>
  <c r="H36" i="5"/>
  <c r="H32" i="5"/>
  <c r="H38" i="5"/>
  <c r="H37" i="5"/>
  <c r="H35" i="5"/>
  <c r="H34" i="5"/>
  <c r="H33" i="5"/>
  <c r="H30" i="5"/>
  <c r="H28" i="5"/>
  <c r="H39" i="5"/>
  <c r="H29" i="5"/>
  <c r="H40" i="5"/>
  <c r="G88" i="5"/>
  <c r="G89" i="5" s="1"/>
  <c r="G90" i="5" s="1"/>
  <c r="H23" i="5"/>
  <c r="G85" i="5"/>
  <c r="H22" i="5"/>
  <c r="H24" i="5"/>
  <c r="H19" i="5"/>
  <c r="H20" i="5"/>
  <c r="H21" i="5"/>
  <c r="J86" i="5" l="1"/>
  <c r="J88" i="5" s="1"/>
  <c r="J89" i="5" s="1"/>
  <c r="J90" i="5" s="1"/>
  <c r="C24" i="4"/>
  <c r="D20" i="4" s="1"/>
  <c r="D15" i="4" l="1"/>
  <c r="C29" i="4"/>
  <c r="C30" i="4" s="1"/>
  <c r="D16" i="4"/>
  <c r="D14" i="4"/>
  <c r="D13" i="4"/>
  <c r="C27" i="4"/>
  <c r="D18" i="4"/>
  <c r="D17" i="4"/>
  <c r="D22" i="4"/>
  <c r="D11" i="4"/>
  <c r="D24" i="4"/>
  <c r="D12" i="4"/>
  <c r="C36" i="4" l="1"/>
  <c r="C37" i="4"/>
  <c r="C38" i="4" l="1"/>
  <c r="C39" i="4" s="1"/>
  <c r="C40" i="4" l="1"/>
  <c r="E39" i="4" s="1"/>
  <c r="E40" i="4" l="1"/>
  <c r="E33" i="4"/>
  <c r="E17" i="4"/>
  <c r="E13" i="4"/>
  <c r="E32" i="4"/>
  <c r="E26" i="4"/>
  <c r="E18" i="4"/>
  <c r="E14" i="4"/>
  <c r="E35" i="4"/>
  <c r="E31" i="4"/>
  <c r="E15" i="4"/>
  <c r="C41" i="4"/>
  <c r="D11" i="7" s="1"/>
  <c r="E34" i="4"/>
  <c r="E25" i="4"/>
  <c r="E16" i="4"/>
  <c r="E12" i="4"/>
  <c r="E11" i="4"/>
  <c r="E20" i="4"/>
  <c r="E22" i="4"/>
  <c r="E24" i="4"/>
  <c r="E29" i="4"/>
  <c r="E27" i="4"/>
  <c r="E37" i="4"/>
  <c r="E36" i="4"/>
  <c r="E30" i="4"/>
  <c r="E38" i="4"/>
</calcChain>
</file>

<file path=xl/sharedStrings.xml><?xml version="1.0" encoding="utf-8"?>
<sst xmlns="http://schemas.openxmlformats.org/spreadsheetml/2006/main" count="606" uniqueCount="353">
  <si>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</si>
  <si>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</si>
  <si>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</si>
  <si>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Сопоставимый уровень цен: </t>
  </si>
  <si>
    <t>№ п/п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</si>
  <si>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</si>
  <si>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</si>
  <si>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</si>
  <si>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</si>
  <si>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</si>
  <si>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</si>
  <si>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</si>
  <si>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Считыватели Proxy-3M
Замок электромеханический
Источник резервного питания
Контроллер доступа
Монитор домофона
Вызывная панель домофона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</si>
  <si>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</si>
  <si>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</si>
  <si>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</si>
  <si>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</si>
  <si>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</si>
  <si>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</si>
  <si>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</si>
  <si>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</si>
  <si>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</si>
  <si>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</si>
  <si>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</si>
  <si>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</si>
  <si>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</si>
  <si>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</si>
  <si>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</si>
  <si>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</si>
  <si>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</si>
  <si>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</si>
  <si>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</si>
  <si>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</si>
  <si>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</si>
  <si>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</si>
  <si>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</si>
  <si>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</si>
  <si>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</si>
  <si>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</si>
  <si>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</si>
  <si>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</si>
  <si>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</si>
  <si>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</si>
  <si>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</si>
  <si>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</si>
  <si>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</si>
  <si>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</si>
  <si>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</si>
  <si>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</si>
  <si>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</si>
  <si>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</si>
  <si>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</si>
  <si>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</si>
  <si>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</si>
  <si>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</si>
  <si>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</si>
  <si>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</si>
  <si>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1-4-5</t>
  </si>
  <si>
    <t>Затраты труда рабочих (ср 4,5)</t>
  </si>
  <si>
    <t>1-4-6</t>
  </si>
  <si>
    <t>Затраты труда рабочих (ср 4,6)</t>
  </si>
  <si>
    <t>1-3-9</t>
  </si>
  <si>
    <t>Затраты труда рабочих (ср 3,9)</t>
  </si>
  <si>
    <t>1-3-8</t>
  </si>
  <si>
    <t>Затраты труда рабочих (ср 3,8)</t>
  </si>
  <si>
    <t>1-3-3</t>
  </si>
  <si>
    <t>Затраты труда рабочих (ср 3,3)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</si>
  <si>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</si>
  <si>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</si>
  <si>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</si>
  <si>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</si>
  <si>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</si>
  <si>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</si>
  <si>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</si>
  <si>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</si>
  <si>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</si>
  <si>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91.06.06-048</t>
  </si>
  <si>
    <t>Подъемники одномачтовые, грузоподъемность до 500 кг, высота подъема 45 м</t>
  </si>
  <si>
    <t>61.2.07.08-0002</t>
  </si>
  <si>
    <t>Считыватель VinSonic для магнитных карт MSR-0101</t>
  </si>
  <si>
    <t>10 шт</t>
  </si>
  <si>
    <t>61.2.07.04-0004</t>
  </si>
  <si>
    <t>Контроллер доступа, марка "С2000-2" исп. 01</t>
  </si>
  <si>
    <t>шт</t>
  </si>
  <si>
    <t>62.4.02.02-0036</t>
  </si>
  <si>
    <t>Источник резервного питания, марка: "РИП 12" исп. 02</t>
  </si>
  <si>
    <t>61.3.03.01-0001</t>
  </si>
  <si>
    <t>Замок электромагнитный 9-15 В, мощность 7,2 Вт, усилие удержания 240 кг, размер 186х45х30 мм</t>
  </si>
  <si>
    <t>61.3.03.01-0002</t>
  </si>
  <si>
    <t>Домофон многоабонентный "Мета ком-99" на 100 абонентов</t>
  </si>
  <si>
    <t>61.2.01.03-0045</t>
  </si>
  <si>
    <t>Извещатель охранный объемный оптико-электронный, тип Фотон-9 (ИО 409-8)</t>
  </si>
  <si>
    <t>61.2.01.03-0033</t>
  </si>
  <si>
    <t>Извещатель охранный инфракрасный пассивный: ИО 209-20 "Фотон-10А"</t>
  </si>
  <si>
    <t>62.4.02.02-0038</t>
  </si>
  <si>
    <t>Источник резервного питания, марка: "РИП 12" исп. 03</t>
  </si>
  <si>
    <t>61.1.03.03-0001</t>
  </si>
  <si>
    <t>Изделия домофона до 200 абонентских пультов</t>
  </si>
  <si>
    <t>61.2.01.05-0015</t>
  </si>
  <si>
    <t>Извещатель охранный точечный магнитоконтактный, диаметр контакта 58х11х11 мм</t>
  </si>
  <si>
    <t>Материалы</t>
  </si>
  <si>
    <t>21.1.08.01-0056</t>
  </si>
  <si>
    <t>Кабель сигнальный КСПЭВ 4х2х0,5</t>
  </si>
  <si>
    <t>1000 м</t>
  </si>
  <si>
    <t>21.1.08.01-0094</t>
  </si>
  <si>
    <t>Кабель пожарной сигнализации КПСВВнг-LS 2х2х0,5</t>
  </si>
  <si>
    <t>21.2.03.05-0081</t>
  </si>
  <si>
    <t>Провод силовой установочный с медными жилами ППВ 2х0,75-450</t>
  </si>
  <si>
    <t>20.2.05.04-0022</t>
  </si>
  <si>
    <t>Кабель-канал (короб) 10х15 мм</t>
  </si>
  <si>
    <t>м</t>
  </si>
  <si>
    <t>14.3.02.01-0219</t>
  </si>
  <si>
    <t>Краска универсальная, акриловая для внутренних и наружных работ</t>
  </si>
  <si>
    <t>т</t>
  </si>
  <si>
    <t>01.7.15.07-0012</t>
  </si>
  <si>
    <t>Дюбели пластмассовые с шурупами, размер 12х70 мм</t>
  </si>
  <si>
    <t>100 шт</t>
  </si>
  <si>
    <t>01.7.15.07-0022</t>
  </si>
  <si>
    <t>Дюбели распорные полиэтиленовые, размер 6х40 мм</t>
  </si>
  <si>
    <t>1000 шт</t>
  </si>
  <si>
    <t>999-9950</t>
  </si>
  <si>
    <t>Вспомогательные ненормируемые ресурсы (2% от Оплаты труда рабочих)</t>
  </si>
  <si>
    <t>руб</t>
  </si>
  <si>
    <t>10.3.02.03-0012</t>
  </si>
  <si>
    <t>Припои оловянно-свинцовые бессурьмянистые, марка ПОС40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</si>
  <si>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</si>
  <si>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</si>
  <si>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01.7.06.05-0041</t>
  </si>
  <si>
    <t>Лента изоляционная прорезиненная односторонняя, ширина 20 мм, толщина 0,25-0,35 мм</t>
  </si>
  <si>
    <t>кг</t>
  </si>
  <si>
    <t>01.7.20.04-0003</t>
  </si>
  <si>
    <t>Нитки суровые</t>
  </si>
  <si>
    <t>20.2.10.03-0020</t>
  </si>
  <si>
    <t>Наконечники кабельные П2.5-4Д-МУ3</t>
  </si>
  <si>
    <t>01.7.06.07-0002</t>
  </si>
  <si>
    <t>Лента монтажная, тип ЛМ-5</t>
  </si>
  <si>
    <t>10 м</t>
  </si>
  <si>
    <t>01.7.15.14-0165</t>
  </si>
  <si>
    <t>Шурупы с полукруглой головкой 4х40 мм</t>
  </si>
  <si>
    <t>01.7.15.03-0042</t>
  </si>
  <si>
    <t>Болты с гайками и шайбами строительные</t>
  </si>
  <si>
    <t>01.7.15.02-0084</t>
  </si>
  <si>
    <t>Болты с шестигранной головкой, диаметр 12 (14) мм</t>
  </si>
  <si>
    <t>10.2.02.08-0001</t>
  </si>
  <si>
    <t>Проволока медная, круглая, мягкая, электротехническая, диаметр 1,0-3,0 мм и выше</t>
  </si>
  <si>
    <t>01.7.15.14-0168</t>
  </si>
  <si>
    <t>Шурупы с полукруглой головкой 5х70 мм</t>
  </si>
  <si>
    <t>14.4.02.09-0001</t>
  </si>
  <si>
    <t>Краска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</si>
  <si>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</si>
  <si>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</si>
  <si>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</si>
  <si>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</si>
  <si>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01.7.06.05-0042</t>
  </si>
  <si>
    <t>Лента липкая изоляционная на поликасиновом компаунде, ширина 20-30 мм, толщина от 0,14 до 0,19 мм</t>
  </si>
  <si>
    <t>01.7.15.02-0086</t>
  </si>
  <si>
    <t>Болты с шестигранной головкой, диаметр 20 (22) мм</t>
  </si>
  <si>
    <t>01.7.19.07-0003</t>
  </si>
  <si>
    <t>Резина прессованная</t>
  </si>
  <si>
    <t>01.7.11.06-0028</t>
  </si>
  <si>
    <t>Флюс ФКДТ</t>
  </si>
  <si>
    <t>01.7.02.07-0011</t>
  </si>
  <si>
    <t>Прессшпан листовой, марка А</t>
  </si>
  <si>
    <t>14.1.04.02-0002</t>
  </si>
  <si>
    <t>Клей 88-СА</t>
  </si>
  <si>
    <t>25.2.01.01-0017</t>
  </si>
  <si>
    <t>Бирки маркировочные пластмассовые</t>
  </si>
  <si>
    <t>01.7.05.03-0006</t>
  </si>
  <si>
    <t>Лакоткани стеклянные ЛСК-155/180, ширина 690, 790, 890, 940, 990, 1060, 1140 мм, толщина 0,08 мм</t>
  </si>
  <si>
    <t>10 м2</t>
  </si>
  <si>
    <t>01.3.05.17-0002</t>
  </si>
  <si>
    <t>Канифоль сосновая</t>
  </si>
  <si>
    <t>24.3.01.01-0004</t>
  </si>
  <si>
    <t>Трубка электроизоляционная ПВХ-305, диаметр 6-10 мм</t>
  </si>
  <si>
    <t>01.7.06.03-0023</t>
  </si>
  <si>
    <t>Лента полиэтиленовая с липким слоем, марка А</t>
  </si>
  <si>
    <t>10.3.02.03-0011</t>
  </si>
  <si>
    <t>Припои оловянно-свинцовые бессурьмянистые, марка ПОС30</t>
  </si>
  <si>
    <t>01.7.07.03-0007</t>
  </si>
  <si>
    <t>Воск полиэтиленовый неокисленный ПВ-25, ПВ-100, ПВ-200, ПВ-300, ПВ-500</t>
  </si>
  <si>
    <t>03.1.01.01-0002</t>
  </si>
  <si>
    <t>Гипс строительный Г-3</t>
  </si>
  <si>
    <t>14.4.03.17-0011</t>
  </si>
  <si>
    <t>Лак электроизоляционный 318</t>
  </si>
  <si>
    <t>01.7.03.04-0001</t>
  </si>
  <si>
    <t>Электроэнергия</t>
  </si>
  <si>
    <t>кВт-ч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</si>
  <si>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</si>
  <si>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</si>
  <si>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</si>
  <si>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</si>
  <si>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</si>
  <si>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</si>
  <si>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</si>
  <si>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</si>
  <si>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</si>
  <si>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</si>
  <si>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</si>
  <si>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</si>
  <si>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</si>
  <si>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</si>
  <si>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</si>
  <si>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</si>
  <si>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</si>
  <si>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</si>
  <si>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</si>
  <si>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</si>
  <si>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</si>
  <si>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</si>
  <si>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</si>
  <si>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</si>
  <si>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</si>
  <si>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</si>
  <si>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</si>
  <si>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</si>
  <si>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</si>
  <si>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</si>
  <si>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</si>
  <si>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</si>
  <si>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</si>
  <si>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</si>
  <si>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</si>
  <si>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</si>
  <si>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</si>
  <si>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</si>
  <si>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</si>
  <si>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</si>
  <si>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</si>
  <si>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</si>
  <si>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</si>
  <si>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</si>
  <si>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</si>
  <si>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</si>
  <si>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</si>
  <si>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</si>
  <si>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</si>
  <si>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</si>
  <si>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</si>
  <si>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</si>
  <si>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</si>
  <si>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</si>
  <si>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</si>
  <si>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</si>
  <si>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62.4.02.01-0049</t>
  </si>
  <si>
    <t>Источник бесперебойного питания: Delta N Series UPS</t>
  </si>
  <si>
    <t>Итого основное оборудование</t>
  </si>
  <si>
    <t>61.2.01.03-0019</t>
  </si>
  <si>
    <t>Извещатель охранный инфракрасный пассивный: "Пирон-1", взрывозащитное исполнение</t>
  </si>
  <si>
    <t>61.2.07.01-0011</t>
  </si>
  <si>
    <t>Замок электромеханический горизонтальный NICE PLA 11</t>
  </si>
  <si>
    <t>61.2.01.03-0020</t>
  </si>
  <si>
    <t>Извещатель охранный инфракрасный пассивный: "Пирон-1А", взрывозащитное исполнение</t>
  </si>
  <si>
    <t>62.4.02.01-0075</t>
  </si>
  <si>
    <t>Источник бесперебойного питания: СКАТ-1200У2</t>
  </si>
  <si>
    <t>61.2.01.05-0002</t>
  </si>
  <si>
    <t>Извещатель охранный контактный: ДПМ-1-100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</si>
  <si>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</si>
  <si>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</si>
  <si>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</si>
  <si>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</si>
  <si>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</si>
  <si>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</si>
  <si>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</si>
  <si>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</si>
  <si>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</si>
  <si>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</si>
  <si>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</si>
  <si>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</si>
  <si>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</si>
  <si>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</si>
  <si>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</si>
  <si>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</si>
  <si>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</si>
  <si>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</si>
  <si>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</si>
  <si>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</si>
  <si>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</si>
  <si>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</si>
  <si>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</si>
  <si>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</si>
  <si>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</si>
  <si>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</si>
  <si>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</si>
  <si>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</si>
  <si>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</si>
  <si>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</si>
  <si>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</si>
  <si>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</si>
  <si>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</si>
  <si>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</si>
  <si>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</si>
  <si>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</si>
  <si>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</si>
  <si>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</si>
  <si>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</si>
  <si>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</si>
  <si>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</si>
  <si>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</si>
  <si>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</si>
  <si>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</si>
  <si>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</si>
  <si>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</si>
  <si>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</si>
  <si>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</si>
  <si>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</si>
  <si>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</si>
  <si>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</si>
  <si>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</si>
  <si>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</si>
  <si>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</si>
  <si>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</si>
  <si>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</si>
  <si>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</si>
  <si>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</si>
  <si>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</si>
  <si>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</si>
  <si>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</si>
  <si>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</si>
  <si>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</si>
  <si>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</si>
  <si>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</si>
  <si>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</si>
  <si>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</si>
  <si>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</si>
  <si>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</si>
  <si>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</si>
  <si>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</si>
  <si>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</si>
  <si>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</si>
  <si>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</si>
  <si>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</si>
  <si>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</si>
  <si>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</si>
  <si>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</si>
  <si>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</si>
  <si>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</si>
  <si>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</si>
  <si>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</si>
  <si>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</si>
  <si>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</si>
  <si>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1 ПС</t>
  </si>
  <si>
    <t>Единица измерения  — 1 ПС</t>
  </si>
  <si>
    <t>IIВ</t>
  </si>
  <si>
    <t>З1-01</t>
  </si>
  <si>
    <t>УНЦ постоянной части ПС 35 кВ</t>
  </si>
  <si>
    <t>З1_ПС_СКУД_35_кВ</t>
  </si>
  <si>
    <t>Постоянная часть ПС, СКУД ПС 35 кВ</t>
  </si>
  <si>
    <t>ПС 35 кВ Свеза Новатор</t>
  </si>
  <si>
    <t>Вологодская область</t>
  </si>
  <si>
    <t>СКУД ПС 35 кВ</t>
  </si>
  <si>
    <t>Всего по объекту в сопоставимом уровне цен 2 кв. 2019г:</t>
  </si>
  <si>
    <t>Наименование разрабатываемого показателя УНЦ: Постоянная часть ПС, СКУД ПС 35 кВ</t>
  </si>
  <si>
    <t>Сметная стоимость в уровне цен 2 кв. 2019г.,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</si>
</sst>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00"/>
  </numFmts>
  <fonts count="19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2"/>
      <color rgb="FF000000"/>
      <name val="Calibri"/>
    </font>
    <font>
      <sz val="12"/>
      <color rgb="FFFF0000"/>
      <name val="Times New Roman"/>
    </font>
    <font>
      <sz val="12"/>
      <color rgb="FF000000"/>
      <name val="Calibri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right"/>
    </xf>
    <xf numFmtId="10" fontId="9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1" fillId="0" borderId="0" xfId="0" applyFont="1"/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0" fillId="0" borderId="0" xfId="0"/>
    <xf numFmtId="2" fontId="2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0" fillId="0" borderId="1" xfId="0" applyBorder="1"/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10" fontId="0" fillId="0" borderId="0" xfId="0" applyNumberFormat="1"/>
    <xf numFmtId="2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14" fontId="9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170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9" fillId="0" borderId="0" xfId="0" applyFont="1"/>
    <xf numFmtId="0" fontId="0" fillId="0" borderId="0" xfId="0"/>
    <xf numFmtId="0" fontId="11" fillId="0" borderId="0" xfId="0" applyFont="1"/>
    <xf numFmtId="4" fontId="9" fillId="0" borderId="0" xfId="0" applyNumberFormat="1" applyFont="1" applyAlignment="1">
      <alignment horizontal="left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0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15" fillId="0" borderId="10" xfId="0" applyFont="1" applyBorder="1" applyAlignment="1">
      <alignment vertical="center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9" fillId="0" borderId="0" xfId="0" applyNumberFormat="1" applyFont="1" applyAlignment="1">
      <alignment horizontal="justify" vertical="center"/>
    </xf>
    <xf numFmtId="0" fontId="9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4" zoomScale="70" zoomScaleNormal="70" workbookViewId="0">
      <selection activeCell="D25" sqref="D25"/>
    </sheetView>
  </sheetViews>
  <sheetFormatPr defaultRowHeight="15.75" x14ac:dyDescent="0.25"/>
  <cols>
    <col min="1" max="2" width="9.140625" style="150" customWidth="1"/>
    <col min="3" max="3" width="36.85546875" style="150" customWidth="1"/>
    <col min="4" max="4" width="36.5703125" style="150" customWidth="1"/>
    <col min="5" max="5" width="14.28515625" style="96" customWidth="1"/>
    <col min="6" max="6" width="12.140625" style="96" customWidth="1"/>
    <col min="7" max="7" width="12.28515625" style="96" customWidth="1"/>
    <col min="8" max="8" width="15" style="96" customWidth="1"/>
    <col min="9" max="9" width="9.140625" style="96" customWidth="1"/>
  </cols>
  <sheetData>
    <row r="1" spans="2:9" x14ac:dyDescent="0.25">
      <c r="E1" s="150"/>
      <c r="F1" s="150"/>
      <c r="G1" s="150"/>
      <c r="H1" s="150"/>
      <c r="I1" s="150"/>
    </row>
    <row r="2" spans="2:9" x14ac:dyDescent="0.25">
      <c r="E2" s="150"/>
      <c r="F2" s="150"/>
      <c r="G2" s="150"/>
      <c r="H2" s="150"/>
      <c r="I2" s="150"/>
    </row>
    <row r="3" spans="2:9" x14ac:dyDescent="0.25">
      <c r="B3" s="187" t="s">
        <v>0</v>
      </c>
      <c r="C3" s="187"/>
      <c r="D3" s="187"/>
      <c r="E3" s="150"/>
      <c r="F3" s="150"/>
      <c r="G3" s="150"/>
      <c r="H3" s="150"/>
      <c r="I3" s="150"/>
    </row>
    <row r="4" spans="2:9" x14ac:dyDescent="0.25">
      <c r="B4" s="188" t="s">
        <v>1</v>
      </c>
      <c r="C4" s="188"/>
      <c r="D4" s="188"/>
      <c r="E4" s="150"/>
      <c r="F4" s="150"/>
      <c r="G4" s="150"/>
      <c r="H4" s="150"/>
      <c r="I4" s="150"/>
    </row>
    <row r="5" spans="2:9" ht="66" customHeight="1" x14ac:dyDescent="0.25">
      <c r="B5" s="190" t="s">
        <v>2</v>
      </c>
      <c r="C5" s="190"/>
      <c r="D5" s="190"/>
      <c r="E5" s="150"/>
      <c r="F5" s="150"/>
      <c r="G5" s="150"/>
      <c r="H5" s="150"/>
      <c r="I5" s="150"/>
    </row>
    <row r="6" spans="2:9" x14ac:dyDescent="0.25">
      <c r="B6" s="151"/>
      <c r="C6" s="151"/>
      <c r="D6" s="151"/>
      <c r="E6" s="150"/>
      <c r="F6" s="150"/>
      <c r="G6" s="150"/>
      <c r="H6" s="150"/>
      <c r="I6" s="150"/>
    </row>
    <row r="7" spans="2:9" ht="57" customHeight="1" x14ac:dyDescent="0.25">
      <c r="B7" s="189" t="s">
        <v>351</v>
      </c>
      <c r="C7" s="186"/>
      <c r="D7" s="186"/>
      <c r="E7" s="152"/>
      <c r="F7" s="150"/>
      <c r="G7" s="150"/>
      <c r="H7" s="150"/>
      <c r="I7" s="150"/>
    </row>
    <row r="8" spans="2:9" ht="15.75" customHeight="1" x14ac:dyDescent="0.25">
      <c r="B8" s="153" t="s">
        <v>3</v>
      </c>
      <c r="C8" s="153"/>
      <c r="D8" s="154"/>
      <c r="E8" s="150"/>
      <c r="F8" s="150"/>
      <c r="G8" s="150"/>
      <c r="H8" s="150"/>
      <c r="I8" s="150"/>
    </row>
    <row r="9" spans="2:9" ht="15.75" customHeight="1" x14ac:dyDescent="0.25">
      <c r="B9" s="186" t="s">
        <v>341</v>
      </c>
      <c r="C9" s="186"/>
      <c r="D9" s="186"/>
      <c r="E9" s="152"/>
      <c r="F9" s="150"/>
      <c r="G9" s="150"/>
      <c r="H9" s="150"/>
      <c r="I9" s="150"/>
    </row>
    <row r="10" spans="2:9" x14ac:dyDescent="0.25">
      <c r="B10" s="155"/>
      <c r="E10" s="150"/>
      <c r="F10" s="150"/>
      <c r="G10" s="150"/>
      <c r="H10" s="150"/>
      <c r="I10" s="150"/>
    </row>
    <row r="11" spans="2:9" x14ac:dyDescent="0.25">
      <c r="B11" s="156" t="s">
        <v>4</v>
      </c>
      <c r="C11" s="156" t="s">
        <v>5</v>
      </c>
      <c r="D11" s="156" t="s">
        <v>6</v>
      </c>
      <c r="E11" s="152"/>
      <c r="F11" s="150"/>
      <c r="G11" s="150"/>
      <c r="H11" s="150"/>
      <c r="I11" s="150"/>
    </row>
    <row r="12" spans="2:9" ht="31.5" customHeight="1" x14ac:dyDescent="0.25">
      <c r="B12" s="156">
        <v>1</v>
      </c>
      <c r="C12" s="157" t="s">
        <v>7</v>
      </c>
      <c r="D12" s="156" t="s">
        <v>347</v>
      </c>
      <c r="E12" s="150"/>
      <c r="F12" s="150"/>
      <c r="G12" s="150"/>
      <c r="H12" s="150"/>
      <c r="I12" s="150"/>
    </row>
    <row r="13" spans="2:9" ht="31.5" customHeight="1" x14ac:dyDescent="0.25">
      <c r="B13" s="156">
        <v>2</v>
      </c>
      <c r="C13" s="157" t="s">
        <v>8</v>
      </c>
      <c r="D13" s="156" t="s">
        <v>348</v>
      </c>
      <c r="E13" s="150"/>
      <c r="F13" s="150"/>
      <c r="G13" s="150"/>
      <c r="H13" s="150"/>
      <c r="I13" s="150"/>
    </row>
    <row r="14" spans="2:9" x14ac:dyDescent="0.25">
      <c r="B14" s="156">
        <v>3</v>
      </c>
      <c r="C14" s="157" t="s">
        <v>9</v>
      </c>
      <c r="D14" s="156" t="s">
        <v>342</v>
      </c>
      <c r="E14" s="150"/>
      <c r="F14" s="150"/>
      <c r="G14" s="150"/>
      <c r="H14" s="150"/>
      <c r="I14" s="150"/>
    </row>
    <row r="15" spans="2:9" x14ac:dyDescent="0.25">
      <c r="B15" s="156">
        <v>4</v>
      </c>
      <c r="C15" s="157" t="s">
        <v>10</v>
      </c>
      <c r="D15" s="156">
        <v>1</v>
      </c>
      <c r="E15" s="150"/>
      <c r="F15" s="150"/>
      <c r="G15" s="150"/>
      <c r="H15" s="150"/>
      <c r="I15" s="150"/>
    </row>
    <row r="16" spans="2:9" ht="100.5" customHeight="1" x14ac:dyDescent="0.25">
      <c r="B16" s="156">
        <v>5</v>
      </c>
      <c r="C16" s="158" t="s">
        <v>11</v>
      </c>
      <c r="D16" s="156" t="s">
        <v>12</v>
      </c>
      <c r="E16" s="150"/>
      <c r="F16" s="150"/>
      <c r="G16" s="150"/>
      <c r="H16" s="150"/>
      <c r="I16" s="150"/>
    </row>
    <row r="17" spans="2:9" ht="82.5" customHeight="1" x14ac:dyDescent="0.25">
      <c r="B17" s="156">
        <v>6</v>
      </c>
      <c r="C17" s="158" t="s">
        <v>13</v>
      </c>
      <c r="D17" s="159">
        <f>D18+D19</f>
        <v>76.462525299999996</v>
      </c>
      <c r="E17" s="160"/>
      <c r="F17" s="150"/>
      <c r="G17" s="150"/>
      <c r="H17" s="150"/>
      <c r="I17" s="150"/>
    </row>
    <row r="18" spans="2:9" x14ac:dyDescent="0.25">
      <c r="B18" s="161" t="s">
        <v>14</v>
      </c>
      <c r="C18" s="157" t="s">
        <v>15</v>
      </c>
      <c r="D18" s="159">
        <f>'Прил.2 Расч стоим'!F12</f>
        <v>10.000016999999998</v>
      </c>
      <c r="E18" s="150"/>
      <c r="F18" s="150"/>
      <c r="G18" s="150"/>
      <c r="H18" s="150"/>
      <c r="I18" s="150"/>
    </row>
    <row r="19" spans="2:9" x14ac:dyDescent="0.25">
      <c r="B19" s="161" t="s">
        <v>16</v>
      </c>
      <c r="C19" s="157" t="s">
        <v>17</v>
      </c>
      <c r="D19" s="159">
        <f>'Прил.2 Расч стоим'!H12</f>
        <v>66.462508299999996</v>
      </c>
      <c r="E19" s="150"/>
      <c r="F19" s="150"/>
      <c r="G19" s="150"/>
      <c r="H19" s="150"/>
      <c r="I19" s="150"/>
    </row>
    <row r="20" spans="2:9" x14ac:dyDescent="0.25">
      <c r="B20" s="161" t="s">
        <v>18</v>
      </c>
      <c r="C20" s="157" t="s">
        <v>19</v>
      </c>
      <c r="D20" s="159"/>
      <c r="E20" s="150"/>
      <c r="F20" s="150"/>
      <c r="G20" s="150"/>
      <c r="H20" s="150"/>
      <c r="I20" s="150"/>
    </row>
    <row r="21" spans="2:9" ht="31.5" customHeight="1" x14ac:dyDescent="0.25">
      <c r="B21" s="161" t="s">
        <v>20</v>
      </c>
      <c r="C21" s="162" t="s">
        <v>21</v>
      </c>
      <c r="D21" s="163"/>
      <c r="E21" s="150"/>
      <c r="F21" s="150"/>
      <c r="G21" s="150"/>
      <c r="H21" s="150"/>
      <c r="I21" s="150"/>
    </row>
    <row r="22" spans="2:9" x14ac:dyDescent="0.25">
      <c r="B22" s="156">
        <v>7</v>
      </c>
      <c r="C22" s="162" t="s">
        <v>22</v>
      </c>
      <c r="D22" s="156"/>
      <c r="E22" s="160"/>
      <c r="F22" s="150"/>
      <c r="G22" s="150"/>
      <c r="H22" s="150"/>
      <c r="I22" s="150"/>
    </row>
    <row r="23" spans="2:9" ht="119.25" customHeight="1" x14ac:dyDescent="0.25">
      <c r="B23" s="156">
        <v>8</v>
      </c>
      <c r="C23" s="164" t="s">
        <v>23</v>
      </c>
      <c r="D23" s="143">
        <f>D17</f>
        <v>76.462525299999996</v>
      </c>
      <c r="E23" s="150"/>
      <c r="F23" s="150"/>
      <c r="G23" s="150"/>
      <c r="H23" s="150"/>
      <c r="I23" s="150"/>
    </row>
    <row r="24" spans="2:9" ht="47.25" customHeight="1" x14ac:dyDescent="0.25">
      <c r="B24" s="156">
        <v>9</v>
      </c>
      <c r="C24" s="158" t="s">
        <v>24</v>
      </c>
      <c r="D24" s="143">
        <f>D23/D15</f>
        <v>76.462525299999996</v>
      </c>
      <c r="E24" s="160"/>
      <c r="F24" s="150"/>
      <c r="G24" s="150"/>
      <c r="H24" s="150"/>
      <c r="I24" s="150"/>
    </row>
    <row r="25" spans="2:9" x14ac:dyDescent="0.25">
      <c r="B25" s="156">
        <v>10</v>
      </c>
      <c r="C25" s="157" t="s">
        <v>25</v>
      </c>
      <c r="D25" s="157"/>
      <c r="E25" s="150"/>
      <c r="F25" s="150"/>
      <c r="G25" s="150"/>
      <c r="H25" s="150"/>
      <c r="I25" s="150"/>
    </row>
    <row r="26" spans="2:9" x14ac:dyDescent="0.25">
      <c r="B26" s="148"/>
      <c r="C26" s="165"/>
      <c r="D26" s="165"/>
      <c r="E26" s="150"/>
      <c r="F26" s="150"/>
      <c r="G26" s="150"/>
      <c r="H26" s="150"/>
      <c r="I26" s="150"/>
    </row>
    <row r="27" spans="2:9" x14ac:dyDescent="0.25">
      <c r="B27" s="153"/>
      <c r="E27" s="150"/>
      <c r="F27" s="150"/>
      <c r="G27" s="150"/>
      <c r="H27" s="150"/>
      <c r="I27" s="150"/>
    </row>
    <row r="28" spans="2:9" x14ac:dyDescent="0.25">
      <c r="B28" s="150" t="s">
        <v>26</v>
      </c>
      <c r="E28" s="150"/>
      <c r="F28" s="150"/>
      <c r="G28" s="150"/>
      <c r="H28" s="150"/>
      <c r="I28" s="150"/>
    </row>
    <row r="29" spans="2:9" ht="22.5" customHeight="1" x14ac:dyDescent="0.25">
      <c r="B29" s="166" t="s">
        <v>27</v>
      </c>
      <c r="E29" s="150"/>
      <c r="F29" s="150"/>
      <c r="G29" s="150"/>
      <c r="H29" s="150"/>
      <c r="I29" s="150"/>
    </row>
    <row r="30" spans="2:9" x14ac:dyDescent="0.25">
      <c r="E30" s="150"/>
      <c r="F30" s="150"/>
      <c r="G30" s="150"/>
      <c r="H30" s="150"/>
      <c r="I30" s="150"/>
    </row>
    <row r="31" spans="2:9" x14ac:dyDescent="0.25">
      <c r="B31" s="150" t="s">
        <v>28</v>
      </c>
      <c r="E31" s="150"/>
      <c r="F31" s="150"/>
      <c r="G31" s="150"/>
      <c r="H31" s="150"/>
      <c r="I31" s="150"/>
    </row>
    <row r="32" spans="2:9" ht="22.5" customHeight="1" x14ac:dyDescent="0.25">
      <c r="B32" s="166" t="s">
        <v>29</v>
      </c>
      <c r="E32" s="150"/>
      <c r="F32" s="150"/>
      <c r="G32" s="150"/>
      <c r="H32" s="150"/>
      <c r="I32" s="150"/>
    </row>
    <row r="33" spans="5:9" x14ac:dyDescent="0.25">
      <c r="E33" s="150"/>
      <c r="F33" s="150"/>
      <c r="G33" s="150"/>
      <c r="H33" s="150"/>
      <c r="I33" s="150"/>
    </row>
    <row r="34" spans="5:9" x14ac:dyDescent="0.25">
      <c r="E34" s="150"/>
      <c r="F34" s="150"/>
      <c r="G34" s="150"/>
      <c r="H34" s="150"/>
      <c r="I34" s="150"/>
    </row>
    <row r="35" spans="5:9" x14ac:dyDescent="0.25">
      <c r="E35" s="150"/>
      <c r="F35" s="150"/>
      <c r="G35" s="150"/>
      <c r="H35" s="150"/>
      <c r="I35" s="150"/>
    </row>
  </sheetData>
  <mergeCells count="5">
    <mergeCell ref="B9:D9"/>
    <mergeCell ref="B3:D3"/>
    <mergeCell ref="B4:D4"/>
    <mergeCell ref="B7:D7"/>
    <mergeCell ref="B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85" zoomScaleNormal="85" workbookViewId="0">
      <selection activeCell="H22" sqref="H22"/>
    </sheetView>
  </sheetViews>
  <sheetFormatPr defaultRowHeight="15" x14ac:dyDescent="0.25"/>
  <cols>
    <col min="1" max="1" width="5.5703125" style="105" customWidth="1"/>
    <col min="2" max="2" width="9.140625" style="105" customWidth="1"/>
    <col min="3" max="3" width="35.28515625" style="105" customWidth="1"/>
    <col min="4" max="4" width="13.85546875" style="105" customWidth="1"/>
    <col min="5" max="5" width="24.85546875" style="105" customWidth="1"/>
    <col min="6" max="6" width="12.7109375" style="105" customWidth="1"/>
    <col min="7" max="7" width="14.85546875" style="105" customWidth="1"/>
    <col min="8" max="8" width="16.7109375" style="105" customWidth="1"/>
    <col min="9" max="10" width="13" style="105" customWidth="1"/>
    <col min="11" max="11" width="9.140625" style="105" customWidth="1"/>
  </cols>
  <sheetData>
    <row r="1" spans="1:10" ht="15.75" customHeight="1" x14ac:dyDescent="0.25">
      <c r="A1" s="123"/>
      <c r="B1" s="123"/>
      <c r="C1" s="123"/>
      <c r="D1" s="123"/>
      <c r="E1" s="123"/>
      <c r="F1" s="123"/>
      <c r="G1" s="123"/>
      <c r="H1" s="123"/>
      <c r="I1" s="123"/>
      <c r="J1" s="123"/>
    </row>
    <row r="2" spans="1:10" ht="15.75" customHeight="1" x14ac:dyDescent="0.25">
      <c r="A2" s="123"/>
      <c r="B2" s="123"/>
      <c r="C2" s="123"/>
      <c r="D2" s="123"/>
      <c r="E2" s="123"/>
      <c r="F2" s="123"/>
      <c r="G2" s="123"/>
      <c r="H2" s="123"/>
      <c r="I2" s="123"/>
      <c r="J2" s="123"/>
    </row>
    <row r="3" spans="1:10" ht="15.75" customHeight="1" x14ac:dyDescent="0.25">
      <c r="A3" s="123"/>
      <c r="B3" s="187" t="s">
        <v>30</v>
      </c>
      <c r="C3" s="187"/>
      <c r="D3" s="187"/>
      <c r="E3" s="187"/>
      <c r="F3" s="187"/>
      <c r="G3" s="187"/>
      <c r="H3" s="187"/>
      <c r="I3" s="187"/>
      <c r="J3" s="187"/>
    </row>
    <row r="4" spans="1:10" ht="15.75" customHeight="1" x14ac:dyDescent="0.25">
      <c r="A4" s="123"/>
      <c r="B4" s="188" t="s">
        <v>31</v>
      </c>
      <c r="C4" s="188"/>
      <c r="D4" s="188"/>
      <c r="E4" s="188"/>
      <c r="F4" s="188"/>
      <c r="G4" s="188"/>
      <c r="H4" s="188"/>
      <c r="I4" s="188"/>
      <c r="J4" s="188"/>
    </row>
    <row r="5" spans="1:10" ht="15.75" customHeight="1" x14ac:dyDescent="0.25">
      <c r="A5" s="123"/>
      <c r="B5" s="124"/>
      <c r="C5" s="124"/>
      <c r="D5" s="124"/>
      <c r="E5" s="124"/>
      <c r="F5" s="124"/>
      <c r="G5" s="124"/>
      <c r="H5" s="124"/>
      <c r="I5" s="124"/>
      <c r="J5" s="124"/>
    </row>
    <row r="6" spans="1:10" ht="15.75" customHeight="1" x14ac:dyDescent="0.25">
      <c r="A6" s="123"/>
      <c r="B6" s="193" t="str">
        <f>'Прил.1 Сравнит табл'!B7</f>
        <v>Наименование разрабатываемого показателя УНЦ: Постоянная часть ПС, СКУД ПС 35 кВ</v>
      </c>
      <c r="C6" s="193"/>
      <c r="D6" s="193"/>
      <c r="E6" s="193"/>
      <c r="F6" s="193"/>
      <c r="G6" s="193"/>
      <c r="H6" s="193"/>
      <c r="I6" s="193"/>
      <c r="J6" s="193"/>
    </row>
    <row r="7" spans="1:10" ht="15.75" customHeight="1" x14ac:dyDescent="0.25">
      <c r="A7" s="123"/>
      <c r="B7" s="186" t="str">
        <f>'Прил.1 Сравнит табл'!B9</f>
        <v>Единица измерения  — 1 ПС</v>
      </c>
      <c r="C7" s="186"/>
      <c r="D7" s="186"/>
      <c r="E7" s="186"/>
      <c r="F7" s="186"/>
      <c r="G7" s="186"/>
      <c r="H7" s="186"/>
      <c r="I7" s="186"/>
      <c r="J7" s="186"/>
    </row>
    <row r="8" spans="1:10" ht="15.75" customHeight="1" x14ac:dyDescent="0.25">
      <c r="A8" s="123"/>
      <c r="B8" s="121"/>
      <c r="C8" s="123"/>
      <c r="D8" s="123"/>
      <c r="E8" s="123"/>
      <c r="F8" s="123"/>
      <c r="G8" s="123"/>
      <c r="H8" s="123"/>
      <c r="I8" s="123"/>
      <c r="J8" s="123"/>
    </row>
    <row r="9" spans="1:10" ht="15.75" customHeight="1" x14ac:dyDescent="0.25">
      <c r="A9" s="123"/>
      <c r="B9" s="194" t="s">
        <v>4</v>
      </c>
      <c r="C9" s="194" t="s">
        <v>32</v>
      </c>
      <c r="D9" s="194" t="s">
        <v>6</v>
      </c>
      <c r="E9" s="194"/>
      <c r="F9" s="194"/>
      <c r="G9" s="194"/>
      <c r="H9" s="194"/>
      <c r="I9" s="194"/>
      <c r="J9" s="194"/>
    </row>
    <row r="10" spans="1:10" ht="15.75" customHeight="1" x14ac:dyDescent="0.25">
      <c r="A10" s="123"/>
      <c r="B10" s="194"/>
      <c r="C10" s="194"/>
      <c r="D10" s="194" t="s">
        <v>33</v>
      </c>
      <c r="E10" s="194" t="s">
        <v>34</v>
      </c>
      <c r="F10" s="194" t="s">
        <v>352</v>
      </c>
      <c r="G10" s="194"/>
      <c r="H10" s="194"/>
      <c r="I10" s="194"/>
      <c r="J10" s="194"/>
    </row>
    <row r="11" spans="1:10" ht="31.5" customHeight="1" x14ac:dyDescent="0.25">
      <c r="A11" s="123"/>
      <c r="B11" s="195"/>
      <c r="C11" s="195"/>
      <c r="D11" s="195"/>
      <c r="E11" s="195"/>
      <c r="F11" s="127" t="s">
        <v>35</v>
      </c>
      <c r="G11" s="127" t="s">
        <v>36</v>
      </c>
      <c r="H11" s="127" t="s">
        <v>37</v>
      </c>
      <c r="I11" s="127" t="s">
        <v>38</v>
      </c>
      <c r="J11" s="127" t="s">
        <v>39</v>
      </c>
    </row>
    <row r="12" spans="1:10" ht="15.75" customHeight="1" x14ac:dyDescent="0.25">
      <c r="A12" s="123"/>
      <c r="B12" s="185"/>
      <c r="C12" s="185" t="s">
        <v>349</v>
      </c>
      <c r="D12" s="185"/>
      <c r="E12" s="185"/>
      <c r="F12" s="196">
        <v>10.000016999999998</v>
      </c>
      <c r="G12" s="197"/>
      <c r="H12" s="185">
        <v>66.462508299999996</v>
      </c>
      <c r="I12" s="185"/>
      <c r="J12" s="185"/>
    </row>
    <row r="13" spans="1:10" ht="15.75" customHeight="1" x14ac:dyDescent="0.25">
      <c r="A13" s="123"/>
      <c r="B13" s="191" t="s">
        <v>40</v>
      </c>
      <c r="C13" s="191"/>
      <c r="D13" s="191"/>
      <c r="E13" s="191"/>
      <c r="F13" s="184"/>
      <c r="G13" s="184"/>
      <c r="H13" s="184"/>
      <c r="I13" s="184"/>
      <c r="J13" s="184"/>
    </row>
    <row r="14" spans="1:10" ht="15.75" customHeight="1" x14ac:dyDescent="0.25">
      <c r="A14" s="123"/>
      <c r="B14" s="192" t="s">
        <v>350</v>
      </c>
      <c r="C14" s="192"/>
      <c r="D14" s="192"/>
      <c r="E14" s="192"/>
      <c r="F14" s="198">
        <f>F12</f>
        <v>10.000016999999998</v>
      </c>
      <c r="G14" s="199"/>
      <c r="H14" s="145">
        <f>H12</f>
        <v>66.462508299999996</v>
      </c>
      <c r="I14" s="145"/>
      <c r="J14" s="145">
        <f>F12+H12</f>
        <v>76.462525299999996</v>
      </c>
    </row>
    <row r="15" spans="1:10" ht="15.75" customHeight="1" x14ac:dyDescent="0.25">
      <c r="A15" s="123"/>
      <c r="B15" s="123"/>
      <c r="C15" s="123"/>
      <c r="D15" s="123"/>
      <c r="E15" s="123"/>
      <c r="F15" s="123"/>
      <c r="G15" s="123"/>
      <c r="H15" s="123"/>
      <c r="I15" s="123"/>
      <c r="J15" s="123"/>
    </row>
    <row r="17" spans="2:4" ht="15.75" customHeight="1" x14ac:dyDescent="0.25">
      <c r="B17" s="123" t="s">
        <v>26</v>
      </c>
      <c r="C17" s="123"/>
      <c r="D17" s="123"/>
    </row>
    <row r="18" spans="2:4" ht="22.5" customHeight="1" x14ac:dyDescent="0.25">
      <c r="B18" s="134" t="s">
        <v>27</v>
      </c>
      <c r="C18" s="123"/>
      <c r="D18" s="123"/>
    </row>
    <row r="19" spans="2:4" ht="15.75" customHeight="1" x14ac:dyDescent="0.25">
      <c r="B19" s="123"/>
      <c r="C19" s="123"/>
      <c r="D19" s="123"/>
    </row>
    <row r="20" spans="2:4" ht="15.75" customHeight="1" x14ac:dyDescent="0.25">
      <c r="B20" s="123" t="s">
        <v>28</v>
      </c>
      <c r="C20" s="123"/>
      <c r="D20" s="123"/>
    </row>
    <row r="21" spans="2:4" ht="22.5" customHeight="1" x14ac:dyDescent="0.25">
      <c r="B21" s="134" t="s">
        <v>29</v>
      </c>
      <c r="C21" s="123"/>
      <c r="D21" s="123"/>
    </row>
  </sheetData>
  <mergeCells count="14">
    <mergeCell ref="B13:E13"/>
    <mergeCell ref="B14:E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0"/>
  <sheetViews>
    <sheetView view="pageBreakPreview" zoomScale="70" workbookViewId="0">
      <selection activeCell="L22" sqref="L22"/>
    </sheetView>
  </sheetViews>
  <sheetFormatPr defaultRowHeight="15.75" x14ac:dyDescent="0.25"/>
  <cols>
    <col min="1" max="1" width="9.140625" style="123" customWidth="1"/>
    <col min="2" max="2" width="12.5703125" style="123" customWidth="1"/>
    <col min="3" max="3" width="22.42578125" style="123" customWidth="1"/>
    <col min="4" max="4" width="49.7109375" style="123" customWidth="1"/>
    <col min="5" max="5" width="10.140625" style="123" customWidth="1"/>
    <col min="6" max="6" width="20.7109375" style="123" customWidth="1"/>
    <col min="7" max="7" width="16.140625" style="123" customWidth="1"/>
    <col min="8" max="8" width="16.7109375" style="123" customWidth="1"/>
  </cols>
  <sheetData>
    <row r="2" spans="1:8" x14ac:dyDescent="0.25">
      <c r="A2" s="187" t="s">
        <v>41</v>
      </c>
      <c r="B2" s="187"/>
      <c r="C2" s="187"/>
      <c r="D2" s="187"/>
      <c r="E2" s="187"/>
      <c r="F2" s="187"/>
      <c r="G2" s="187"/>
      <c r="H2" s="187"/>
    </row>
    <row r="3" spans="1:8" x14ac:dyDescent="0.25">
      <c r="A3" s="188" t="s">
        <v>42</v>
      </c>
      <c r="B3" s="188"/>
      <c r="C3" s="188"/>
      <c r="D3" s="188"/>
      <c r="E3" s="188"/>
      <c r="F3" s="188"/>
      <c r="G3" s="188"/>
      <c r="H3" s="188"/>
    </row>
    <row r="4" spans="1:8" ht="18.75" customHeight="1" x14ac:dyDescent="0.25">
      <c r="A4" s="121"/>
    </row>
    <row r="5" spans="1:8" x14ac:dyDescent="0.25">
      <c r="A5" s="193" t="str">
        <f>'Прил.1 Сравнит табл'!B7</f>
        <v>Наименование разрабатываемого показателя УНЦ: Постоянная часть ПС, СКУД ПС 35 кВ</v>
      </c>
      <c r="B5" s="193"/>
      <c r="C5" s="193"/>
      <c r="D5" s="193"/>
      <c r="E5" s="193"/>
      <c r="F5" s="193"/>
      <c r="G5" s="193"/>
      <c r="H5" s="193"/>
    </row>
    <row r="6" spans="1:8" x14ac:dyDescent="0.25">
      <c r="A6" s="125"/>
      <c r="B6" s="125"/>
      <c r="C6" s="125"/>
      <c r="D6" s="125"/>
      <c r="E6" s="125"/>
      <c r="F6" s="125"/>
      <c r="G6" s="125"/>
      <c r="H6" s="125"/>
    </row>
    <row r="7" spans="1:8" ht="15.75" customHeight="1" x14ac:dyDescent="0.25">
      <c r="A7" s="194" t="s">
        <v>43</v>
      </c>
      <c r="B7" s="194" t="s">
        <v>44</v>
      </c>
      <c r="C7" s="194" t="s">
        <v>45</v>
      </c>
      <c r="D7" s="194" t="s">
        <v>46</v>
      </c>
      <c r="E7" s="194" t="s">
        <v>47</v>
      </c>
      <c r="F7" s="194" t="s">
        <v>48</v>
      </c>
      <c r="G7" s="194" t="s">
        <v>49</v>
      </c>
      <c r="H7" s="194"/>
    </row>
    <row r="8" spans="1:8" x14ac:dyDescent="0.25">
      <c r="A8" s="194"/>
      <c r="B8" s="194"/>
      <c r="C8" s="194"/>
      <c r="D8" s="194"/>
      <c r="E8" s="194"/>
      <c r="F8" s="194"/>
      <c r="G8" s="48" t="s">
        <v>50</v>
      </c>
      <c r="H8" s="48" t="s">
        <v>51</v>
      </c>
    </row>
    <row r="9" spans="1:8" x14ac:dyDescent="0.25">
      <c r="A9" s="127">
        <v>1</v>
      </c>
      <c r="B9" s="127"/>
      <c r="C9" s="127">
        <v>2</v>
      </c>
      <c r="D9" s="127" t="s">
        <v>52</v>
      </c>
      <c r="E9" s="127">
        <v>4</v>
      </c>
      <c r="F9" s="127">
        <v>5</v>
      </c>
      <c r="G9" s="127">
        <v>6</v>
      </c>
      <c r="H9" s="127">
        <v>7</v>
      </c>
    </row>
    <row r="10" spans="1:8" x14ac:dyDescent="0.25">
      <c r="A10" s="200" t="s">
        <v>53</v>
      </c>
      <c r="B10" s="201"/>
      <c r="C10" s="202"/>
      <c r="D10" s="202"/>
      <c r="E10" s="201"/>
      <c r="F10" s="128">
        <f>SUM(F11:F16)</f>
        <v>49.309294326322799</v>
      </c>
      <c r="G10" s="128"/>
      <c r="H10" s="128">
        <f>SUM(H11:H16)</f>
        <v>482.30999999999995</v>
      </c>
    </row>
    <row r="11" spans="1:8" x14ac:dyDescent="0.25">
      <c r="A11" s="129">
        <v>1</v>
      </c>
      <c r="B11" s="146"/>
      <c r="C11" s="130" t="s">
        <v>54</v>
      </c>
      <c r="D11" s="131" t="s">
        <v>55</v>
      </c>
      <c r="E11" s="129" t="s">
        <v>56</v>
      </c>
      <c r="F11" s="129">
        <v>25.10840752670661</v>
      </c>
      <c r="G11" s="132">
        <v>9.6199999999999992</v>
      </c>
      <c r="H11" s="132">
        <f t="shared" ref="H11:H16" si="0">ROUND(F11*G11,2)</f>
        <v>241.54</v>
      </c>
    </row>
    <row r="12" spans="1:8" ht="15" customHeight="1" x14ac:dyDescent="0.25">
      <c r="A12" s="129">
        <v>2</v>
      </c>
      <c r="B12" s="144"/>
      <c r="C12" s="130" t="s">
        <v>57</v>
      </c>
      <c r="D12" s="131" t="s">
        <v>58</v>
      </c>
      <c r="E12" s="129" t="s">
        <v>56</v>
      </c>
      <c r="F12" s="129">
        <v>8.6592811508130971</v>
      </c>
      <c r="G12" s="132">
        <v>10.35</v>
      </c>
      <c r="H12" s="132">
        <f t="shared" si="0"/>
        <v>89.62</v>
      </c>
    </row>
    <row r="13" spans="1:8" x14ac:dyDescent="0.25">
      <c r="A13" s="129">
        <v>3</v>
      </c>
      <c r="B13" s="144"/>
      <c r="C13" s="130" t="s">
        <v>59</v>
      </c>
      <c r="D13" s="131" t="s">
        <v>60</v>
      </c>
      <c r="E13" s="129" t="s">
        <v>56</v>
      </c>
      <c r="F13" s="129">
        <v>4.8107117504517207</v>
      </c>
      <c r="G13" s="132">
        <v>10.5</v>
      </c>
      <c r="H13" s="132">
        <f t="shared" si="0"/>
        <v>50.51</v>
      </c>
    </row>
    <row r="14" spans="1:8" x14ac:dyDescent="0.25">
      <c r="A14" s="129">
        <v>4</v>
      </c>
      <c r="B14" s="144"/>
      <c r="C14" s="130" t="s">
        <v>61</v>
      </c>
      <c r="D14" s="131" t="s">
        <v>62</v>
      </c>
      <c r="E14" s="129" t="s">
        <v>56</v>
      </c>
      <c r="F14" s="129">
        <v>5.3060647260060456</v>
      </c>
      <c r="G14" s="132">
        <v>9.51</v>
      </c>
      <c r="H14" s="132">
        <f t="shared" si="0"/>
        <v>50.46</v>
      </c>
    </row>
    <row r="15" spans="1:8" x14ac:dyDescent="0.25">
      <c r="A15" s="129">
        <v>5</v>
      </c>
      <c r="B15" s="144"/>
      <c r="C15" s="130" t="s">
        <v>63</v>
      </c>
      <c r="D15" s="131" t="s">
        <v>64</v>
      </c>
      <c r="E15" s="129" t="s">
        <v>56</v>
      </c>
      <c r="F15" s="129">
        <v>3.9214817503291606</v>
      </c>
      <c r="G15" s="132">
        <v>9.4</v>
      </c>
      <c r="H15" s="132">
        <f t="shared" si="0"/>
        <v>36.86</v>
      </c>
    </row>
    <row r="16" spans="1:8" x14ac:dyDescent="0.25">
      <c r="A16" s="129">
        <v>6</v>
      </c>
      <c r="B16" s="144"/>
      <c r="C16" s="130" t="s">
        <v>65</v>
      </c>
      <c r="D16" s="131" t="s">
        <v>66</v>
      </c>
      <c r="E16" s="129" t="s">
        <v>56</v>
      </c>
      <c r="F16" s="129">
        <v>1.5033474220161627</v>
      </c>
      <c r="G16" s="132">
        <v>8.86</v>
      </c>
      <c r="H16" s="132">
        <f t="shared" si="0"/>
        <v>13.32</v>
      </c>
    </row>
    <row r="17" spans="1:8" x14ac:dyDescent="0.25">
      <c r="A17" s="200" t="s">
        <v>67</v>
      </c>
      <c r="B17" s="201"/>
      <c r="C17" s="202"/>
      <c r="D17" s="202"/>
      <c r="E17" s="201"/>
      <c r="F17" s="133">
        <f>F18</f>
        <v>0.38850000000000001</v>
      </c>
      <c r="G17" s="128"/>
      <c r="H17" s="128">
        <f>H18</f>
        <v>19.600000000000001</v>
      </c>
    </row>
    <row r="18" spans="1:8" x14ac:dyDescent="0.25">
      <c r="A18" s="129">
        <v>7</v>
      </c>
      <c r="B18" s="144"/>
      <c r="C18" s="139">
        <v>2</v>
      </c>
      <c r="D18" s="131" t="s">
        <v>67</v>
      </c>
      <c r="E18" s="129" t="s">
        <v>56</v>
      </c>
      <c r="F18" s="129">
        <v>0.38850000000000001</v>
      </c>
      <c r="G18" s="132"/>
      <c r="H18" s="132">
        <v>19.600000000000001</v>
      </c>
    </row>
    <row r="19" spans="1:8" x14ac:dyDescent="0.25">
      <c r="A19" s="200" t="s">
        <v>68</v>
      </c>
      <c r="B19" s="201"/>
      <c r="C19" s="202"/>
      <c r="D19" s="202"/>
      <c r="E19" s="201"/>
      <c r="F19" s="133"/>
      <c r="G19" s="128"/>
      <c r="H19" s="128">
        <f>SUM(H20:H23)</f>
        <v>34.980000000000004</v>
      </c>
    </row>
    <row r="20" spans="1:8" ht="31.5" customHeight="1" x14ac:dyDescent="0.25">
      <c r="A20" s="129">
        <v>8</v>
      </c>
      <c r="B20" s="144"/>
      <c r="C20" s="131" t="s">
        <v>69</v>
      </c>
      <c r="D20" s="131" t="s">
        <v>70</v>
      </c>
      <c r="E20" s="129" t="s">
        <v>71</v>
      </c>
      <c r="F20" s="129">
        <v>0.18636897527659319</v>
      </c>
      <c r="G20" s="132">
        <v>115.4</v>
      </c>
      <c r="H20" s="132">
        <f>ROUND(F20*G20,2)</f>
        <v>21.51</v>
      </c>
    </row>
    <row r="21" spans="1:8" ht="31.5" customHeight="1" x14ac:dyDescent="0.25">
      <c r="A21" s="129">
        <v>9</v>
      </c>
      <c r="B21" s="144"/>
      <c r="C21" s="131" t="s">
        <v>72</v>
      </c>
      <c r="D21" s="131" t="s">
        <v>73</v>
      </c>
      <c r="E21" s="129" t="s">
        <v>71</v>
      </c>
      <c r="F21" s="129">
        <v>0.18638366603257403</v>
      </c>
      <c r="G21" s="132">
        <v>65.709999999999994</v>
      </c>
      <c r="H21" s="132">
        <f>ROUND(F21*G21,2)</f>
        <v>12.25</v>
      </c>
    </row>
    <row r="22" spans="1:8" x14ac:dyDescent="0.25">
      <c r="A22" s="129">
        <v>10</v>
      </c>
      <c r="B22" s="144"/>
      <c r="C22" s="131" t="s">
        <v>74</v>
      </c>
      <c r="D22" s="131" t="s">
        <v>75</v>
      </c>
      <c r="E22" s="129" t="s">
        <v>71</v>
      </c>
      <c r="F22" s="129">
        <v>1.2501054255688582E-2</v>
      </c>
      <c r="G22" s="132">
        <v>89.99</v>
      </c>
      <c r="H22" s="132">
        <f>ROUND(F22*G22,2)</f>
        <v>1.1200000000000001</v>
      </c>
    </row>
    <row r="23" spans="1:8" ht="31.5" customHeight="1" x14ac:dyDescent="0.25">
      <c r="A23" s="129">
        <v>11</v>
      </c>
      <c r="B23" s="144"/>
      <c r="C23" s="131" t="s">
        <v>76</v>
      </c>
      <c r="D23" s="131" t="s">
        <v>77</v>
      </c>
      <c r="E23" s="129" t="s">
        <v>71</v>
      </c>
      <c r="F23" s="129">
        <v>3.2788927701218277E-3</v>
      </c>
      <c r="G23" s="132">
        <v>31.26</v>
      </c>
      <c r="H23" s="132">
        <f>ROUND(F23*G23,2)</f>
        <v>0.1</v>
      </c>
    </row>
    <row r="24" spans="1:8" x14ac:dyDescent="0.25">
      <c r="A24" s="200" t="s">
        <v>37</v>
      </c>
      <c r="B24" s="201"/>
      <c r="C24" s="202"/>
      <c r="D24" s="202"/>
      <c r="E24" s="201"/>
      <c r="F24" s="138"/>
      <c r="G24" s="128"/>
      <c r="H24" s="128">
        <f>SUM(H25:H34)</f>
        <v>14417.029999999999</v>
      </c>
    </row>
    <row r="25" spans="1:8" ht="31.5" customHeight="1" x14ac:dyDescent="0.25">
      <c r="A25" s="129">
        <v>12</v>
      </c>
      <c r="B25" s="144"/>
      <c r="C25" s="131" t="s">
        <v>78</v>
      </c>
      <c r="D25" s="131" t="s">
        <v>79</v>
      </c>
      <c r="E25" s="129" t="s">
        <v>80</v>
      </c>
      <c r="F25" s="129">
        <v>0.40000934315419595</v>
      </c>
      <c r="G25" s="132">
        <v>19707.400000000001</v>
      </c>
      <c r="H25" s="132">
        <f t="shared" ref="H25:H34" si="1">ROUND(F25*G25,2)</f>
        <v>7883.14</v>
      </c>
    </row>
    <row r="26" spans="1:8" x14ac:dyDescent="0.25">
      <c r="A26" s="129">
        <v>13</v>
      </c>
      <c r="B26" s="144"/>
      <c r="C26" s="131" t="s">
        <v>81</v>
      </c>
      <c r="D26" s="131" t="s">
        <v>82</v>
      </c>
      <c r="E26" s="129" t="s">
        <v>83</v>
      </c>
      <c r="F26" s="129">
        <v>1.2500292084452127</v>
      </c>
      <c r="G26" s="132">
        <v>575.80999999999995</v>
      </c>
      <c r="H26" s="132">
        <f t="shared" si="1"/>
        <v>719.78</v>
      </c>
    </row>
    <row r="27" spans="1:8" ht="31.5" customHeight="1" x14ac:dyDescent="0.25">
      <c r="A27" s="129">
        <v>14</v>
      </c>
      <c r="B27" s="144"/>
      <c r="C27" s="131" t="s">
        <v>84</v>
      </c>
      <c r="D27" s="131" t="s">
        <v>85</v>
      </c>
      <c r="E27" s="129" t="s">
        <v>83</v>
      </c>
      <c r="F27" s="129">
        <v>2.000046983841484</v>
      </c>
      <c r="G27" s="132">
        <v>670.8</v>
      </c>
      <c r="H27" s="132">
        <f t="shared" si="1"/>
        <v>1341.63</v>
      </c>
    </row>
    <row r="28" spans="1:8" ht="47.25" customHeight="1" x14ac:dyDescent="0.25">
      <c r="A28" s="129">
        <v>15</v>
      </c>
      <c r="B28" s="144"/>
      <c r="C28" s="131" t="s">
        <v>86</v>
      </c>
      <c r="D28" s="131" t="s">
        <v>87</v>
      </c>
      <c r="E28" s="129" t="s">
        <v>83</v>
      </c>
      <c r="F28" s="129">
        <v>0.75001733605784626</v>
      </c>
      <c r="G28" s="132">
        <v>474.61</v>
      </c>
      <c r="H28" s="132">
        <f t="shared" si="1"/>
        <v>355.97</v>
      </c>
    </row>
    <row r="29" spans="1:8" ht="31.5" customHeight="1" x14ac:dyDescent="0.25">
      <c r="A29" s="129">
        <v>16</v>
      </c>
      <c r="B29" s="144"/>
      <c r="C29" s="131" t="s">
        <v>88</v>
      </c>
      <c r="D29" s="131" t="s">
        <v>89</v>
      </c>
      <c r="E29" s="129" t="s">
        <v>83</v>
      </c>
      <c r="F29" s="129">
        <v>1.7500411828693541</v>
      </c>
      <c r="G29" s="132">
        <v>2061.4</v>
      </c>
      <c r="H29" s="132">
        <f t="shared" si="1"/>
        <v>3607.53</v>
      </c>
    </row>
    <row r="30" spans="1:8" ht="31.5" customHeight="1" x14ac:dyDescent="0.25">
      <c r="A30" s="129">
        <v>17</v>
      </c>
      <c r="B30" s="144"/>
      <c r="C30" s="131" t="s">
        <v>90</v>
      </c>
      <c r="D30" s="131" t="s">
        <v>91</v>
      </c>
      <c r="E30" s="129" t="s">
        <v>83</v>
      </c>
      <c r="F30" s="129">
        <v>0.50001155737189751</v>
      </c>
      <c r="G30" s="132">
        <v>188.24</v>
      </c>
      <c r="H30" s="132">
        <f t="shared" si="1"/>
        <v>94.12</v>
      </c>
    </row>
    <row r="31" spans="1:8" ht="31.5" customHeight="1" x14ac:dyDescent="0.25">
      <c r="A31" s="129">
        <v>18</v>
      </c>
      <c r="B31" s="144"/>
      <c r="C31" s="131" t="s">
        <v>92</v>
      </c>
      <c r="D31" s="131" t="s">
        <v>93</v>
      </c>
      <c r="E31" s="129" t="s">
        <v>83</v>
      </c>
      <c r="F31" s="129">
        <v>0.25000581053814103</v>
      </c>
      <c r="G31" s="132">
        <v>210.93</v>
      </c>
      <c r="H31" s="132">
        <f t="shared" si="1"/>
        <v>52.73</v>
      </c>
    </row>
    <row r="32" spans="1:8" ht="31.5" customHeight="1" x14ac:dyDescent="0.25">
      <c r="A32" s="129">
        <v>19</v>
      </c>
      <c r="B32" s="144"/>
      <c r="C32" s="131" t="s">
        <v>94</v>
      </c>
      <c r="D32" s="131" t="s">
        <v>95</v>
      </c>
      <c r="E32" s="129" t="s">
        <v>83</v>
      </c>
      <c r="F32" s="129">
        <v>0.25000590886037061</v>
      </c>
      <c r="G32" s="132">
        <v>286.64</v>
      </c>
      <c r="H32" s="132">
        <f t="shared" si="1"/>
        <v>71.66</v>
      </c>
    </row>
    <row r="33" spans="1:8" x14ac:dyDescent="0.25">
      <c r="A33" s="129">
        <v>20</v>
      </c>
      <c r="B33" s="144"/>
      <c r="C33" s="131" t="s">
        <v>96</v>
      </c>
      <c r="D33" s="131" t="s">
        <v>97</v>
      </c>
      <c r="E33" s="129" t="s">
        <v>83</v>
      </c>
      <c r="F33" s="129">
        <v>1.7500376604787984</v>
      </c>
      <c r="G33" s="132">
        <v>164.69</v>
      </c>
      <c r="H33" s="132">
        <f t="shared" si="1"/>
        <v>288.20999999999998</v>
      </c>
    </row>
    <row r="34" spans="1:8" ht="47.25" customHeight="1" x14ac:dyDescent="0.25">
      <c r="A34" s="129">
        <v>21</v>
      </c>
      <c r="B34" s="144"/>
      <c r="C34" s="131" t="s">
        <v>98</v>
      </c>
      <c r="D34" s="131" t="s">
        <v>99</v>
      </c>
      <c r="E34" s="129" t="s">
        <v>83</v>
      </c>
      <c r="F34" s="129">
        <v>0.25000568586652033</v>
      </c>
      <c r="G34" s="132">
        <v>9.02</v>
      </c>
      <c r="H34" s="132">
        <f t="shared" si="1"/>
        <v>2.2599999999999998</v>
      </c>
    </row>
    <row r="35" spans="1:8" x14ac:dyDescent="0.25">
      <c r="A35" s="200" t="s">
        <v>100</v>
      </c>
      <c r="B35" s="201"/>
      <c r="C35" s="202"/>
      <c r="D35" s="202"/>
      <c r="E35" s="201"/>
      <c r="F35" s="133"/>
      <c r="G35" s="128"/>
      <c r="H35" s="128">
        <f>SUM(H36:H73)</f>
        <v>697.67999999999984</v>
      </c>
    </row>
    <row r="36" spans="1:8" x14ac:dyDescent="0.25">
      <c r="A36" s="129">
        <v>22</v>
      </c>
      <c r="B36" s="144"/>
      <c r="C36" s="131" t="s">
        <v>101</v>
      </c>
      <c r="D36" s="131" t="s">
        <v>102</v>
      </c>
      <c r="E36" s="129" t="s">
        <v>103</v>
      </c>
      <c r="F36" s="129">
        <v>5.7502440868055761E-2</v>
      </c>
      <c r="G36" s="132">
        <v>4760.47</v>
      </c>
      <c r="H36" s="132">
        <f t="shared" ref="H36:H73" si="2">ROUND(F36*G36,2)</f>
        <v>273.74</v>
      </c>
    </row>
    <row r="37" spans="1:8" ht="31.5" customHeight="1" x14ac:dyDescent="0.25">
      <c r="A37" s="129">
        <v>23</v>
      </c>
      <c r="B37" s="144"/>
      <c r="C37" s="131" t="s">
        <v>104</v>
      </c>
      <c r="D37" s="131" t="s">
        <v>105</v>
      </c>
      <c r="E37" s="129" t="s">
        <v>103</v>
      </c>
      <c r="F37" s="129">
        <v>4.3751961637376803E-2</v>
      </c>
      <c r="G37" s="132">
        <v>4863.9799999999996</v>
      </c>
      <c r="H37" s="132">
        <f t="shared" si="2"/>
        <v>212.81</v>
      </c>
    </row>
    <row r="38" spans="1:8" ht="31.5" customHeight="1" x14ac:dyDescent="0.25">
      <c r="A38" s="129">
        <v>24</v>
      </c>
      <c r="B38" s="144"/>
      <c r="C38" s="131" t="s">
        <v>106</v>
      </c>
      <c r="D38" s="131" t="s">
        <v>107</v>
      </c>
      <c r="E38" s="129" t="s">
        <v>103</v>
      </c>
      <c r="F38" s="129">
        <v>3.7500972858991954E-2</v>
      </c>
      <c r="G38" s="132">
        <v>1361.22</v>
      </c>
      <c r="H38" s="132">
        <f t="shared" si="2"/>
        <v>51.05</v>
      </c>
    </row>
    <row r="39" spans="1:8" x14ac:dyDescent="0.25">
      <c r="A39" s="129">
        <v>25</v>
      </c>
      <c r="B39" s="144"/>
      <c r="C39" s="131" t="s">
        <v>108</v>
      </c>
      <c r="D39" s="131" t="s">
        <v>109</v>
      </c>
      <c r="E39" s="129" t="s">
        <v>110</v>
      </c>
      <c r="F39" s="129">
        <v>32.487269613658157</v>
      </c>
      <c r="G39" s="132">
        <v>1.1499999999999999</v>
      </c>
      <c r="H39" s="132">
        <f t="shared" si="2"/>
        <v>37.36</v>
      </c>
    </row>
    <row r="40" spans="1:8" ht="15" customHeight="1" x14ac:dyDescent="0.25">
      <c r="A40" s="129">
        <v>26</v>
      </c>
      <c r="B40" s="144"/>
      <c r="C40" s="131" t="s">
        <v>111</v>
      </c>
      <c r="D40" s="131" t="s">
        <v>112</v>
      </c>
      <c r="E40" s="129" t="s">
        <v>113</v>
      </c>
      <c r="F40" s="129">
        <v>1.5001257167280651E-3</v>
      </c>
      <c r="G40" s="132">
        <v>15481</v>
      </c>
      <c r="H40" s="132">
        <f t="shared" si="2"/>
        <v>23.22</v>
      </c>
    </row>
    <row r="41" spans="1:8" ht="31.5" customHeight="1" x14ac:dyDescent="0.25">
      <c r="A41" s="129">
        <v>27</v>
      </c>
      <c r="B41" s="144"/>
      <c r="C41" s="131" t="s">
        <v>114</v>
      </c>
      <c r="D41" s="131" t="s">
        <v>115</v>
      </c>
      <c r="E41" s="129" t="s">
        <v>116</v>
      </c>
      <c r="F41" s="129">
        <v>0.15500631560785499</v>
      </c>
      <c r="G41" s="132">
        <v>83</v>
      </c>
      <c r="H41" s="132">
        <f t="shared" si="2"/>
        <v>12.87</v>
      </c>
    </row>
    <row r="42" spans="1:8" ht="31.5" customHeight="1" x14ac:dyDescent="0.25">
      <c r="A42" s="129">
        <v>28</v>
      </c>
      <c r="B42" s="144"/>
      <c r="C42" s="131" t="s">
        <v>117</v>
      </c>
      <c r="D42" s="131" t="s">
        <v>118</v>
      </c>
      <c r="E42" s="129" t="s">
        <v>119</v>
      </c>
      <c r="F42" s="129">
        <v>6.5002648480713382E-2</v>
      </c>
      <c r="G42" s="132">
        <v>180</v>
      </c>
      <c r="H42" s="132">
        <f t="shared" si="2"/>
        <v>11.7</v>
      </c>
    </row>
    <row r="43" spans="1:8" ht="15" customHeight="1" x14ac:dyDescent="0.25">
      <c r="A43" s="129">
        <v>29</v>
      </c>
      <c r="B43" s="144"/>
      <c r="C43" s="131" t="s">
        <v>120</v>
      </c>
      <c r="D43" s="131" t="s">
        <v>121</v>
      </c>
      <c r="E43" s="129" t="s">
        <v>122</v>
      </c>
      <c r="F43" s="129">
        <v>9.6203919751455818</v>
      </c>
      <c r="G43" s="132">
        <v>1</v>
      </c>
      <c r="H43" s="132">
        <f t="shared" si="2"/>
        <v>9.6199999999999992</v>
      </c>
    </row>
    <row r="44" spans="1:8" ht="31.5" customHeight="1" x14ac:dyDescent="0.25">
      <c r="A44" s="129">
        <v>30</v>
      </c>
      <c r="B44" s="144"/>
      <c r="C44" s="131" t="s">
        <v>123</v>
      </c>
      <c r="D44" s="131" t="s">
        <v>124</v>
      </c>
      <c r="E44" s="129" t="s">
        <v>113</v>
      </c>
      <c r="F44" s="129">
        <v>1.1601233139201904E-4</v>
      </c>
      <c r="G44" s="132">
        <v>65750</v>
      </c>
      <c r="H44" s="132">
        <f t="shared" si="2"/>
        <v>7.63</v>
      </c>
    </row>
    <row r="45" spans="1:8" ht="47.25" customHeight="1" x14ac:dyDescent="0.25">
      <c r="A45" s="129">
        <v>31</v>
      </c>
      <c r="B45" s="144"/>
      <c r="C45" s="131" t="s">
        <v>125</v>
      </c>
      <c r="D45" s="131" t="s">
        <v>126</v>
      </c>
      <c r="E45" s="129" t="s">
        <v>113</v>
      </c>
      <c r="F45" s="129">
        <v>9.9987722899533505E-5</v>
      </c>
      <c r="G45" s="132">
        <v>75162.289999999994</v>
      </c>
      <c r="H45" s="132">
        <f t="shared" si="2"/>
        <v>7.52</v>
      </c>
    </row>
    <row r="46" spans="1:8" ht="47.25" customHeight="1" x14ac:dyDescent="0.25">
      <c r="A46" s="129">
        <v>32</v>
      </c>
      <c r="B46" s="144"/>
      <c r="C46" s="131" t="s">
        <v>127</v>
      </c>
      <c r="D46" s="131" t="s">
        <v>128</v>
      </c>
      <c r="E46" s="129" t="s">
        <v>129</v>
      </c>
      <c r="F46" s="129">
        <v>0.22204488698824318</v>
      </c>
      <c r="G46" s="132">
        <v>30.4</v>
      </c>
      <c r="H46" s="132">
        <f t="shared" si="2"/>
        <v>6.75</v>
      </c>
    </row>
    <row r="47" spans="1:8" x14ac:dyDescent="0.25">
      <c r="A47" s="129">
        <v>33</v>
      </c>
      <c r="B47" s="144"/>
      <c r="C47" s="131" t="s">
        <v>130</v>
      </c>
      <c r="D47" s="131" t="s">
        <v>131</v>
      </c>
      <c r="E47" s="129" t="s">
        <v>129</v>
      </c>
      <c r="F47" s="129">
        <v>4.0001629834285159E-2</v>
      </c>
      <c r="G47" s="132">
        <v>155</v>
      </c>
      <c r="H47" s="132">
        <f t="shared" si="2"/>
        <v>6.2</v>
      </c>
    </row>
    <row r="48" spans="1:8" x14ac:dyDescent="0.25">
      <c r="A48" s="129">
        <v>34</v>
      </c>
      <c r="B48" s="144"/>
      <c r="C48" s="131" t="s">
        <v>132</v>
      </c>
      <c r="D48" s="131" t="s">
        <v>133</v>
      </c>
      <c r="E48" s="129" t="s">
        <v>116</v>
      </c>
      <c r="F48" s="129">
        <v>2.500101864642823E-2</v>
      </c>
      <c r="G48" s="132">
        <v>203</v>
      </c>
      <c r="H48" s="132">
        <f t="shared" si="2"/>
        <v>5.08</v>
      </c>
    </row>
    <row r="49" spans="1:8" x14ac:dyDescent="0.25">
      <c r="A49" s="129">
        <v>35</v>
      </c>
      <c r="B49" s="144"/>
      <c r="C49" s="131" t="s">
        <v>134</v>
      </c>
      <c r="D49" s="131" t="s">
        <v>135</v>
      </c>
      <c r="E49" s="129" t="s">
        <v>136</v>
      </c>
      <c r="F49" s="129">
        <v>0.69381882424584862</v>
      </c>
      <c r="G49" s="132">
        <v>6.9</v>
      </c>
      <c r="H49" s="132">
        <f t="shared" si="2"/>
        <v>4.79</v>
      </c>
    </row>
    <row r="50" spans="1:8" x14ac:dyDescent="0.25">
      <c r="A50" s="129">
        <v>36</v>
      </c>
      <c r="B50" s="144"/>
      <c r="C50" s="131" t="s">
        <v>137</v>
      </c>
      <c r="D50" s="131" t="s">
        <v>138</v>
      </c>
      <c r="E50" s="129" t="s">
        <v>113</v>
      </c>
      <c r="F50" s="129">
        <v>3.2503335585380542E-4</v>
      </c>
      <c r="G50" s="132">
        <v>12430</v>
      </c>
      <c r="H50" s="132">
        <f t="shared" si="2"/>
        <v>4.04</v>
      </c>
    </row>
    <row r="51" spans="1:8" x14ac:dyDescent="0.25">
      <c r="A51" s="129">
        <v>37</v>
      </c>
      <c r="B51" s="144"/>
      <c r="C51" s="131" t="s">
        <v>139</v>
      </c>
      <c r="D51" s="131" t="s">
        <v>140</v>
      </c>
      <c r="E51" s="129" t="s">
        <v>129</v>
      </c>
      <c r="F51" s="129">
        <v>0.34515440426082705</v>
      </c>
      <c r="G51" s="132">
        <v>9.0399999999999991</v>
      </c>
      <c r="H51" s="132">
        <f t="shared" si="2"/>
        <v>3.12</v>
      </c>
    </row>
    <row r="52" spans="1:8" ht="31.5" customHeight="1" x14ac:dyDescent="0.25">
      <c r="A52" s="129">
        <v>38</v>
      </c>
      <c r="B52" s="144"/>
      <c r="C52" s="131" t="s">
        <v>141</v>
      </c>
      <c r="D52" s="131" t="s">
        <v>142</v>
      </c>
      <c r="E52" s="129" t="s">
        <v>113</v>
      </c>
      <c r="F52" s="129">
        <v>2.4255311601286463E-4</v>
      </c>
      <c r="G52" s="132">
        <v>12606</v>
      </c>
      <c r="H52" s="132">
        <f t="shared" si="2"/>
        <v>3.06</v>
      </c>
    </row>
    <row r="53" spans="1:8" ht="31.5" customHeight="1" x14ac:dyDescent="0.25">
      <c r="A53" s="129">
        <v>39</v>
      </c>
      <c r="B53" s="144"/>
      <c r="C53" s="131" t="s">
        <v>143</v>
      </c>
      <c r="D53" s="131" t="s">
        <v>144</v>
      </c>
      <c r="E53" s="129" t="s">
        <v>113</v>
      </c>
      <c r="F53" s="129">
        <v>6.9971131963508898E-5</v>
      </c>
      <c r="G53" s="132">
        <v>37517</v>
      </c>
      <c r="H53" s="132">
        <f t="shared" si="2"/>
        <v>2.63</v>
      </c>
    </row>
    <row r="54" spans="1:8" x14ac:dyDescent="0.25">
      <c r="A54" s="129">
        <v>40</v>
      </c>
      <c r="B54" s="144"/>
      <c r="C54" s="131" t="s">
        <v>145</v>
      </c>
      <c r="D54" s="131" t="s">
        <v>146</v>
      </c>
      <c r="E54" s="129" t="s">
        <v>113</v>
      </c>
      <c r="F54" s="129">
        <v>1.7498701707475907E-4</v>
      </c>
      <c r="G54" s="132">
        <v>12430</v>
      </c>
      <c r="H54" s="132">
        <f t="shared" si="2"/>
        <v>2.1800000000000002</v>
      </c>
    </row>
    <row r="55" spans="1:8" x14ac:dyDescent="0.25">
      <c r="A55" s="129">
        <v>41</v>
      </c>
      <c r="B55" s="144"/>
      <c r="C55" s="131" t="s">
        <v>147</v>
      </c>
      <c r="D55" s="131" t="s">
        <v>148</v>
      </c>
      <c r="E55" s="129" t="s">
        <v>129</v>
      </c>
      <c r="F55" s="129">
        <v>6.9409629814004808E-2</v>
      </c>
      <c r="G55" s="132">
        <v>28.6</v>
      </c>
      <c r="H55" s="132">
        <f t="shared" si="2"/>
        <v>1.99</v>
      </c>
    </row>
    <row r="56" spans="1:8" x14ac:dyDescent="0.25">
      <c r="A56" s="129">
        <v>42</v>
      </c>
      <c r="B56" s="144"/>
      <c r="C56" s="131" t="s">
        <v>149</v>
      </c>
      <c r="D56" s="131" t="s">
        <v>150</v>
      </c>
      <c r="E56" s="129" t="s">
        <v>113</v>
      </c>
      <c r="F56" s="129">
        <v>4.5025243229460427E-5</v>
      </c>
      <c r="G56" s="132">
        <v>42700.01</v>
      </c>
      <c r="H56" s="132">
        <f t="shared" si="2"/>
        <v>1.92</v>
      </c>
    </row>
    <row r="57" spans="1:8" ht="31.5" customHeight="1" x14ac:dyDescent="0.25">
      <c r="A57" s="129">
        <v>43</v>
      </c>
      <c r="B57" s="144"/>
      <c r="C57" s="131" t="s">
        <v>151</v>
      </c>
      <c r="D57" s="131" t="s">
        <v>152</v>
      </c>
      <c r="E57" s="129" t="s">
        <v>113</v>
      </c>
      <c r="F57" s="129">
        <v>1.4993606875156131E-5</v>
      </c>
      <c r="G57" s="132">
        <v>114220</v>
      </c>
      <c r="H57" s="132">
        <f t="shared" si="2"/>
        <v>1.71</v>
      </c>
    </row>
    <row r="58" spans="1:8" ht="47.25" customHeight="1" x14ac:dyDescent="0.25">
      <c r="A58" s="129">
        <v>44</v>
      </c>
      <c r="B58" s="144"/>
      <c r="C58" s="131" t="s">
        <v>153</v>
      </c>
      <c r="D58" s="131" t="s">
        <v>154</v>
      </c>
      <c r="E58" s="129" t="s">
        <v>129</v>
      </c>
      <c r="F58" s="129">
        <v>1.2488212679303105E-2</v>
      </c>
      <c r="G58" s="132">
        <v>91.29</v>
      </c>
      <c r="H58" s="132">
        <f t="shared" si="2"/>
        <v>1.1399999999999999</v>
      </c>
    </row>
    <row r="59" spans="1:8" ht="31.5" customHeight="1" x14ac:dyDescent="0.25">
      <c r="A59" s="129">
        <v>45</v>
      </c>
      <c r="B59" s="144"/>
      <c r="C59" s="131" t="s">
        <v>155</v>
      </c>
      <c r="D59" s="131" t="s">
        <v>156</v>
      </c>
      <c r="E59" s="129" t="s">
        <v>113</v>
      </c>
      <c r="F59" s="129">
        <v>1.0000407458571289E-4</v>
      </c>
      <c r="G59" s="132">
        <v>9800</v>
      </c>
      <c r="H59" s="132">
        <f t="shared" si="2"/>
        <v>0.98</v>
      </c>
    </row>
    <row r="60" spans="1:8" x14ac:dyDescent="0.25">
      <c r="A60" s="129">
        <v>46</v>
      </c>
      <c r="B60" s="144"/>
      <c r="C60" s="131" t="s">
        <v>157</v>
      </c>
      <c r="D60" s="131" t="s">
        <v>158</v>
      </c>
      <c r="E60" s="129" t="s">
        <v>129</v>
      </c>
      <c r="F60" s="129">
        <v>2.9990659029954188E-2</v>
      </c>
      <c r="G60" s="132">
        <v>28.26</v>
      </c>
      <c r="H60" s="132">
        <f t="shared" si="2"/>
        <v>0.85</v>
      </c>
    </row>
    <row r="61" spans="1:8" x14ac:dyDescent="0.25">
      <c r="A61" s="129">
        <v>47</v>
      </c>
      <c r="B61" s="144"/>
      <c r="C61" s="131" t="s">
        <v>159</v>
      </c>
      <c r="D61" s="131" t="s">
        <v>160</v>
      </c>
      <c r="E61" s="129" t="s">
        <v>129</v>
      </c>
      <c r="F61" s="129">
        <v>4.6304872411768866E-3</v>
      </c>
      <c r="G61" s="132">
        <v>138.76</v>
      </c>
      <c r="H61" s="132">
        <f t="shared" si="2"/>
        <v>0.64</v>
      </c>
    </row>
    <row r="62" spans="1:8" x14ac:dyDescent="0.25">
      <c r="A62" s="129">
        <v>48</v>
      </c>
      <c r="B62" s="144"/>
      <c r="C62" s="131" t="s">
        <v>161</v>
      </c>
      <c r="D62" s="131" t="s">
        <v>162</v>
      </c>
      <c r="E62" s="129" t="s">
        <v>129</v>
      </c>
      <c r="F62" s="129">
        <v>1.2508484338313376E-2</v>
      </c>
      <c r="G62" s="132">
        <v>47.57</v>
      </c>
      <c r="H62" s="132">
        <f t="shared" si="2"/>
        <v>0.6</v>
      </c>
    </row>
    <row r="63" spans="1:8" x14ac:dyDescent="0.25">
      <c r="A63" s="129">
        <v>49</v>
      </c>
      <c r="B63" s="144"/>
      <c r="C63" s="131" t="s">
        <v>163</v>
      </c>
      <c r="D63" s="131" t="s">
        <v>164</v>
      </c>
      <c r="E63" s="129" t="s">
        <v>129</v>
      </c>
      <c r="F63" s="129">
        <v>1.7542847185386255E-2</v>
      </c>
      <c r="G63" s="132">
        <v>28.93</v>
      </c>
      <c r="H63" s="132">
        <f t="shared" si="2"/>
        <v>0.51</v>
      </c>
    </row>
    <row r="64" spans="1:8" x14ac:dyDescent="0.25">
      <c r="A64" s="129">
        <v>50</v>
      </c>
      <c r="B64" s="144"/>
      <c r="C64" s="131" t="s">
        <v>165</v>
      </c>
      <c r="D64" s="131" t="s">
        <v>166</v>
      </c>
      <c r="E64" s="129" t="s">
        <v>116</v>
      </c>
      <c r="F64" s="129">
        <v>1.2524888224665819E-2</v>
      </c>
      <c r="G64" s="132">
        <v>30.74</v>
      </c>
      <c r="H64" s="132">
        <f t="shared" si="2"/>
        <v>0.39</v>
      </c>
    </row>
    <row r="65" spans="1:8" ht="47.25" customHeight="1" x14ac:dyDescent="0.25">
      <c r="A65" s="129">
        <v>51</v>
      </c>
      <c r="B65" s="144"/>
      <c r="C65" s="131" t="s">
        <v>167</v>
      </c>
      <c r="D65" s="131" t="s">
        <v>168</v>
      </c>
      <c r="E65" s="129" t="s">
        <v>169</v>
      </c>
      <c r="F65" s="129">
        <v>7.5270794911888443E-4</v>
      </c>
      <c r="G65" s="132">
        <v>405.22</v>
      </c>
      <c r="H65" s="132">
        <f t="shared" si="2"/>
        <v>0.31</v>
      </c>
    </row>
    <row r="66" spans="1:8" x14ac:dyDescent="0.25">
      <c r="A66" s="129">
        <v>52</v>
      </c>
      <c r="B66" s="144"/>
      <c r="C66" s="131" t="s">
        <v>170</v>
      </c>
      <c r="D66" s="131" t="s">
        <v>171</v>
      </c>
      <c r="E66" s="129" t="s">
        <v>129</v>
      </c>
      <c r="F66" s="129">
        <v>1.081512926067074E-2</v>
      </c>
      <c r="G66" s="132">
        <v>27.74</v>
      </c>
      <c r="H66" s="132">
        <f t="shared" si="2"/>
        <v>0.3</v>
      </c>
    </row>
    <row r="67" spans="1:8" ht="31.5" customHeight="1" x14ac:dyDescent="0.25">
      <c r="A67" s="129">
        <v>53</v>
      </c>
      <c r="B67" s="144"/>
      <c r="C67" s="131" t="s">
        <v>172</v>
      </c>
      <c r="D67" s="131" t="s">
        <v>173</v>
      </c>
      <c r="E67" s="129" t="s">
        <v>129</v>
      </c>
      <c r="F67" s="129">
        <v>7.4990889993471321E-3</v>
      </c>
      <c r="G67" s="132">
        <v>38.340000000000003</v>
      </c>
      <c r="H67" s="132">
        <f t="shared" si="2"/>
        <v>0.28999999999999998</v>
      </c>
    </row>
    <row r="68" spans="1:8" ht="31.5" x14ac:dyDescent="0.25">
      <c r="A68" s="129">
        <v>54</v>
      </c>
      <c r="B68" s="144"/>
      <c r="C68" s="131" t="s">
        <v>174</v>
      </c>
      <c r="D68" s="131" t="s">
        <v>175</v>
      </c>
      <c r="E68" s="129" t="s">
        <v>129</v>
      </c>
      <c r="F68" s="129">
        <v>6.4713206622611158E-3</v>
      </c>
      <c r="G68" s="132">
        <v>39.020000000000003</v>
      </c>
      <c r="H68" s="132">
        <f t="shared" si="2"/>
        <v>0.25</v>
      </c>
    </row>
    <row r="69" spans="1:8" ht="31.5" customHeight="1" x14ac:dyDescent="0.25">
      <c r="A69" s="129">
        <v>55</v>
      </c>
      <c r="B69" s="144"/>
      <c r="C69" s="131" t="s">
        <v>176</v>
      </c>
      <c r="D69" s="131" t="s">
        <v>177</v>
      </c>
      <c r="E69" s="129" t="s">
        <v>113</v>
      </c>
      <c r="F69" s="129">
        <v>2.498264905153739E-6</v>
      </c>
      <c r="G69" s="132">
        <v>68050</v>
      </c>
      <c r="H69" s="132">
        <f t="shared" si="2"/>
        <v>0.17</v>
      </c>
    </row>
    <row r="70" spans="1:8" ht="31.5" customHeight="1" x14ac:dyDescent="0.25">
      <c r="A70" s="129">
        <v>56</v>
      </c>
      <c r="B70" s="144"/>
      <c r="C70" s="131" t="s">
        <v>178</v>
      </c>
      <c r="D70" s="131" t="s">
        <v>179</v>
      </c>
      <c r="E70" s="129" t="s">
        <v>113</v>
      </c>
      <c r="F70" s="129">
        <v>6.0219233993805437E-6</v>
      </c>
      <c r="G70" s="132">
        <v>22419</v>
      </c>
      <c r="H70" s="132">
        <f t="shared" si="2"/>
        <v>0.14000000000000001</v>
      </c>
    </row>
    <row r="71" spans="1:8" x14ac:dyDescent="0.25">
      <c r="A71" s="129">
        <v>57</v>
      </c>
      <c r="B71" s="144"/>
      <c r="C71" s="131" t="s">
        <v>180</v>
      </c>
      <c r="D71" s="131" t="s">
        <v>181</v>
      </c>
      <c r="E71" s="129" t="s">
        <v>113</v>
      </c>
      <c r="F71" s="129">
        <v>8.9047151456615671E-5</v>
      </c>
      <c r="G71" s="132">
        <v>729.98</v>
      </c>
      <c r="H71" s="132">
        <f t="shared" si="2"/>
        <v>7.0000000000000007E-2</v>
      </c>
    </row>
    <row r="72" spans="1:8" x14ac:dyDescent="0.25">
      <c r="A72" s="129">
        <v>58</v>
      </c>
      <c r="B72" s="144"/>
      <c r="C72" s="131" t="s">
        <v>182</v>
      </c>
      <c r="D72" s="131" t="s">
        <v>183</v>
      </c>
      <c r="E72" s="129" t="s">
        <v>129</v>
      </c>
      <c r="F72" s="129">
        <v>1.4735127546559642E-3</v>
      </c>
      <c r="G72" s="132">
        <v>35.630000000000003</v>
      </c>
      <c r="H72" s="132">
        <f t="shared" si="2"/>
        <v>0.05</v>
      </c>
    </row>
    <row r="73" spans="1:8" x14ac:dyDescent="0.25">
      <c r="A73" s="129">
        <v>59</v>
      </c>
      <c r="B73" s="144"/>
      <c r="C73" s="131" t="s">
        <v>184</v>
      </c>
      <c r="D73" s="131" t="s">
        <v>185</v>
      </c>
      <c r="E73" s="129" t="s">
        <v>186</v>
      </c>
      <c r="F73" s="129">
        <v>1.2484980740203908E-2</v>
      </c>
      <c r="G73" s="132">
        <v>0.4</v>
      </c>
      <c r="H73" s="132">
        <f t="shared" si="2"/>
        <v>0</v>
      </c>
    </row>
    <row r="76" spans="1:8" x14ac:dyDescent="0.25">
      <c r="B76" s="123" t="s">
        <v>26</v>
      </c>
    </row>
    <row r="77" spans="1:8" x14ac:dyDescent="0.25">
      <c r="B77" s="122" t="s">
        <v>27</v>
      </c>
    </row>
    <row r="79" spans="1:8" x14ac:dyDescent="0.25">
      <c r="B79" s="123" t="s">
        <v>28</v>
      </c>
    </row>
    <row r="80" spans="1:8" x14ac:dyDescent="0.25">
      <c r="B80" s="122" t="s">
        <v>29</v>
      </c>
    </row>
  </sheetData>
  <mergeCells count="15">
    <mergeCell ref="A10:E10"/>
    <mergeCell ref="A17:E17"/>
    <mergeCell ref="A19:E19"/>
    <mergeCell ref="A35:E35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4:E24"/>
  </mergeCells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topLeftCell="A25" workbookViewId="0">
      <selection activeCell="C41" sqref="C41"/>
    </sheetView>
  </sheetViews>
  <sheetFormatPr defaultRowHeight="15" x14ac:dyDescent="0.25"/>
  <cols>
    <col min="1" max="1" width="4.140625" style="2" customWidth="1"/>
    <col min="2" max="2" width="36.28515625" style="2" customWidth="1"/>
    <col min="3" max="3" width="18.85546875" style="2" customWidth="1"/>
    <col min="4" max="4" width="18.28515625" style="2" customWidth="1"/>
    <col min="5" max="5" width="18.85546875" style="2" customWidth="1"/>
    <col min="6" max="6" width="12.85546875" style="2" customWidth="1"/>
    <col min="7" max="10" width="9.140625" style="2" customWidth="1"/>
    <col min="11" max="11" width="13.5703125" style="2" customWidth="1"/>
    <col min="12" max="12" width="9.140625" style="2" customWidth="1"/>
  </cols>
  <sheetData>
    <row r="1" spans="2:5" x14ac:dyDescent="0.25">
      <c r="B1" s="16"/>
      <c r="C1" s="16"/>
      <c r="D1" s="16"/>
      <c r="E1" s="16"/>
    </row>
    <row r="2" spans="2:5" x14ac:dyDescent="0.25">
      <c r="B2" s="16"/>
      <c r="C2" s="16"/>
      <c r="D2" s="16"/>
      <c r="E2" s="17" t="s">
        <v>187</v>
      </c>
    </row>
    <row r="3" spans="2:5" x14ac:dyDescent="0.25">
      <c r="B3" s="16"/>
      <c r="C3" s="16"/>
      <c r="D3" s="16"/>
      <c r="E3" s="16"/>
    </row>
    <row r="4" spans="2:5" x14ac:dyDescent="0.25">
      <c r="B4" s="16"/>
      <c r="C4" s="16"/>
      <c r="D4" s="16"/>
      <c r="E4" s="16"/>
    </row>
    <row r="5" spans="2:5" x14ac:dyDescent="0.25">
      <c r="B5" s="203" t="s">
        <v>188</v>
      </c>
      <c r="C5" s="203"/>
      <c r="D5" s="203"/>
      <c r="E5" s="203"/>
    </row>
    <row r="6" spans="2:5" x14ac:dyDescent="0.25">
      <c r="B6" s="18"/>
      <c r="C6" s="16"/>
      <c r="D6" s="16"/>
      <c r="E6" s="16"/>
    </row>
    <row r="7" spans="2:5" ht="39.75" customHeight="1" x14ac:dyDescent="0.25">
      <c r="B7" s="204" t="str">
        <f>'Прил.1 Сравнит табл'!B7</f>
        <v>Наименование разрабатываемого показателя УНЦ: Постоянная часть ПС, СКУД ПС 35 кВ</v>
      </c>
      <c r="C7" s="204"/>
      <c r="D7" s="204"/>
      <c r="E7" s="204"/>
    </row>
    <row r="8" spans="2:5" x14ac:dyDescent="0.25">
      <c r="B8" s="205" t="str">
        <f>'Прил.1 Сравнит табл'!B9</f>
        <v>Единица измерения  — 1 ПС</v>
      </c>
      <c r="C8" s="205"/>
      <c r="D8" s="205"/>
      <c r="E8" s="205"/>
    </row>
    <row r="9" spans="2:5" x14ac:dyDescent="0.25">
      <c r="B9" s="18"/>
      <c r="C9" s="16"/>
      <c r="D9" s="16"/>
      <c r="E9" s="16"/>
    </row>
    <row r="10" spans="2:5" ht="51" customHeight="1" x14ac:dyDescent="0.25">
      <c r="B10" s="54" t="s">
        <v>189</v>
      </c>
      <c r="C10" s="54" t="s">
        <v>190</v>
      </c>
      <c r="D10" s="54" t="s">
        <v>191</v>
      </c>
      <c r="E10" s="54" t="s">
        <v>192</v>
      </c>
    </row>
    <row r="11" spans="2:5" x14ac:dyDescent="0.25">
      <c r="B11" s="51" t="s">
        <v>193</v>
      </c>
      <c r="C11" s="55">
        <f>'Прил.5 Расчет СМР и ОБ'!J14</f>
        <v>22223.18</v>
      </c>
      <c r="D11" s="53">
        <f t="shared" ref="D11:D18" si="0">C11/$C$24</f>
        <v>0.36797639459572679</v>
      </c>
      <c r="E11" s="53">
        <f t="shared" ref="E11:E18" si="1">C11/$C$40</f>
        <v>0.10039478144716937</v>
      </c>
    </row>
    <row r="12" spans="2:5" x14ac:dyDescent="0.25">
      <c r="B12" s="51" t="s">
        <v>194</v>
      </c>
      <c r="C12" s="55">
        <f>'Прил.5 Расчет СМР и ОБ'!J21</f>
        <v>454.66999999999996</v>
      </c>
      <c r="D12" s="53">
        <f t="shared" si="0"/>
        <v>7.5285277503417194E-3</v>
      </c>
      <c r="E12" s="53">
        <f t="shared" si="1"/>
        <v>2.0540037600642433E-3</v>
      </c>
    </row>
    <row r="13" spans="2:5" x14ac:dyDescent="0.25">
      <c r="B13" s="51" t="s">
        <v>195</v>
      </c>
      <c r="C13" s="55">
        <f>'Прил.5 Расчет СМР и ОБ'!J24</f>
        <v>16.53</v>
      </c>
      <c r="D13" s="53">
        <f t="shared" si="0"/>
        <v>2.737074443291808E-4</v>
      </c>
      <c r="E13" s="53">
        <f t="shared" si="1"/>
        <v>7.4675439668027245E-5</v>
      </c>
    </row>
    <row r="14" spans="2:5" x14ac:dyDescent="0.25">
      <c r="B14" s="51" t="s">
        <v>196</v>
      </c>
      <c r="C14" s="55">
        <f>C13+C12</f>
        <v>471.19999999999993</v>
      </c>
      <c r="D14" s="53">
        <f t="shared" si="0"/>
        <v>7.8022351946708994E-3</v>
      </c>
      <c r="E14" s="53">
        <f t="shared" si="1"/>
        <v>2.1286791997322707E-3</v>
      </c>
    </row>
    <row r="15" spans="2:5" x14ac:dyDescent="0.25">
      <c r="B15" s="51" t="s">
        <v>197</v>
      </c>
      <c r="C15" s="55">
        <f>'Прил.5 Расчет СМР и ОБ'!J16</f>
        <v>217.02</v>
      </c>
      <c r="D15" s="53">
        <f t="shared" si="0"/>
        <v>3.5934657936067039E-3</v>
      </c>
      <c r="E15" s="53">
        <f t="shared" si="1"/>
        <v>9.8040314075954456E-4</v>
      </c>
    </row>
    <row r="16" spans="2:5" x14ac:dyDescent="0.25">
      <c r="B16" s="51" t="s">
        <v>198</v>
      </c>
      <c r="C16" s="55">
        <f>'Прил.5 Расчет СМР и ОБ'!J49</f>
        <v>4809.4900000000007</v>
      </c>
      <c r="D16" s="53">
        <f t="shared" si="0"/>
        <v>7.9636613213959581E-2</v>
      </c>
      <c r="E16" s="53">
        <f t="shared" si="1"/>
        <v>2.1727209941257132E-2</v>
      </c>
    </row>
    <row r="17" spans="2:6" x14ac:dyDescent="0.25">
      <c r="B17" s="51" t="s">
        <v>199</v>
      </c>
      <c r="C17" s="55">
        <f>'Прил.5 Расчет СМР и ОБ'!J83</f>
        <v>799.58999999999992</v>
      </c>
      <c r="D17" s="53">
        <f t="shared" si="0"/>
        <v>1.3239790405999374E-2</v>
      </c>
      <c r="E17" s="53">
        <f t="shared" si="1"/>
        <v>3.6122041623809979E-3</v>
      </c>
      <c r="F17" s="19"/>
    </row>
    <row r="18" spans="2:6" x14ac:dyDescent="0.25">
      <c r="B18" s="51" t="s">
        <v>200</v>
      </c>
      <c r="C18" s="55">
        <f>C17+C16</f>
        <v>5609.0800000000008</v>
      </c>
      <c r="D18" s="53">
        <f t="shared" si="0"/>
        <v>9.2876403619958955E-2</v>
      </c>
      <c r="E18" s="53">
        <f t="shared" si="1"/>
        <v>2.533941410363813E-2</v>
      </c>
    </row>
    <row r="19" spans="2:6" x14ac:dyDescent="0.25">
      <c r="B19" s="51" t="s">
        <v>201</v>
      </c>
      <c r="C19" s="55">
        <f>C18+C14+C11</f>
        <v>28303.46</v>
      </c>
      <c r="D19" s="53"/>
      <c r="E19" s="51"/>
    </row>
    <row r="20" spans="2:6" x14ac:dyDescent="0.25">
      <c r="B20" s="51" t="s">
        <v>202</v>
      </c>
      <c r="C20" s="55">
        <f>ROUND(C21*(C11+C15),2)</f>
        <v>10995.7</v>
      </c>
      <c r="D20" s="53">
        <f>C20/$C$24</f>
        <v>0.18206926470722162</v>
      </c>
      <c r="E20" s="53">
        <f>C20/$C$40</f>
        <v>4.967384948322609E-2</v>
      </c>
    </row>
    <row r="21" spans="2:6" x14ac:dyDescent="0.25">
      <c r="B21" s="51" t="s">
        <v>203</v>
      </c>
      <c r="C21" s="56">
        <f>'Прил.5 Расчет СМР и ОБ'!E87</f>
        <v>0.49</v>
      </c>
      <c r="D21" s="53"/>
      <c r="E21" s="51"/>
    </row>
    <row r="22" spans="2:6" x14ac:dyDescent="0.25">
      <c r="B22" s="51" t="s">
        <v>204</v>
      </c>
      <c r="C22" s="55">
        <f>ROUND(C23*(C11+C15),2)</f>
        <v>21093.79</v>
      </c>
      <c r="D22" s="53">
        <f>C22/$C$24</f>
        <v>0.34927570188242169</v>
      </c>
      <c r="E22" s="53">
        <f>C22/$C$40</f>
        <v>9.5292682547794105E-2</v>
      </c>
    </row>
    <row r="23" spans="2:6" x14ac:dyDescent="0.25">
      <c r="B23" s="51" t="s">
        <v>205</v>
      </c>
      <c r="C23" s="56">
        <f>'Прил.5 Расчет СМР и ОБ'!E86</f>
        <v>0.94</v>
      </c>
      <c r="D23" s="53"/>
      <c r="E23" s="51"/>
    </row>
    <row r="24" spans="2:6" x14ac:dyDescent="0.25">
      <c r="B24" s="51" t="s">
        <v>206</v>
      </c>
      <c r="C24" s="55">
        <f>C19+C20+C22</f>
        <v>60392.950000000004</v>
      </c>
      <c r="D24" s="53">
        <f>C24/$C$24</f>
        <v>1</v>
      </c>
      <c r="E24" s="53">
        <f>C24/$C$40</f>
        <v>0.27282940678155998</v>
      </c>
    </row>
    <row r="25" spans="2:6" ht="25.5" customHeight="1" x14ac:dyDescent="0.25">
      <c r="B25" s="51" t="s">
        <v>207</v>
      </c>
      <c r="C25" s="55">
        <f>'Прил.5 Расчет СМР и ОБ'!J40</f>
        <v>134280.69</v>
      </c>
      <c r="D25" s="53"/>
      <c r="E25" s="53">
        <f>C25/$C$40</f>
        <v>0.60662247820181914</v>
      </c>
    </row>
    <row r="26" spans="2:6" ht="25.5" customHeight="1" x14ac:dyDescent="0.25">
      <c r="B26" s="51" t="s">
        <v>208</v>
      </c>
      <c r="C26" s="55">
        <f>'Прил.5 Расчет СМР и ОБ'!J41</f>
        <v>134280.63</v>
      </c>
      <c r="D26" s="53"/>
      <c r="E26" s="53">
        <f>C26/$C$40</f>
        <v>0.60662220714759163</v>
      </c>
    </row>
    <row r="27" spans="2:6" x14ac:dyDescent="0.25">
      <c r="B27" s="51" t="s">
        <v>209</v>
      </c>
      <c r="C27" s="52">
        <f>C24+C25</f>
        <v>194673.64</v>
      </c>
      <c r="D27" s="53"/>
      <c r="E27" s="53">
        <f>C27/$C$40</f>
        <v>0.87945188498337912</v>
      </c>
    </row>
    <row r="28" spans="2:6" ht="33" customHeight="1" x14ac:dyDescent="0.25">
      <c r="B28" s="51" t="s">
        <v>210</v>
      </c>
      <c r="C28" s="51"/>
      <c r="D28" s="51"/>
      <c r="E28" s="51"/>
    </row>
    <row r="29" spans="2:6" ht="25.5" customHeight="1" x14ac:dyDescent="0.25">
      <c r="B29" s="51" t="s">
        <v>211</v>
      </c>
      <c r="C29" s="52">
        <f>ROUND(C24*3.9%,2)</f>
        <v>2355.33</v>
      </c>
      <c r="D29" s="51"/>
      <c r="E29" s="53">
        <f t="shared" ref="E29:E40" si="2">C29/$C$40</f>
        <v>1.0640369226454604E-2</v>
      </c>
    </row>
    <row r="30" spans="2:6" ht="38.25" customHeight="1" x14ac:dyDescent="0.25">
      <c r="B30" s="167" t="s">
        <v>212</v>
      </c>
      <c r="C30" s="168">
        <f>ROUND((C24+C29)*2.1%,2)</f>
        <v>1317.71</v>
      </c>
      <c r="D30" s="167"/>
      <c r="E30" s="169">
        <f t="shared" si="2"/>
        <v>5.9528477679949296E-3</v>
      </c>
    </row>
    <row r="31" spans="2:6" x14ac:dyDescent="0.25">
      <c r="B31" s="167" t="s">
        <v>213</v>
      </c>
      <c r="C31" s="168">
        <v>11650</v>
      </c>
      <c r="D31" s="167"/>
      <c r="E31" s="169">
        <f t="shared" si="2"/>
        <v>5.2629695833788105E-2</v>
      </c>
    </row>
    <row r="32" spans="2:6" ht="25.5" customHeight="1" x14ac:dyDescent="0.25">
      <c r="B32" s="167" t="s">
        <v>214</v>
      </c>
      <c r="C32" s="168">
        <v>0</v>
      </c>
      <c r="D32" s="167"/>
      <c r="E32" s="169">
        <f t="shared" si="2"/>
        <v>0</v>
      </c>
      <c r="F32" s="142"/>
    </row>
    <row r="33" spans="2:11" ht="25.5" customHeight="1" x14ac:dyDescent="0.25">
      <c r="B33" s="167" t="s">
        <v>215</v>
      </c>
      <c r="C33" s="168">
        <v>0</v>
      </c>
      <c r="D33" s="167"/>
      <c r="E33" s="169">
        <f t="shared" si="2"/>
        <v>0</v>
      </c>
      <c r="F33" s="142"/>
    </row>
    <row r="34" spans="2:11" ht="51" customHeight="1" x14ac:dyDescent="0.25">
      <c r="B34" s="167" t="s">
        <v>216</v>
      </c>
      <c r="C34" s="168">
        <v>0</v>
      </c>
      <c r="D34" s="167"/>
      <c r="E34" s="169">
        <f t="shared" si="2"/>
        <v>0</v>
      </c>
      <c r="F34" s="142"/>
    </row>
    <row r="35" spans="2:11" ht="76.5" customHeight="1" x14ac:dyDescent="0.25">
      <c r="B35" s="51" t="s">
        <v>217</v>
      </c>
      <c r="C35" s="52">
        <v>0</v>
      </c>
      <c r="D35" s="51"/>
      <c r="E35" s="53">
        <f t="shared" si="2"/>
        <v>0</v>
      </c>
      <c r="F35" s="142"/>
    </row>
    <row r="36" spans="2:11" ht="25.5" customHeight="1" x14ac:dyDescent="0.25">
      <c r="B36" s="51" t="s">
        <v>218</v>
      </c>
      <c r="C36" s="52">
        <f>ROUND(SUM(C27:C35)*2.14%,2)</f>
        <v>4493.93</v>
      </c>
      <c r="D36" s="51"/>
      <c r="E36" s="53">
        <f t="shared" si="2"/>
        <v>2.0301645407582437E-2</v>
      </c>
      <c r="F36" s="91"/>
      <c r="K36" s="20"/>
    </row>
    <row r="37" spans="2:11" x14ac:dyDescent="0.25">
      <c r="B37" s="51" t="s">
        <v>219</v>
      </c>
      <c r="C37" s="52">
        <f>ROUND(SUM(C27:C35)*0.2%,2)</f>
        <v>419.99</v>
      </c>
      <c r="D37" s="51"/>
      <c r="E37" s="53">
        <f t="shared" si="2"/>
        <v>1.897334416586495E-3</v>
      </c>
      <c r="F37" s="91"/>
      <c r="K37" s="20"/>
    </row>
    <row r="38" spans="2:11" ht="38.25" customHeight="1" x14ac:dyDescent="0.25">
      <c r="B38" s="51" t="s">
        <v>220</v>
      </c>
      <c r="C38" s="55">
        <f>SUM(C27:C37)</f>
        <v>214910.59999999998</v>
      </c>
      <c r="D38" s="51"/>
      <c r="E38" s="53">
        <f t="shared" si="2"/>
        <v>0.97087377763578553</v>
      </c>
    </row>
    <row r="39" spans="2:11" ht="13.5" customHeight="1" x14ac:dyDescent="0.25">
      <c r="B39" s="51" t="s">
        <v>221</v>
      </c>
      <c r="C39" s="55">
        <f>ROUND(C38*3%,2)</f>
        <v>6447.32</v>
      </c>
      <c r="D39" s="51"/>
      <c r="E39" s="53">
        <f t="shared" si="2"/>
        <v>2.9126222364214482E-2</v>
      </c>
    </row>
    <row r="40" spans="2:11" x14ac:dyDescent="0.25">
      <c r="B40" s="51" t="s">
        <v>222</v>
      </c>
      <c r="C40" s="55">
        <f>C39+C38</f>
        <v>221357.91999999998</v>
      </c>
      <c r="D40" s="51"/>
      <c r="E40" s="53">
        <f t="shared" si="2"/>
        <v>1</v>
      </c>
    </row>
    <row r="41" spans="2:11" x14ac:dyDescent="0.25">
      <c r="B41" s="51" t="s">
        <v>223</v>
      </c>
      <c r="C41" s="55">
        <f>C40/'Прил.5 Расчет СМР и ОБ'!E90</f>
        <v>221357.91999999998</v>
      </c>
      <c r="D41" s="51"/>
      <c r="E41" s="51"/>
    </row>
    <row r="42" spans="2:11" x14ac:dyDescent="0.25">
      <c r="B42" s="21"/>
      <c r="C42" s="16"/>
      <c r="D42" s="16"/>
      <c r="E42" s="16"/>
    </row>
    <row r="43" spans="2:11" x14ac:dyDescent="0.25">
      <c r="B43" s="97" t="s">
        <v>26</v>
      </c>
      <c r="C43" s="98"/>
      <c r="D43" s="16"/>
      <c r="E43" s="16"/>
    </row>
    <row r="44" spans="2:11" x14ac:dyDescent="0.25">
      <c r="B44" s="99" t="s">
        <v>27</v>
      </c>
      <c r="C44" s="98"/>
      <c r="D44" s="16"/>
      <c r="E44" s="16"/>
    </row>
    <row r="45" spans="2:11" x14ac:dyDescent="0.25">
      <c r="B45" s="97"/>
      <c r="C45" s="98"/>
      <c r="D45" s="16"/>
      <c r="E45" s="16"/>
    </row>
    <row r="46" spans="2:11" x14ac:dyDescent="0.25">
      <c r="B46" s="97" t="s">
        <v>28</v>
      </c>
      <c r="C46" s="98"/>
      <c r="D46" s="16"/>
      <c r="E46" s="16"/>
    </row>
    <row r="47" spans="2:11" x14ac:dyDescent="0.25">
      <c r="B47" s="99" t="s">
        <v>29</v>
      </c>
      <c r="C47" s="98"/>
      <c r="D47" s="16"/>
      <c r="E47" s="16"/>
    </row>
    <row r="49" spans="2:5" x14ac:dyDescent="0.25">
      <c r="B49" s="16"/>
      <c r="C49" s="16"/>
      <c r="D49" s="16"/>
      <c r="E49" s="16"/>
    </row>
    <row r="50" spans="2:5" x14ac:dyDescent="0.25">
      <c r="B50" s="16"/>
      <c r="C50" s="16"/>
      <c r="D50" s="16"/>
      <c r="E50" s="1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view="pageBreakPreview" workbookViewId="0">
      <selection activeCell="A6" sqref="A6"/>
    </sheetView>
  </sheetViews>
  <sheetFormatPr defaultColWidth="9.140625" defaultRowHeight="15" outlineLevelRow="1" x14ac:dyDescent="0.25"/>
  <cols>
    <col min="1" max="1" width="5.7109375" style="57" customWidth="1"/>
    <col min="2" max="2" width="22.5703125" style="57" customWidth="1"/>
    <col min="3" max="3" width="39.140625" style="57" customWidth="1"/>
    <col min="4" max="4" width="10.7109375" style="57" customWidth="1"/>
    <col min="5" max="5" width="12.7109375" style="57" customWidth="1"/>
    <col min="6" max="6" width="14.5703125" style="57" customWidth="1"/>
    <col min="7" max="7" width="13.42578125" style="57" customWidth="1"/>
    <col min="8" max="8" width="12.7109375" style="57" customWidth="1"/>
    <col min="9" max="9" width="14.5703125" style="57" customWidth="1"/>
    <col min="10" max="10" width="15.140625" style="57" customWidth="1"/>
    <col min="11" max="11" width="9.140625" style="58"/>
  </cols>
  <sheetData>
    <row r="2" spans="1:10" ht="15.75" customHeight="1" x14ac:dyDescent="0.25">
      <c r="I2" s="95"/>
      <c r="J2" s="93" t="s">
        <v>224</v>
      </c>
    </row>
    <row r="4" spans="1:10" s="60" customFormat="1" ht="12.75" customHeight="1" x14ac:dyDescent="0.2">
      <c r="A4" s="203" t="s">
        <v>225</v>
      </c>
      <c r="B4" s="203"/>
      <c r="C4" s="203"/>
      <c r="D4" s="203"/>
      <c r="E4" s="203"/>
      <c r="F4" s="203"/>
      <c r="G4" s="203"/>
      <c r="H4" s="203"/>
      <c r="I4" s="59"/>
      <c r="J4" s="59"/>
    </row>
    <row r="5" spans="1:10" s="60" customFormat="1" ht="12.75" customHeight="1" x14ac:dyDescent="0.2">
      <c r="A5" s="104"/>
      <c r="B5" s="104"/>
      <c r="C5" s="104"/>
      <c r="D5" s="104"/>
      <c r="E5" s="104"/>
      <c r="F5" s="104"/>
      <c r="G5" s="104"/>
      <c r="H5" s="104"/>
      <c r="I5" s="104"/>
      <c r="J5" s="104"/>
    </row>
    <row r="6" spans="1:10" s="60" customFormat="1" ht="41.25" customHeight="1" x14ac:dyDescent="0.2">
      <c r="A6" s="135" t="s">
        <v>226</v>
      </c>
      <c r="B6" s="136"/>
      <c r="C6" s="136"/>
      <c r="D6" s="217" t="s">
        <v>346</v>
      </c>
      <c r="E6" s="217"/>
      <c r="F6" s="217"/>
      <c r="G6" s="217"/>
      <c r="H6" s="217"/>
      <c r="I6" s="217"/>
      <c r="J6" s="217"/>
    </row>
    <row r="7" spans="1:10" s="60" customFormat="1" ht="12.75" customHeight="1" x14ac:dyDescent="0.2">
      <c r="A7" s="217" t="str">
        <f>'Прил.1 Сравнит табл'!B9</f>
        <v>Единица измерения  — 1 ПС</v>
      </c>
      <c r="B7" s="204"/>
      <c r="C7" s="204"/>
      <c r="D7" s="204"/>
      <c r="E7" s="204"/>
      <c r="F7" s="204"/>
      <c r="G7" s="204"/>
      <c r="H7" s="204"/>
      <c r="I7" s="137"/>
      <c r="J7" s="137"/>
    </row>
    <row r="8" spans="1:10" s="60" customFormat="1" ht="12.75" customHeight="1" x14ac:dyDescent="0.2"/>
    <row r="9" spans="1:10" ht="27" customHeight="1" x14ac:dyDescent="0.25">
      <c r="A9" s="207" t="s">
        <v>227</v>
      </c>
      <c r="B9" s="207" t="s">
        <v>45</v>
      </c>
      <c r="C9" s="207" t="s">
        <v>189</v>
      </c>
      <c r="D9" s="207" t="s">
        <v>47</v>
      </c>
      <c r="E9" s="220" t="s">
        <v>228</v>
      </c>
      <c r="F9" s="215" t="s">
        <v>49</v>
      </c>
      <c r="G9" s="216"/>
      <c r="H9" s="220" t="s">
        <v>229</v>
      </c>
      <c r="I9" s="215" t="s">
        <v>230</v>
      </c>
      <c r="J9" s="216"/>
    </row>
    <row r="10" spans="1:10" ht="28.5" customHeight="1" x14ac:dyDescent="0.25">
      <c r="A10" s="207"/>
      <c r="B10" s="207"/>
      <c r="C10" s="207"/>
      <c r="D10" s="207"/>
      <c r="E10" s="221"/>
      <c r="F10" s="61" t="s">
        <v>231</v>
      </c>
      <c r="G10" s="61" t="s">
        <v>51</v>
      </c>
      <c r="H10" s="221"/>
      <c r="I10" s="61" t="s">
        <v>231</v>
      </c>
      <c r="J10" s="61" t="s">
        <v>51</v>
      </c>
    </row>
    <row r="11" spans="1:10" x14ac:dyDescent="0.25">
      <c r="A11" s="61">
        <v>1</v>
      </c>
      <c r="B11" s="61">
        <v>2</v>
      </c>
      <c r="C11" s="61">
        <v>3</v>
      </c>
      <c r="D11" s="61">
        <v>4</v>
      </c>
      <c r="E11" s="61">
        <v>5</v>
      </c>
      <c r="F11" s="61">
        <v>6</v>
      </c>
      <c r="G11" s="61">
        <v>7</v>
      </c>
      <c r="H11" s="61">
        <v>8</v>
      </c>
      <c r="I11" s="61">
        <v>9</v>
      </c>
      <c r="J11" s="61">
        <v>10</v>
      </c>
    </row>
    <row r="12" spans="1:10" x14ac:dyDescent="0.25">
      <c r="A12" s="61"/>
      <c r="B12" s="218" t="s">
        <v>232</v>
      </c>
      <c r="C12" s="206"/>
      <c r="D12" s="207"/>
      <c r="E12" s="208"/>
      <c r="F12" s="209"/>
      <c r="G12" s="209"/>
      <c r="H12" s="219"/>
      <c r="I12" s="62"/>
      <c r="J12" s="62"/>
    </row>
    <row r="13" spans="1:10" ht="25.5" customHeight="1" x14ac:dyDescent="0.25">
      <c r="A13" s="61">
        <v>1</v>
      </c>
      <c r="B13" s="110" t="s">
        <v>233</v>
      </c>
      <c r="C13" s="111" t="s">
        <v>234</v>
      </c>
      <c r="D13" s="61" t="s">
        <v>235</v>
      </c>
      <c r="E13" s="68">
        <v>49.308149999999998</v>
      </c>
      <c r="F13" s="63">
        <v>9.76</v>
      </c>
      <c r="G13" s="63">
        <f>F13*E13</f>
        <v>481.24754399999995</v>
      </c>
      <c r="H13" s="66">
        <f>G13/G14</f>
        <v>1</v>
      </c>
      <c r="I13" s="63">
        <f>ФОТр.тек.!E13</f>
        <v>450.69987855412063</v>
      </c>
      <c r="J13" s="64">
        <f>ROUND(I13*E13,2)</f>
        <v>22223.18</v>
      </c>
    </row>
    <row r="14" spans="1:10" s="57" customFormat="1" ht="25.5" customHeight="1" x14ac:dyDescent="0.2">
      <c r="A14" s="61"/>
      <c r="B14" s="61"/>
      <c r="C14" s="65" t="s">
        <v>236</v>
      </c>
      <c r="D14" s="61" t="s">
        <v>235</v>
      </c>
      <c r="E14" s="68">
        <f>SUM(E13:E13)</f>
        <v>49.308149999999998</v>
      </c>
      <c r="F14" s="63"/>
      <c r="G14" s="63">
        <f>SUM(G13:G13)</f>
        <v>481.24754399999995</v>
      </c>
      <c r="H14" s="66">
        <v>1</v>
      </c>
      <c r="I14" s="63"/>
      <c r="J14" s="63">
        <f>SUM(J13:J13)</f>
        <v>22223.18</v>
      </c>
    </row>
    <row r="15" spans="1:10" s="57" customFormat="1" ht="14.25" customHeight="1" x14ac:dyDescent="0.2">
      <c r="A15" s="61"/>
      <c r="B15" s="206" t="s">
        <v>67</v>
      </c>
      <c r="C15" s="206"/>
      <c r="D15" s="207"/>
      <c r="E15" s="208"/>
      <c r="F15" s="209"/>
      <c r="G15" s="209"/>
      <c r="H15" s="219"/>
      <c r="I15" s="62"/>
      <c r="J15" s="62"/>
    </row>
    <row r="16" spans="1:10" s="57" customFormat="1" ht="14.25" customHeight="1" x14ac:dyDescent="0.2">
      <c r="A16" s="61">
        <v>2</v>
      </c>
      <c r="B16" s="61">
        <v>2</v>
      </c>
      <c r="C16" s="67" t="s">
        <v>67</v>
      </c>
      <c r="D16" s="61" t="s">
        <v>235</v>
      </c>
      <c r="E16" s="68">
        <v>0.38850000000000001</v>
      </c>
      <c r="F16" s="63">
        <v>12.612612612613001</v>
      </c>
      <c r="G16" s="63">
        <f>Прил.3!H18</f>
        <v>19.600000000000001</v>
      </c>
      <c r="H16" s="66">
        <v>1</v>
      </c>
      <c r="I16" s="63">
        <f>ROUND(F16*Прил.10!D10,2)</f>
        <v>558.61</v>
      </c>
      <c r="J16" s="64">
        <f>ROUND(I16*E16,2)</f>
        <v>217.02</v>
      </c>
    </row>
    <row r="17" spans="1:10" s="57" customFormat="1" ht="14.25" customHeight="1" x14ac:dyDescent="0.2">
      <c r="A17" s="61"/>
      <c r="B17" s="218" t="s">
        <v>68</v>
      </c>
      <c r="C17" s="206"/>
      <c r="D17" s="207"/>
      <c r="E17" s="208"/>
      <c r="F17" s="209"/>
      <c r="G17" s="209"/>
      <c r="H17" s="210"/>
      <c r="I17" s="69"/>
      <c r="J17" s="69"/>
    </row>
    <row r="18" spans="1:10" s="57" customFormat="1" ht="14.25" customHeight="1" x14ac:dyDescent="0.2">
      <c r="A18" s="61"/>
      <c r="B18" s="206" t="s">
        <v>237</v>
      </c>
      <c r="C18" s="206"/>
      <c r="D18" s="207"/>
      <c r="E18" s="208"/>
      <c r="F18" s="209"/>
      <c r="G18" s="209"/>
      <c r="H18" s="219"/>
      <c r="I18" s="62"/>
      <c r="J18" s="62"/>
    </row>
    <row r="19" spans="1:10" s="57" customFormat="1" ht="25.5" customHeight="1" x14ac:dyDescent="0.2">
      <c r="A19" s="61">
        <v>3</v>
      </c>
      <c r="B19" s="70" t="s">
        <v>69</v>
      </c>
      <c r="C19" s="147" t="s">
        <v>70</v>
      </c>
      <c r="D19" s="72" t="s">
        <v>71</v>
      </c>
      <c r="E19" s="68">
        <v>0.18636897527659319</v>
      </c>
      <c r="F19" s="73">
        <v>115.4</v>
      </c>
      <c r="G19" s="64">
        <f>ROUND(E19*F19,2)</f>
        <v>21.51</v>
      </c>
      <c r="H19" s="66">
        <f>G19/$G$25</f>
        <v>0.61492281303602059</v>
      </c>
      <c r="I19" s="63">
        <f>ROUND(F19*Прил.10!$D$11,2)</f>
        <v>1554.44</v>
      </c>
      <c r="J19" s="64">
        <f>ROUND(I19*E19,2)</f>
        <v>289.7</v>
      </c>
    </row>
    <row r="20" spans="1:10" s="57" customFormat="1" ht="25.5" customHeight="1" x14ac:dyDescent="0.2">
      <c r="A20" s="107">
        <v>4</v>
      </c>
      <c r="B20" s="70" t="s">
        <v>72</v>
      </c>
      <c r="C20" s="147" t="s">
        <v>73</v>
      </c>
      <c r="D20" s="72" t="s">
        <v>71</v>
      </c>
      <c r="E20" s="68">
        <v>0.18638366603257403</v>
      </c>
      <c r="F20" s="73">
        <v>65.709999999999994</v>
      </c>
      <c r="G20" s="64">
        <f>ROUND(E20*F20,2)</f>
        <v>12.25</v>
      </c>
      <c r="H20" s="108">
        <f>G20/$G$25</f>
        <v>0.35020011435105769</v>
      </c>
      <c r="I20" s="63">
        <f>ROUND(F20*Прил.10!$D$11,2)</f>
        <v>885.11</v>
      </c>
      <c r="J20" s="64">
        <f>ROUND(I20*E20,2)</f>
        <v>164.97</v>
      </c>
    </row>
    <row r="21" spans="1:10" s="57" customFormat="1" ht="14.25" customHeight="1" x14ac:dyDescent="0.2">
      <c r="B21" s="61"/>
      <c r="C21" s="67" t="s">
        <v>238</v>
      </c>
      <c r="D21" s="61"/>
      <c r="E21" s="74"/>
      <c r="F21" s="63"/>
      <c r="G21" s="63">
        <f>SUM(G19:G20)</f>
        <v>33.760000000000005</v>
      </c>
      <c r="H21" s="66">
        <f>G21/G25</f>
        <v>0.96512292738707839</v>
      </c>
      <c r="I21" s="63"/>
      <c r="J21" s="63">
        <f>SUM(J19:J20)</f>
        <v>454.66999999999996</v>
      </c>
    </row>
    <row r="22" spans="1:10" s="57" customFormat="1" ht="14.25" customHeight="1" outlineLevel="1" x14ac:dyDescent="0.2">
      <c r="A22" s="100">
        <v>5</v>
      </c>
      <c r="B22" s="70" t="s">
        <v>74</v>
      </c>
      <c r="C22" s="147" t="s">
        <v>75</v>
      </c>
      <c r="D22" s="72" t="s">
        <v>71</v>
      </c>
      <c r="E22" s="68">
        <v>1.2501054255688582E-2</v>
      </c>
      <c r="F22" s="73">
        <v>89.99</v>
      </c>
      <c r="G22" s="64">
        <f>ROUND(E22*F22,2)</f>
        <v>1.1200000000000001</v>
      </c>
      <c r="H22" s="66">
        <f>G22/$G$25</f>
        <v>3.2018296169239562E-2</v>
      </c>
      <c r="I22" s="63">
        <f>ROUND(F22*Прил.10!$D$11,2)</f>
        <v>1212.17</v>
      </c>
      <c r="J22" s="64">
        <f>ROUND(I22*E22,2)</f>
        <v>15.15</v>
      </c>
    </row>
    <row r="23" spans="1:10" s="57" customFormat="1" ht="38.25" customHeight="1" outlineLevel="1" x14ac:dyDescent="0.2">
      <c r="A23" s="61">
        <v>6</v>
      </c>
      <c r="B23" s="70" t="s">
        <v>76</v>
      </c>
      <c r="C23" s="147" t="s">
        <v>77</v>
      </c>
      <c r="D23" s="72" t="s">
        <v>71</v>
      </c>
      <c r="E23" s="68">
        <v>3.2788927701218277E-3</v>
      </c>
      <c r="F23" s="73">
        <v>31.26</v>
      </c>
      <c r="G23" s="64">
        <f>ROUND(E23*F23,2)</f>
        <v>0.1</v>
      </c>
      <c r="H23" s="66">
        <f>G23/$G$25</f>
        <v>2.858776443682104E-3</v>
      </c>
      <c r="I23" s="63">
        <f>ROUND(F23*Прил.10!$D$11,2)</f>
        <v>421.07</v>
      </c>
      <c r="J23" s="64">
        <f>ROUND(I23*E23,2)</f>
        <v>1.38</v>
      </c>
    </row>
    <row r="24" spans="1:10" s="57" customFormat="1" ht="14.25" customHeight="1" x14ac:dyDescent="0.2">
      <c r="A24" s="61"/>
      <c r="B24" s="61"/>
      <c r="C24" s="67" t="s">
        <v>239</v>
      </c>
      <c r="D24" s="61"/>
      <c r="E24" s="75"/>
      <c r="F24" s="63"/>
      <c r="G24" s="63">
        <f>SUM(G22:G23)</f>
        <v>1.2200000000000002</v>
      </c>
      <c r="H24" s="66">
        <f>G24/G25</f>
        <v>3.4877072612921674E-2</v>
      </c>
      <c r="I24" s="63"/>
      <c r="J24" s="63">
        <f>SUM(J22:J23)</f>
        <v>16.53</v>
      </c>
    </row>
    <row r="25" spans="1:10" s="57" customFormat="1" ht="25.5" customHeight="1" x14ac:dyDescent="0.2">
      <c r="A25" s="61"/>
      <c r="B25" s="76"/>
      <c r="C25" s="77" t="s">
        <v>240</v>
      </c>
      <c r="D25" s="76"/>
      <c r="E25" s="78"/>
      <c r="F25" s="79"/>
      <c r="G25" s="79">
        <f>G21+G24</f>
        <v>34.980000000000004</v>
      </c>
      <c r="H25" s="80">
        <v>1</v>
      </c>
      <c r="I25" s="79"/>
      <c r="J25" s="79">
        <f>J21+J24</f>
        <v>471.19999999999993</v>
      </c>
    </row>
    <row r="26" spans="1:10" s="50" customFormat="1" x14ac:dyDescent="0.25">
      <c r="A26" s="114"/>
      <c r="B26" s="211" t="s">
        <v>241</v>
      </c>
      <c r="C26" s="211"/>
      <c r="D26" s="211"/>
      <c r="E26" s="211"/>
      <c r="F26" s="211"/>
      <c r="G26" s="211"/>
      <c r="H26" s="211"/>
      <c r="I26" s="211"/>
      <c r="J26" s="211"/>
    </row>
    <row r="27" spans="1:10" s="50" customFormat="1" ht="15" customHeight="1" x14ac:dyDescent="0.25">
      <c r="A27" s="72"/>
      <c r="B27" s="206" t="s">
        <v>242</v>
      </c>
      <c r="C27" s="206"/>
      <c r="D27" s="206"/>
      <c r="E27" s="206"/>
      <c r="F27" s="206"/>
      <c r="G27" s="206"/>
      <c r="H27" s="206"/>
      <c r="I27" s="206"/>
      <c r="J27" s="206"/>
    </row>
    <row r="28" spans="1:10" s="50" customFormat="1" ht="25.5" customHeight="1" x14ac:dyDescent="0.25">
      <c r="A28" s="115">
        <v>7</v>
      </c>
      <c r="B28" s="70" t="s">
        <v>78</v>
      </c>
      <c r="C28" s="147" t="s">
        <v>79</v>
      </c>
      <c r="D28" s="72" t="s">
        <v>80</v>
      </c>
      <c r="E28" s="116">
        <v>0.40000934315419595</v>
      </c>
      <c r="F28" s="103">
        <v>19707.400000000001</v>
      </c>
      <c r="G28" s="64">
        <f>ROUND(E28*F28,2)</f>
        <v>7883.14</v>
      </c>
      <c r="H28" s="69">
        <f t="shared" ref="H28:H39" si="0">G28/$G$40</f>
        <v>0.36750241718405752</v>
      </c>
      <c r="I28" s="103">
        <f>ROUND(F28*Прил.10!$D$13,2)</f>
        <v>123368.32000000001</v>
      </c>
      <c r="J28" s="64">
        <f>ROUND(I28*E28,2)</f>
        <v>49348.480000000003</v>
      </c>
    </row>
    <row r="29" spans="1:10" s="50" customFormat="1" ht="25.5" customHeight="1" x14ac:dyDescent="0.25">
      <c r="A29" s="115">
        <v>8</v>
      </c>
      <c r="B29" s="70" t="s">
        <v>243</v>
      </c>
      <c r="C29" s="170" t="s">
        <v>244</v>
      </c>
      <c r="D29" s="72" t="s">
        <v>83</v>
      </c>
      <c r="E29" s="116">
        <v>1.2500292084452127</v>
      </c>
      <c r="F29" s="103">
        <v>5415.89</v>
      </c>
      <c r="G29" s="64">
        <f>ROUND(E29*F29,2)</f>
        <v>6770.02</v>
      </c>
      <c r="H29" s="69">
        <f t="shared" si="0"/>
        <v>0.31561011403887451</v>
      </c>
      <c r="I29" s="103">
        <f>ROUND(F29*Прил.10!$D$13,2)</f>
        <v>33903.47</v>
      </c>
      <c r="J29" s="64">
        <f>ROUND(I29*E29,2)</f>
        <v>42380.33</v>
      </c>
    </row>
    <row r="30" spans="1:10" s="50" customFormat="1" ht="25.5" customHeight="1" x14ac:dyDescent="0.25">
      <c r="A30" s="115">
        <v>9</v>
      </c>
      <c r="B30" s="70" t="s">
        <v>81</v>
      </c>
      <c r="C30" s="170" t="s">
        <v>82</v>
      </c>
      <c r="D30" s="72" t="s">
        <v>83</v>
      </c>
      <c r="E30" s="116">
        <v>2.000046983841484</v>
      </c>
      <c r="F30" s="103">
        <v>575.80999999999995</v>
      </c>
      <c r="G30" s="64">
        <f>ROUND(E30*F30,2)</f>
        <v>1151.6500000000001</v>
      </c>
      <c r="H30" s="69">
        <f t="shared" si="0"/>
        <v>5.3688524972285143E-2</v>
      </c>
      <c r="I30" s="103">
        <f>ROUND(F30*Прил.10!$D$13,2)</f>
        <v>3604.57</v>
      </c>
      <c r="J30" s="64">
        <f>ROUND(I30*E30,2)</f>
        <v>7209.31</v>
      </c>
    </row>
    <row r="31" spans="1:10" s="50" customFormat="1" x14ac:dyDescent="0.25">
      <c r="A31" s="118"/>
      <c r="B31" s="72"/>
      <c r="C31" s="71" t="s">
        <v>245</v>
      </c>
      <c r="D31" s="72"/>
      <c r="E31" s="116"/>
      <c r="F31" s="103"/>
      <c r="G31" s="117">
        <f>SUM(G28:G30)</f>
        <v>15804.81</v>
      </c>
      <c r="H31" s="69">
        <f t="shared" si="0"/>
        <v>0.73680105619521719</v>
      </c>
      <c r="I31" s="117"/>
      <c r="J31" s="117">
        <f>SUM(J28:J30)</f>
        <v>98938.12</v>
      </c>
    </row>
    <row r="32" spans="1:10" s="50" customFormat="1" ht="38.25" customHeight="1" outlineLevel="1" x14ac:dyDescent="0.25">
      <c r="A32" s="115">
        <v>10</v>
      </c>
      <c r="B32" s="106" t="s">
        <v>246</v>
      </c>
      <c r="C32" s="170" t="s">
        <v>247</v>
      </c>
      <c r="D32" s="72" t="s">
        <v>83</v>
      </c>
      <c r="E32" s="116">
        <v>0.75001733605784626</v>
      </c>
      <c r="F32" s="103">
        <v>2122.7199999999998</v>
      </c>
      <c r="G32" s="64">
        <f t="shared" ref="G32:G38" si="1">ROUND(E32*F32,2)</f>
        <v>1592.08</v>
      </c>
      <c r="H32" s="69">
        <f t="shared" si="0"/>
        <v>7.4220836919094965E-2</v>
      </c>
      <c r="I32" s="103">
        <f>ROUND(F32*Прил.10!$D$13,2)</f>
        <v>13288.23</v>
      </c>
      <c r="J32" s="64">
        <f t="shared" ref="J32:J38" si="2">ROUND(I32*E32,2)</f>
        <v>9966.4</v>
      </c>
    </row>
    <row r="33" spans="1:10" s="50" customFormat="1" ht="25.5" customHeight="1" outlineLevel="1" x14ac:dyDescent="0.25">
      <c r="A33" s="115">
        <v>11</v>
      </c>
      <c r="B33" s="106" t="s">
        <v>248</v>
      </c>
      <c r="C33" s="170" t="s">
        <v>249</v>
      </c>
      <c r="D33" s="72" t="s">
        <v>83</v>
      </c>
      <c r="E33" s="116">
        <v>1.7500411828693541</v>
      </c>
      <c r="F33" s="103">
        <v>615.58000000000004</v>
      </c>
      <c r="G33" s="64">
        <f t="shared" si="1"/>
        <v>1077.29</v>
      </c>
      <c r="H33" s="69">
        <f t="shared" si="0"/>
        <v>5.0221952040457651E-2</v>
      </c>
      <c r="I33" s="103">
        <f>ROUND(F33*Прил.10!$D$13,2)</f>
        <v>3853.53</v>
      </c>
      <c r="J33" s="64">
        <f t="shared" si="2"/>
        <v>6743.84</v>
      </c>
    </row>
    <row r="34" spans="1:10" s="50" customFormat="1" ht="38.25" customHeight="1" outlineLevel="1" x14ac:dyDescent="0.25">
      <c r="A34" s="115">
        <v>12</v>
      </c>
      <c r="B34" s="106" t="s">
        <v>250</v>
      </c>
      <c r="C34" s="170" t="s">
        <v>251</v>
      </c>
      <c r="D34" s="72" t="s">
        <v>83</v>
      </c>
      <c r="E34" s="116">
        <v>0.50001155737189751</v>
      </c>
      <c r="F34" s="103">
        <v>2122.7199999999998</v>
      </c>
      <c r="G34" s="64">
        <f t="shared" si="1"/>
        <v>1061.3800000000001</v>
      </c>
      <c r="H34" s="69">
        <f t="shared" si="0"/>
        <v>4.9480247154156214E-2</v>
      </c>
      <c r="I34" s="103">
        <f>ROUND(F34*Прил.10!$D$13,2)</f>
        <v>13288.23</v>
      </c>
      <c r="J34" s="64">
        <f t="shared" si="2"/>
        <v>6644.27</v>
      </c>
    </row>
    <row r="35" spans="1:10" s="50" customFormat="1" ht="25.5" customHeight="1" outlineLevel="1" x14ac:dyDescent="0.25">
      <c r="A35" s="115">
        <v>13</v>
      </c>
      <c r="B35" s="106" t="s">
        <v>252</v>
      </c>
      <c r="C35" s="170" t="s">
        <v>253</v>
      </c>
      <c r="D35" s="72" t="s">
        <v>83</v>
      </c>
      <c r="E35" s="116">
        <v>0.25000581053814103</v>
      </c>
      <c r="F35" s="103">
        <v>3451.57</v>
      </c>
      <c r="G35" s="64">
        <f t="shared" si="1"/>
        <v>862.91</v>
      </c>
      <c r="H35" s="69">
        <f t="shared" si="0"/>
        <v>4.0227816683744685E-2</v>
      </c>
      <c r="I35" s="103">
        <f>ROUND(F35*Прил.10!$D$13,2)</f>
        <v>21606.83</v>
      </c>
      <c r="J35" s="64">
        <f t="shared" si="2"/>
        <v>5401.83</v>
      </c>
    </row>
    <row r="36" spans="1:10" s="50" customFormat="1" ht="25.5" customHeight="1" outlineLevel="1" x14ac:dyDescent="0.25">
      <c r="A36" s="115">
        <v>14</v>
      </c>
      <c r="B36" s="106" t="s">
        <v>88</v>
      </c>
      <c r="C36" s="170" t="s">
        <v>89</v>
      </c>
      <c r="D36" s="72" t="s">
        <v>83</v>
      </c>
      <c r="E36" s="116">
        <v>0.25000590886037061</v>
      </c>
      <c r="F36" s="103">
        <v>2061.4</v>
      </c>
      <c r="G36" s="64">
        <f t="shared" si="1"/>
        <v>515.36</v>
      </c>
      <c r="H36" s="69">
        <f t="shared" si="0"/>
        <v>2.4025457586694627E-2</v>
      </c>
      <c r="I36" s="103">
        <f>ROUND(F36*Прил.10!$D$13,2)</f>
        <v>12904.36</v>
      </c>
      <c r="J36" s="64">
        <f t="shared" si="2"/>
        <v>3226.17</v>
      </c>
    </row>
    <row r="37" spans="1:10" s="50" customFormat="1" ht="25.5" customHeight="1" outlineLevel="1" x14ac:dyDescent="0.25">
      <c r="A37" s="115">
        <v>15</v>
      </c>
      <c r="B37" s="106" t="s">
        <v>254</v>
      </c>
      <c r="C37" s="170" t="s">
        <v>255</v>
      </c>
      <c r="D37" s="72" t="s">
        <v>83</v>
      </c>
      <c r="E37" s="116">
        <v>1.7500376604787984</v>
      </c>
      <c r="F37" s="103">
        <v>283.18</v>
      </c>
      <c r="G37" s="64">
        <f t="shared" si="1"/>
        <v>495.58</v>
      </c>
      <c r="H37" s="69">
        <f t="shared" si="0"/>
        <v>2.3103337998319859E-2</v>
      </c>
      <c r="I37" s="103">
        <f>ROUND(F37*Прил.10!$D$13,2)</f>
        <v>1772.71</v>
      </c>
      <c r="J37" s="64">
        <f t="shared" si="2"/>
        <v>3102.31</v>
      </c>
    </row>
    <row r="38" spans="1:10" s="50" customFormat="1" ht="25.5" customHeight="1" outlineLevel="1" x14ac:dyDescent="0.25">
      <c r="A38" s="115">
        <v>16</v>
      </c>
      <c r="B38" s="106" t="s">
        <v>96</v>
      </c>
      <c r="C38" s="147" t="s">
        <v>97</v>
      </c>
      <c r="D38" s="72" t="s">
        <v>83</v>
      </c>
      <c r="E38" s="116">
        <v>0.25000568586652033</v>
      </c>
      <c r="F38" s="103">
        <v>164.69</v>
      </c>
      <c r="G38" s="64">
        <f t="shared" si="1"/>
        <v>41.17</v>
      </c>
      <c r="H38" s="69">
        <f t="shared" si="0"/>
        <v>1.9192954223149214E-3</v>
      </c>
      <c r="I38" s="103">
        <f>ROUND(F38*Прил.10!$D$13,2)</f>
        <v>1030.96</v>
      </c>
      <c r="J38" s="64">
        <f t="shared" si="2"/>
        <v>257.75</v>
      </c>
    </row>
    <row r="39" spans="1:10" s="50" customFormat="1" x14ac:dyDescent="0.25">
      <c r="A39" s="118"/>
      <c r="B39" s="72"/>
      <c r="C39" s="71" t="s">
        <v>256</v>
      </c>
      <c r="D39" s="72"/>
      <c r="E39" s="119"/>
      <c r="F39" s="103"/>
      <c r="G39" s="117">
        <f>SUM(G32:G38)</f>
        <v>5645.7699999999995</v>
      </c>
      <c r="H39" s="69">
        <f t="shared" si="0"/>
        <v>0.26319894380478293</v>
      </c>
      <c r="I39" s="117"/>
      <c r="J39" s="117">
        <f>SUM(J32:J38)</f>
        <v>35342.569999999992</v>
      </c>
    </row>
    <row r="40" spans="1:10" s="50" customFormat="1" x14ac:dyDescent="0.25">
      <c r="A40" s="115"/>
      <c r="B40" s="72"/>
      <c r="C40" s="112" t="s">
        <v>257</v>
      </c>
      <c r="D40" s="72"/>
      <c r="E40" s="119"/>
      <c r="F40" s="103"/>
      <c r="G40" s="117">
        <f>G31+G39</f>
        <v>21450.579999999998</v>
      </c>
      <c r="H40" s="120">
        <f>(G31+G39)/G40</f>
        <v>1</v>
      </c>
      <c r="I40" s="117"/>
      <c r="J40" s="117">
        <f>J39+J31</f>
        <v>134280.69</v>
      </c>
    </row>
    <row r="41" spans="1:10" s="50" customFormat="1" ht="25.5" customHeight="1" x14ac:dyDescent="0.25">
      <c r="A41" s="115"/>
      <c r="B41" s="72"/>
      <c r="C41" s="71" t="s">
        <v>258</v>
      </c>
      <c r="D41" s="72"/>
      <c r="E41" s="119"/>
      <c r="F41" s="103"/>
      <c r="G41" s="117">
        <f>'Прил.6 Расчет ОБ'!G24</f>
        <v>21450.58</v>
      </c>
      <c r="H41" s="69">
        <f>G41/$G$40</f>
        <v>1.0000000000000002</v>
      </c>
      <c r="I41" s="117"/>
      <c r="J41" s="117">
        <f>ROUND(G41*Прил.10!$D$13,2)</f>
        <v>134280.63</v>
      </c>
    </row>
    <row r="42" spans="1:10" s="57" customFormat="1" ht="14.25" customHeight="1" x14ac:dyDescent="0.2">
      <c r="A42" s="113"/>
      <c r="B42" s="212" t="s">
        <v>100</v>
      </c>
      <c r="C42" s="213"/>
      <c r="D42" s="213"/>
      <c r="E42" s="213"/>
      <c r="F42" s="213"/>
      <c r="G42" s="213"/>
      <c r="H42" s="213"/>
      <c r="I42" s="213"/>
      <c r="J42" s="214"/>
    </row>
    <row r="43" spans="1:10" s="57" customFormat="1" ht="14.25" customHeight="1" x14ac:dyDescent="0.2">
      <c r="A43" s="61"/>
      <c r="B43" s="206" t="s">
        <v>259</v>
      </c>
      <c r="C43" s="206"/>
      <c r="D43" s="207"/>
      <c r="E43" s="208"/>
      <c r="F43" s="209"/>
      <c r="G43" s="209"/>
      <c r="H43" s="210"/>
      <c r="I43" s="69"/>
      <c r="J43" s="69"/>
    </row>
    <row r="44" spans="1:10" s="57" customFormat="1" ht="14.25" customHeight="1" x14ac:dyDescent="0.2">
      <c r="A44" s="61">
        <v>17</v>
      </c>
      <c r="B44" s="70" t="s">
        <v>101</v>
      </c>
      <c r="C44" s="82" t="s">
        <v>102</v>
      </c>
      <c r="D44" s="83" t="s">
        <v>103</v>
      </c>
      <c r="E44" s="68">
        <v>5.7502440868055761E-2</v>
      </c>
      <c r="F44" s="84">
        <v>4760.47</v>
      </c>
      <c r="G44" s="63">
        <f>ROUND(E44*F44,2)</f>
        <v>273.74</v>
      </c>
      <c r="H44" s="90">
        <f t="shared" ref="H44:H82" si="3">G44/$G$84</f>
        <v>0.39235752780644417</v>
      </c>
      <c r="I44" s="63">
        <f>ROUND(F44*Прил.10!$D$12,2)</f>
        <v>38274.18</v>
      </c>
      <c r="J44" s="63">
        <f>ROUND(I44*E44,2)</f>
        <v>2200.86</v>
      </c>
    </row>
    <row r="45" spans="1:10" s="57" customFormat="1" ht="25.5" customHeight="1" x14ac:dyDescent="0.2">
      <c r="A45" s="88">
        <v>18</v>
      </c>
      <c r="B45" s="70" t="s">
        <v>104</v>
      </c>
      <c r="C45" s="82" t="s">
        <v>105</v>
      </c>
      <c r="D45" s="83" t="s">
        <v>103</v>
      </c>
      <c r="E45" s="68">
        <v>4.3751961637376803E-2</v>
      </c>
      <c r="F45" s="84">
        <v>4863.9799999999996</v>
      </c>
      <c r="G45" s="63">
        <f>ROUND(E45*F45,2)</f>
        <v>212.81</v>
      </c>
      <c r="H45" s="90">
        <f t="shared" si="3"/>
        <v>0.30502522646485491</v>
      </c>
      <c r="I45" s="63">
        <f>ROUND(F45*Прил.10!$D$12,2)</f>
        <v>39106.400000000001</v>
      </c>
      <c r="J45" s="63">
        <f>ROUND(I45*E45,2)</f>
        <v>1710.98</v>
      </c>
    </row>
    <row r="46" spans="1:10" s="57" customFormat="1" ht="25.5" customHeight="1" x14ac:dyDescent="0.2">
      <c r="A46" s="149">
        <v>19</v>
      </c>
      <c r="B46" s="70" t="s">
        <v>106</v>
      </c>
      <c r="C46" s="82" t="s">
        <v>107</v>
      </c>
      <c r="D46" s="83" t="s">
        <v>103</v>
      </c>
      <c r="E46" s="68">
        <v>3.7500972858991954E-2</v>
      </c>
      <c r="F46" s="84">
        <v>1361.22</v>
      </c>
      <c r="G46" s="63">
        <f>ROUND(E46*F46,2)</f>
        <v>51.05</v>
      </c>
      <c r="H46" s="94">
        <f t="shared" si="3"/>
        <v>7.3171081298016277E-2</v>
      </c>
      <c r="I46" s="63">
        <f>ROUND(F46*Прил.10!$D$12,2)</f>
        <v>10944.21</v>
      </c>
      <c r="J46" s="63">
        <f>ROUND(I46*E46,2)</f>
        <v>410.42</v>
      </c>
    </row>
    <row r="47" spans="1:10" s="57" customFormat="1" ht="14.25" customHeight="1" x14ac:dyDescent="0.2">
      <c r="A47" s="149">
        <v>20</v>
      </c>
      <c r="B47" s="70" t="s">
        <v>108</v>
      </c>
      <c r="C47" s="82" t="s">
        <v>109</v>
      </c>
      <c r="D47" s="83" t="s">
        <v>110</v>
      </c>
      <c r="E47" s="68">
        <v>32.487269613658157</v>
      </c>
      <c r="F47" s="84">
        <v>1.1499999999999999</v>
      </c>
      <c r="G47" s="63">
        <f>ROUND(E47*F47,2)</f>
        <v>37.36</v>
      </c>
      <c r="H47" s="101">
        <f t="shared" si="3"/>
        <v>5.3548904942093793E-2</v>
      </c>
      <c r="I47" s="63">
        <f>ROUND(F47*Прил.10!$D$12,2)</f>
        <v>9.25</v>
      </c>
      <c r="J47" s="63">
        <f>ROUND(I47*E47,2)</f>
        <v>300.51</v>
      </c>
    </row>
    <row r="48" spans="1:10" s="57" customFormat="1" ht="25.5" customHeight="1" x14ac:dyDescent="0.2">
      <c r="A48" s="149">
        <v>21</v>
      </c>
      <c r="B48" s="70" t="s">
        <v>111</v>
      </c>
      <c r="C48" s="82" t="s">
        <v>112</v>
      </c>
      <c r="D48" s="83" t="s">
        <v>113</v>
      </c>
      <c r="E48" s="68">
        <v>1.5001257167280651E-3</v>
      </c>
      <c r="F48" s="84">
        <v>15481</v>
      </c>
      <c r="G48" s="63">
        <f>ROUND(E48*F48,2)</f>
        <v>23.22</v>
      </c>
      <c r="H48" s="101">
        <f t="shared" si="3"/>
        <v>3.3281733746130027E-2</v>
      </c>
      <c r="I48" s="63">
        <f>ROUND(F48*Прил.10!$D$12,2)</f>
        <v>124467.24</v>
      </c>
      <c r="J48" s="63">
        <f>ROUND(I48*E48,2)</f>
        <v>186.72</v>
      </c>
    </row>
    <row r="49" spans="1:10" s="57" customFormat="1" ht="14.25" customHeight="1" x14ac:dyDescent="0.2">
      <c r="B49" s="61"/>
      <c r="C49" s="67" t="s">
        <v>260</v>
      </c>
      <c r="D49" s="61"/>
      <c r="E49" s="68"/>
      <c r="F49" s="81"/>
      <c r="G49" s="63">
        <f>SUM(G44:G48)</f>
        <v>598.18000000000006</v>
      </c>
      <c r="H49" s="66">
        <f t="shared" si="3"/>
        <v>0.85738447425753928</v>
      </c>
      <c r="I49" s="63"/>
      <c r="J49" s="63">
        <f>SUM(J44:J48)</f>
        <v>4809.4900000000007</v>
      </c>
    </row>
    <row r="50" spans="1:10" s="57" customFormat="1" ht="25.5" customHeight="1" outlineLevel="1" x14ac:dyDescent="0.2">
      <c r="A50" s="92">
        <v>22</v>
      </c>
      <c r="B50" s="106" t="s">
        <v>114</v>
      </c>
      <c r="C50" s="82" t="s">
        <v>115</v>
      </c>
      <c r="D50" s="83" t="s">
        <v>116</v>
      </c>
      <c r="E50" s="68">
        <v>0.15500631560785499</v>
      </c>
      <c r="F50" s="84">
        <v>83</v>
      </c>
      <c r="G50" s="63">
        <f t="shared" ref="G50:G82" si="4">ROUND(F50*E50,2)</f>
        <v>12.87</v>
      </c>
      <c r="H50" s="66">
        <f t="shared" si="3"/>
        <v>1.8446852425180595E-2</v>
      </c>
      <c r="I50" s="63">
        <f>ROUND(F50*Прил.10!$D$12,2)</f>
        <v>667.32</v>
      </c>
      <c r="J50" s="63">
        <f t="shared" ref="J50:J82" si="5">ROUND(I50*E50,2)</f>
        <v>103.44</v>
      </c>
    </row>
    <row r="51" spans="1:10" s="57" customFormat="1" ht="25.5" customHeight="1" outlineLevel="1" x14ac:dyDescent="0.2">
      <c r="A51" s="61">
        <v>23</v>
      </c>
      <c r="B51" s="70" t="s">
        <v>117</v>
      </c>
      <c r="C51" s="82" t="s">
        <v>118</v>
      </c>
      <c r="D51" s="83" t="s">
        <v>119</v>
      </c>
      <c r="E51" s="68">
        <v>6.5002648480713382E-2</v>
      </c>
      <c r="F51" s="84">
        <v>180</v>
      </c>
      <c r="G51" s="63">
        <f t="shared" si="4"/>
        <v>11.7</v>
      </c>
      <c r="H51" s="66">
        <f t="shared" si="3"/>
        <v>1.6769865841073268E-2</v>
      </c>
      <c r="I51" s="63">
        <f>ROUND(F51*Прил.10!$D$12,2)</f>
        <v>1447.2</v>
      </c>
      <c r="J51" s="63">
        <f t="shared" si="5"/>
        <v>94.07</v>
      </c>
    </row>
    <row r="52" spans="1:10" s="57" customFormat="1" ht="25.5" customHeight="1" outlineLevel="1" x14ac:dyDescent="0.2">
      <c r="A52" s="149">
        <v>24</v>
      </c>
      <c r="B52" s="70" t="s">
        <v>120</v>
      </c>
      <c r="C52" s="82" t="s">
        <v>121</v>
      </c>
      <c r="D52" s="83" t="s">
        <v>122</v>
      </c>
      <c r="E52" s="68">
        <v>9.6203919751455818</v>
      </c>
      <c r="F52" s="84">
        <v>1</v>
      </c>
      <c r="G52" s="63">
        <f t="shared" si="4"/>
        <v>9.6199999999999992</v>
      </c>
      <c r="H52" s="101">
        <f t="shared" si="3"/>
        <v>1.3788556358215798E-2</v>
      </c>
      <c r="I52" s="63">
        <f>ROUND(F52*Прил.10!$D$12,2)</f>
        <v>8.0399999999999991</v>
      </c>
      <c r="J52" s="63">
        <f t="shared" si="5"/>
        <v>77.349999999999994</v>
      </c>
    </row>
    <row r="53" spans="1:10" s="57" customFormat="1" ht="25.5" customHeight="1" outlineLevel="1" x14ac:dyDescent="0.2">
      <c r="A53" s="149">
        <v>25</v>
      </c>
      <c r="B53" s="70" t="s">
        <v>123</v>
      </c>
      <c r="C53" s="82" t="s">
        <v>124</v>
      </c>
      <c r="D53" s="83" t="s">
        <v>113</v>
      </c>
      <c r="E53" s="68">
        <v>1.1601233139201904E-4</v>
      </c>
      <c r="F53" s="84">
        <v>65750</v>
      </c>
      <c r="G53" s="63">
        <f t="shared" si="4"/>
        <v>7.63</v>
      </c>
      <c r="H53" s="101">
        <f t="shared" si="3"/>
        <v>1.0936245843366586E-2</v>
      </c>
      <c r="I53" s="63">
        <f>ROUND(F53*Прил.10!$D$12,2)</f>
        <v>528630</v>
      </c>
      <c r="J53" s="63">
        <f t="shared" si="5"/>
        <v>61.33</v>
      </c>
    </row>
    <row r="54" spans="1:10" s="57" customFormat="1" ht="38.25" customHeight="1" outlineLevel="1" x14ac:dyDescent="0.2">
      <c r="A54" s="149">
        <v>26</v>
      </c>
      <c r="B54" s="70" t="s">
        <v>125</v>
      </c>
      <c r="C54" s="82" t="s">
        <v>126</v>
      </c>
      <c r="D54" s="83" t="s">
        <v>113</v>
      </c>
      <c r="E54" s="68">
        <v>9.9987722899533505E-5</v>
      </c>
      <c r="F54" s="84">
        <v>75162.289999999994</v>
      </c>
      <c r="G54" s="63">
        <f t="shared" si="4"/>
        <v>7.52</v>
      </c>
      <c r="H54" s="101">
        <f t="shared" si="3"/>
        <v>1.0778580438023161E-2</v>
      </c>
      <c r="I54" s="63">
        <f>ROUND(F54*Прил.10!$D$12,2)</f>
        <v>604304.81000000006</v>
      </c>
      <c r="J54" s="63">
        <f t="shared" si="5"/>
        <v>60.42</v>
      </c>
    </row>
    <row r="55" spans="1:10" s="57" customFormat="1" ht="38.25" customHeight="1" outlineLevel="1" x14ac:dyDescent="0.2">
      <c r="A55" s="149">
        <v>27</v>
      </c>
      <c r="B55" s="70" t="s">
        <v>127</v>
      </c>
      <c r="C55" s="82" t="s">
        <v>128</v>
      </c>
      <c r="D55" s="83" t="s">
        <v>129</v>
      </c>
      <c r="E55" s="68">
        <v>0.22204488698824318</v>
      </c>
      <c r="F55" s="84">
        <v>30.4</v>
      </c>
      <c r="G55" s="63">
        <f t="shared" si="4"/>
        <v>6.75</v>
      </c>
      <c r="H55" s="101">
        <f t="shared" si="3"/>
        <v>9.674922600619194E-3</v>
      </c>
      <c r="I55" s="63">
        <f>ROUND(F55*Прил.10!$D$12,2)</f>
        <v>244.42</v>
      </c>
      <c r="J55" s="63">
        <f t="shared" si="5"/>
        <v>54.27</v>
      </c>
    </row>
    <row r="56" spans="1:10" s="57" customFormat="1" ht="14.25" customHeight="1" outlineLevel="1" x14ac:dyDescent="0.2">
      <c r="A56" s="149">
        <v>28</v>
      </c>
      <c r="B56" s="70" t="s">
        <v>130</v>
      </c>
      <c r="C56" s="82" t="s">
        <v>131</v>
      </c>
      <c r="D56" s="83" t="s">
        <v>129</v>
      </c>
      <c r="E56" s="68">
        <v>4.0001629834285159E-2</v>
      </c>
      <c r="F56" s="84">
        <v>155</v>
      </c>
      <c r="G56" s="63">
        <f t="shared" si="4"/>
        <v>6.2</v>
      </c>
      <c r="H56" s="101">
        <f t="shared" si="3"/>
        <v>8.886595573902074E-3</v>
      </c>
      <c r="I56" s="63">
        <f>ROUND(F56*Прил.10!$D$12,2)</f>
        <v>1246.2</v>
      </c>
      <c r="J56" s="63">
        <f t="shared" si="5"/>
        <v>49.85</v>
      </c>
    </row>
    <row r="57" spans="1:10" s="57" customFormat="1" ht="14.25" customHeight="1" outlineLevel="1" x14ac:dyDescent="0.2">
      <c r="A57" s="149">
        <v>29</v>
      </c>
      <c r="B57" s="70" t="s">
        <v>132</v>
      </c>
      <c r="C57" s="82" t="s">
        <v>133</v>
      </c>
      <c r="D57" s="83" t="s">
        <v>116</v>
      </c>
      <c r="E57" s="68">
        <v>2.500101864642823E-2</v>
      </c>
      <c r="F57" s="84">
        <v>203</v>
      </c>
      <c r="G57" s="63">
        <f t="shared" si="4"/>
        <v>5.08</v>
      </c>
      <c r="H57" s="101">
        <f t="shared" si="3"/>
        <v>7.2812750831326677E-3</v>
      </c>
      <c r="I57" s="63">
        <f>ROUND(F57*Прил.10!$D$12,2)</f>
        <v>1632.12</v>
      </c>
      <c r="J57" s="63">
        <f t="shared" si="5"/>
        <v>40.799999999999997</v>
      </c>
    </row>
    <row r="58" spans="1:10" s="57" customFormat="1" ht="14.25" customHeight="1" outlineLevel="1" x14ac:dyDescent="0.2">
      <c r="A58" s="149">
        <v>30</v>
      </c>
      <c r="B58" s="70" t="s">
        <v>134</v>
      </c>
      <c r="C58" s="82" t="s">
        <v>135</v>
      </c>
      <c r="D58" s="83" t="s">
        <v>136</v>
      </c>
      <c r="E58" s="68">
        <v>0.69381882424584862</v>
      </c>
      <c r="F58" s="84">
        <v>6.9</v>
      </c>
      <c r="G58" s="63">
        <f t="shared" si="4"/>
        <v>4.79</v>
      </c>
      <c r="H58" s="101">
        <f t="shared" si="3"/>
        <v>6.8656117417727315E-3</v>
      </c>
      <c r="I58" s="63">
        <f>ROUND(F58*Прил.10!$D$12,2)</f>
        <v>55.48</v>
      </c>
      <c r="J58" s="63">
        <f t="shared" si="5"/>
        <v>38.49</v>
      </c>
    </row>
    <row r="59" spans="1:10" s="57" customFormat="1" ht="14.25" customHeight="1" outlineLevel="1" x14ac:dyDescent="0.2">
      <c r="A59" s="149">
        <v>31</v>
      </c>
      <c r="B59" s="70" t="s">
        <v>137</v>
      </c>
      <c r="C59" s="82" t="s">
        <v>138</v>
      </c>
      <c r="D59" s="83" t="s">
        <v>113</v>
      </c>
      <c r="E59" s="68">
        <v>3.2503335585380542E-4</v>
      </c>
      <c r="F59" s="84">
        <v>12430</v>
      </c>
      <c r="G59" s="63">
        <f t="shared" si="4"/>
        <v>4.04</v>
      </c>
      <c r="H59" s="101">
        <f t="shared" si="3"/>
        <v>5.7906203417039323E-3</v>
      </c>
      <c r="I59" s="63">
        <f>ROUND(F59*Прил.10!$D$12,2)</f>
        <v>99937.2</v>
      </c>
      <c r="J59" s="63">
        <f t="shared" si="5"/>
        <v>32.479999999999997</v>
      </c>
    </row>
    <row r="60" spans="1:10" s="57" customFormat="1" ht="14.25" customHeight="1" outlineLevel="1" x14ac:dyDescent="0.2">
      <c r="A60" s="149">
        <v>32</v>
      </c>
      <c r="B60" s="70" t="s">
        <v>139</v>
      </c>
      <c r="C60" s="82" t="s">
        <v>140</v>
      </c>
      <c r="D60" s="83" t="s">
        <v>129</v>
      </c>
      <c r="E60" s="68">
        <v>0.34515440426082705</v>
      </c>
      <c r="F60" s="84">
        <v>9.0399999999999991</v>
      </c>
      <c r="G60" s="63">
        <f t="shared" si="4"/>
        <v>3.12</v>
      </c>
      <c r="H60" s="101">
        <f t="shared" si="3"/>
        <v>4.4719642242862052E-3</v>
      </c>
      <c r="I60" s="63">
        <f>ROUND(F60*Прил.10!$D$12,2)</f>
        <v>72.680000000000007</v>
      </c>
      <c r="J60" s="63">
        <f t="shared" si="5"/>
        <v>25.09</v>
      </c>
    </row>
    <row r="61" spans="1:10" s="57" customFormat="1" ht="25.5" customHeight="1" outlineLevel="1" x14ac:dyDescent="0.2">
      <c r="A61" s="149">
        <v>33</v>
      </c>
      <c r="B61" s="70" t="s">
        <v>141</v>
      </c>
      <c r="C61" s="82" t="s">
        <v>142</v>
      </c>
      <c r="D61" s="83" t="s">
        <v>113</v>
      </c>
      <c r="E61" s="68">
        <v>2.4255311601286463E-4</v>
      </c>
      <c r="F61" s="84">
        <v>12606</v>
      </c>
      <c r="G61" s="63">
        <f t="shared" si="4"/>
        <v>3.06</v>
      </c>
      <c r="H61" s="101">
        <f t="shared" si="3"/>
        <v>4.3859649122807015E-3</v>
      </c>
      <c r="I61" s="63">
        <f>ROUND(F61*Прил.10!$D$12,2)</f>
        <v>101352.24</v>
      </c>
      <c r="J61" s="63">
        <f t="shared" si="5"/>
        <v>24.58</v>
      </c>
    </row>
    <row r="62" spans="1:10" s="57" customFormat="1" ht="38.25" customHeight="1" outlineLevel="1" x14ac:dyDescent="0.2">
      <c r="A62" s="149">
        <v>34</v>
      </c>
      <c r="B62" s="70" t="s">
        <v>143</v>
      </c>
      <c r="C62" s="82" t="s">
        <v>144</v>
      </c>
      <c r="D62" s="83" t="s">
        <v>113</v>
      </c>
      <c r="E62" s="68">
        <v>6.9971131963508898E-5</v>
      </c>
      <c r="F62" s="84">
        <v>37517</v>
      </c>
      <c r="G62" s="63">
        <f t="shared" si="4"/>
        <v>2.63</v>
      </c>
      <c r="H62" s="101">
        <f t="shared" si="3"/>
        <v>3.7696365095745894E-3</v>
      </c>
      <c r="I62" s="63">
        <f>ROUND(F62*Прил.10!$D$12,2)</f>
        <v>301636.68</v>
      </c>
      <c r="J62" s="63">
        <f t="shared" si="5"/>
        <v>21.11</v>
      </c>
    </row>
    <row r="63" spans="1:10" s="57" customFormat="1" ht="14.25" customHeight="1" outlineLevel="1" x14ac:dyDescent="0.2">
      <c r="A63" s="149">
        <v>35</v>
      </c>
      <c r="B63" s="70" t="s">
        <v>145</v>
      </c>
      <c r="C63" s="82" t="s">
        <v>146</v>
      </c>
      <c r="D63" s="83" t="s">
        <v>113</v>
      </c>
      <c r="E63" s="68">
        <v>1.7498701707475907E-4</v>
      </c>
      <c r="F63" s="84">
        <v>12430</v>
      </c>
      <c r="G63" s="63">
        <f t="shared" si="4"/>
        <v>2.1800000000000002</v>
      </c>
      <c r="H63" s="108">
        <f t="shared" si="3"/>
        <v>3.1246416695333104E-3</v>
      </c>
      <c r="I63" s="63">
        <f>ROUND(F63*Прил.10!$D$12,2)</f>
        <v>99937.2</v>
      </c>
      <c r="J63" s="63">
        <f t="shared" si="5"/>
        <v>17.489999999999998</v>
      </c>
    </row>
    <row r="64" spans="1:10" s="57" customFormat="1" ht="14.25" customHeight="1" outlineLevel="1" x14ac:dyDescent="0.2">
      <c r="A64" s="149">
        <v>36</v>
      </c>
      <c r="B64" s="70" t="s">
        <v>147</v>
      </c>
      <c r="C64" s="82" t="s">
        <v>148</v>
      </c>
      <c r="D64" s="83" t="s">
        <v>129</v>
      </c>
      <c r="E64" s="68">
        <v>6.9409629814004808E-2</v>
      </c>
      <c r="F64" s="84">
        <v>28.6</v>
      </c>
      <c r="G64" s="63">
        <f t="shared" si="4"/>
        <v>1.99</v>
      </c>
      <c r="H64" s="108">
        <f t="shared" si="3"/>
        <v>2.8523105148492143E-3</v>
      </c>
      <c r="I64" s="63">
        <f>ROUND(F64*Прил.10!$D$12,2)</f>
        <v>229.94</v>
      </c>
      <c r="J64" s="63">
        <f t="shared" si="5"/>
        <v>15.96</v>
      </c>
    </row>
    <row r="65" spans="1:10" s="57" customFormat="1" ht="14.25" customHeight="1" outlineLevel="1" x14ac:dyDescent="0.2">
      <c r="A65" s="149">
        <v>37</v>
      </c>
      <c r="B65" s="70" t="s">
        <v>149</v>
      </c>
      <c r="C65" s="82" t="s">
        <v>150</v>
      </c>
      <c r="D65" s="83" t="s">
        <v>113</v>
      </c>
      <c r="E65" s="68">
        <v>4.5025243229460427E-5</v>
      </c>
      <c r="F65" s="84">
        <v>42700.01</v>
      </c>
      <c r="G65" s="63">
        <f t="shared" si="4"/>
        <v>1.92</v>
      </c>
      <c r="H65" s="108">
        <f t="shared" si="3"/>
        <v>2.7519779841761261E-3</v>
      </c>
      <c r="I65" s="63">
        <f>ROUND(F65*Прил.10!$D$12,2)</f>
        <v>343308.08</v>
      </c>
      <c r="J65" s="63">
        <f t="shared" si="5"/>
        <v>15.46</v>
      </c>
    </row>
    <row r="66" spans="1:10" s="57" customFormat="1" ht="25.5" customHeight="1" outlineLevel="1" x14ac:dyDescent="0.2">
      <c r="A66" s="149">
        <v>38</v>
      </c>
      <c r="B66" s="70" t="s">
        <v>151</v>
      </c>
      <c r="C66" s="82" t="s">
        <v>152</v>
      </c>
      <c r="D66" s="83" t="s">
        <v>113</v>
      </c>
      <c r="E66" s="68">
        <v>1.4993606875156131E-5</v>
      </c>
      <c r="F66" s="84">
        <v>114220</v>
      </c>
      <c r="G66" s="63">
        <f t="shared" si="4"/>
        <v>1.71</v>
      </c>
      <c r="H66" s="108">
        <f t="shared" si="3"/>
        <v>2.4509803921568623E-3</v>
      </c>
      <c r="I66" s="63">
        <f>ROUND(F66*Прил.10!$D$12,2)</f>
        <v>918328.8</v>
      </c>
      <c r="J66" s="63">
        <f t="shared" si="5"/>
        <v>13.77</v>
      </c>
    </row>
    <row r="67" spans="1:10" s="57" customFormat="1" ht="38.25" customHeight="1" outlineLevel="1" x14ac:dyDescent="0.2">
      <c r="A67" s="149">
        <v>39</v>
      </c>
      <c r="B67" s="70" t="s">
        <v>153</v>
      </c>
      <c r="C67" s="82" t="s">
        <v>154</v>
      </c>
      <c r="D67" s="83" t="s">
        <v>129</v>
      </c>
      <c r="E67" s="68">
        <v>1.2488212679303105E-2</v>
      </c>
      <c r="F67" s="84">
        <v>91.29</v>
      </c>
      <c r="G67" s="63">
        <f t="shared" si="4"/>
        <v>1.1399999999999999</v>
      </c>
      <c r="H67" s="108">
        <f t="shared" si="3"/>
        <v>1.6339869281045748E-3</v>
      </c>
      <c r="I67" s="63">
        <f>ROUND(F67*Прил.10!$D$12,2)</f>
        <v>733.97</v>
      </c>
      <c r="J67" s="63">
        <f t="shared" si="5"/>
        <v>9.17</v>
      </c>
    </row>
    <row r="68" spans="1:10" s="57" customFormat="1" ht="25.5" customHeight="1" outlineLevel="1" x14ac:dyDescent="0.2">
      <c r="A68" s="149">
        <v>40</v>
      </c>
      <c r="B68" s="70" t="s">
        <v>155</v>
      </c>
      <c r="C68" s="82" t="s">
        <v>156</v>
      </c>
      <c r="D68" s="83" t="s">
        <v>113</v>
      </c>
      <c r="E68" s="68">
        <v>1.0000407458571289E-4</v>
      </c>
      <c r="F68" s="84">
        <v>9800</v>
      </c>
      <c r="G68" s="63">
        <f t="shared" si="4"/>
        <v>0.98</v>
      </c>
      <c r="H68" s="108">
        <f t="shared" si="3"/>
        <v>1.4046554294232312E-3</v>
      </c>
      <c r="I68" s="63">
        <f>ROUND(F68*Прил.10!$D$12,2)</f>
        <v>78792</v>
      </c>
      <c r="J68" s="63">
        <f t="shared" si="5"/>
        <v>7.88</v>
      </c>
    </row>
    <row r="69" spans="1:10" s="57" customFormat="1" ht="14.25" customHeight="1" outlineLevel="1" x14ac:dyDescent="0.2">
      <c r="A69" s="149">
        <v>41</v>
      </c>
      <c r="B69" s="70" t="s">
        <v>157</v>
      </c>
      <c r="C69" s="82" t="s">
        <v>158</v>
      </c>
      <c r="D69" s="83" t="s">
        <v>129</v>
      </c>
      <c r="E69" s="68">
        <v>2.9990659029954188E-2</v>
      </c>
      <c r="F69" s="84">
        <v>28.26</v>
      </c>
      <c r="G69" s="63">
        <f t="shared" si="4"/>
        <v>0.85</v>
      </c>
      <c r="H69" s="108">
        <f t="shared" si="3"/>
        <v>1.2183235867446393E-3</v>
      </c>
      <c r="I69" s="63">
        <f>ROUND(F69*Прил.10!$D$12,2)</f>
        <v>227.21</v>
      </c>
      <c r="J69" s="63">
        <f t="shared" si="5"/>
        <v>6.81</v>
      </c>
    </row>
    <row r="70" spans="1:10" s="57" customFormat="1" ht="14.25" customHeight="1" outlineLevel="1" x14ac:dyDescent="0.2">
      <c r="A70" s="149">
        <v>42</v>
      </c>
      <c r="B70" s="70" t="s">
        <v>159</v>
      </c>
      <c r="C70" s="82" t="s">
        <v>160</v>
      </c>
      <c r="D70" s="83" t="s">
        <v>129</v>
      </c>
      <c r="E70" s="68">
        <v>4.6304872411768866E-3</v>
      </c>
      <c r="F70" s="84">
        <v>138.76</v>
      </c>
      <c r="G70" s="63">
        <f t="shared" si="4"/>
        <v>0.64</v>
      </c>
      <c r="H70" s="101">
        <f t="shared" si="3"/>
        <v>9.173259947253755E-4</v>
      </c>
      <c r="I70" s="63">
        <f>ROUND(F70*Прил.10!$D$12,2)</f>
        <v>1115.6300000000001</v>
      </c>
      <c r="J70" s="63">
        <f t="shared" si="5"/>
        <v>5.17</v>
      </c>
    </row>
    <row r="71" spans="1:10" s="57" customFormat="1" ht="14.25" customHeight="1" outlineLevel="1" x14ac:dyDescent="0.2">
      <c r="A71" s="149">
        <v>43</v>
      </c>
      <c r="B71" s="70" t="s">
        <v>161</v>
      </c>
      <c r="C71" s="82" t="s">
        <v>162</v>
      </c>
      <c r="D71" s="83" t="s">
        <v>129</v>
      </c>
      <c r="E71" s="68">
        <v>1.2508484338313376E-2</v>
      </c>
      <c r="F71" s="84">
        <v>47.57</v>
      </c>
      <c r="G71" s="63">
        <f t="shared" si="4"/>
        <v>0.6</v>
      </c>
      <c r="H71" s="101">
        <f t="shared" si="3"/>
        <v>8.5999312005503945E-4</v>
      </c>
      <c r="I71" s="63">
        <f>ROUND(F71*Прил.10!$D$12,2)</f>
        <v>382.46</v>
      </c>
      <c r="J71" s="63">
        <f t="shared" si="5"/>
        <v>4.78</v>
      </c>
    </row>
    <row r="72" spans="1:10" s="57" customFormat="1" ht="14.25" customHeight="1" outlineLevel="1" x14ac:dyDescent="0.2">
      <c r="A72" s="149">
        <v>44</v>
      </c>
      <c r="B72" s="70" t="s">
        <v>163</v>
      </c>
      <c r="C72" s="82" t="s">
        <v>164</v>
      </c>
      <c r="D72" s="83" t="s">
        <v>129</v>
      </c>
      <c r="E72" s="68">
        <v>1.7542847185386255E-2</v>
      </c>
      <c r="F72" s="84">
        <v>28.93</v>
      </c>
      <c r="G72" s="63">
        <f t="shared" si="4"/>
        <v>0.51</v>
      </c>
      <c r="H72" s="101">
        <f t="shared" si="3"/>
        <v>7.3099415204678359E-4</v>
      </c>
      <c r="I72" s="63">
        <f>ROUND(F72*Прил.10!$D$12,2)</f>
        <v>232.6</v>
      </c>
      <c r="J72" s="63">
        <f t="shared" si="5"/>
        <v>4.08</v>
      </c>
    </row>
    <row r="73" spans="1:10" s="57" customFormat="1" ht="14.25" customHeight="1" outlineLevel="1" x14ac:dyDescent="0.2">
      <c r="A73" s="149">
        <v>45</v>
      </c>
      <c r="B73" s="70" t="s">
        <v>165</v>
      </c>
      <c r="C73" s="82" t="s">
        <v>166</v>
      </c>
      <c r="D73" s="83" t="s">
        <v>116</v>
      </c>
      <c r="E73" s="68">
        <v>1.2524888224665819E-2</v>
      </c>
      <c r="F73" s="84">
        <v>30.74</v>
      </c>
      <c r="G73" s="63">
        <f t="shared" si="4"/>
        <v>0.39</v>
      </c>
      <c r="H73" s="101">
        <f t="shared" si="3"/>
        <v>5.5899552803577565E-4</v>
      </c>
      <c r="I73" s="63">
        <f>ROUND(F73*Прил.10!$D$12,2)</f>
        <v>247.15</v>
      </c>
      <c r="J73" s="63">
        <f t="shared" si="5"/>
        <v>3.1</v>
      </c>
    </row>
    <row r="74" spans="1:10" s="57" customFormat="1" ht="38.25" customHeight="1" outlineLevel="1" x14ac:dyDescent="0.2">
      <c r="A74" s="149">
        <v>46</v>
      </c>
      <c r="B74" s="70" t="s">
        <v>167</v>
      </c>
      <c r="C74" s="82" t="s">
        <v>168</v>
      </c>
      <c r="D74" s="83" t="s">
        <v>169</v>
      </c>
      <c r="E74" s="68">
        <v>7.5270794911888443E-4</v>
      </c>
      <c r="F74" s="84">
        <v>405.22</v>
      </c>
      <c r="G74" s="63">
        <f t="shared" si="4"/>
        <v>0.31</v>
      </c>
      <c r="H74" s="101">
        <f t="shared" si="3"/>
        <v>4.4432977869510371E-4</v>
      </c>
      <c r="I74" s="63">
        <f>ROUND(F74*Прил.10!$D$12,2)</f>
        <v>3257.97</v>
      </c>
      <c r="J74" s="63">
        <f t="shared" si="5"/>
        <v>2.4500000000000002</v>
      </c>
    </row>
    <row r="75" spans="1:10" s="57" customFormat="1" ht="14.25" customHeight="1" outlineLevel="1" x14ac:dyDescent="0.2">
      <c r="A75" s="149">
        <v>47</v>
      </c>
      <c r="B75" s="70" t="s">
        <v>170</v>
      </c>
      <c r="C75" s="82" t="s">
        <v>171</v>
      </c>
      <c r="D75" s="83" t="s">
        <v>129</v>
      </c>
      <c r="E75" s="68">
        <v>1.081512926067074E-2</v>
      </c>
      <c r="F75" s="84">
        <v>27.74</v>
      </c>
      <c r="G75" s="63">
        <f t="shared" si="4"/>
        <v>0.3</v>
      </c>
      <c r="H75" s="101">
        <f t="shared" si="3"/>
        <v>4.2999656002751973E-4</v>
      </c>
      <c r="I75" s="63">
        <f>ROUND(F75*Прил.10!$D$12,2)</f>
        <v>223.03</v>
      </c>
      <c r="J75" s="63">
        <f t="shared" si="5"/>
        <v>2.41</v>
      </c>
    </row>
    <row r="76" spans="1:10" s="57" customFormat="1" ht="25.5" customHeight="1" outlineLevel="1" x14ac:dyDescent="0.2">
      <c r="A76" s="149">
        <v>48</v>
      </c>
      <c r="B76" s="70" t="s">
        <v>172</v>
      </c>
      <c r="C76" s="82" t="s">
        <v>173</v>
      </c>
      <c r="D76" s="83" t="s">
        <v>129</v>
      </c>
      <c r="E76" s="68">
        <v>7.4990889993471321E-3</v>
      </c>
      <c r="F76" s="84">
        <v>38.340000000000003</v>
      </c>
      <c r="G76" s="63">
        <f t="shared" si="4"/>
        <v>0.28999999999999998</v>
      </c>
      <c r="H76" s="101">
        <f t="shared" si="3"/>
        <v>4.1566334135993574E-4</v>
      </c>
      <c r="I76" s="63">
        <f>ROUND(F76*Прил.10!$D$12,2)</f>
        <v>308.25</v>
      </c>
      <c r="J76" s="63">
        <f t="shared" si="5"/>
        <v>2.31</v>
      </c>
    </row>
    <row r="77" spans="1:10" s="57" customFormat="1" ht="25.5" customHeight="1" outlineLevel="1" x14ac:dyDescent="0.2">
      <c r="A77" s="149">
        <v>49</v>
      </c>
      <c r="B77" s="70" t="s">
        <v>174</v>
      </c>
      <c r="C77" s="82" t="s">
        <v>175</v>
      </c>
      <c r="D77" s="83" t="s">
        <v>129</v>
      </c>
      <c r="E77" s="68">
        <v>6.4713206622611158E-3</v>
      </c>
      <c r="F77" s="84">
        <v>39.020000000000003</v>
      </c>
      <c r="G77" s="63">
        <f t="shared" si="4"/>
        <v>0.25</v>
      </c>
      <c r="H77" s="94">
        <f t="shared" si="3"/>
        <v>3.583304666895998E-4</v>
      </c>
      <c r="I77" s="63">
        <f>ROUND(F77*Прил.10!$D$12,2)</f>
        <v>313.72000000000003</v>
      </c>
      <c r="J77" s="63">
        <f t="shared" si="5"/>
        <v>2.0299999999999998</v>
      </c>
    </row>
    <row r="78" spans="1:10" s="57" customFormat="1" ht="25.5" customHeight="1" outlineLevel="1" x14ac:dyDescent="0.2">
      <c r="A78" s="149">
        <v>50</v>
      </c>
      <c r="B78" s="70" t="s">
        <v>176</v>
      </c>
      <c r="C78" s="82" t="s">
        <v>177</v>
      </c>
      <c r="D78" s="83" t="s">
        <v>113</v>
      </c>
      <c r="E78" s="68">
        <v>2.498264905153739E-6</v>
      </c>
      <c r="F78" s="84">
        <v>68050</v>
      </c>
      <c r="G78" s="63">
        <f t="shared" si="4"/>
        <v>0.17</v>
      </c>
      <c r="H78" s="94">
        <f t="shared" si="3"/>
        <v>2.4366471734892786E-4</v>
      </c>
      <c r="I78" s="63">
        <f>ROUND(F78*Прил.10!$D$12,2)</f>
        <v>547122</v>
      </c>
      <c r="J78" s="63">
        <f t="shared" si="5"/>
        <v>1.37</v>
      </c>
    </row>
    <row r="79" spans="1:10" s="57" customFormat="1" ht="25.5" customHeight="1" outlineLevel="1" x14ac:dyDescent="0.2">
      <c r="A79" s="149">
        <v>51</v>
      </c>
      <c r="B79" s="70" t="s">
        <v>178</v>
      </c>
      <c r="C79" s="82" t="s">
        <v>179</v>
      </c>
      <c r="D79" s="83" t="s">
        <v>113</v>
      </c>
      <c r="E79" s="68">
        <v>6.0219233993805437E-6</v>
      </c>
      <c r="F79" s="84">
        <v>22419</v>
      </c>
      <c r="G79" s="63">
        <f t="shared" si="4"/>
        <v>0.14000000000000001</v>
      </c>
      <c r="H79" s="94">
        <f t="shared" si="3"/>
        <v>2.0066506134617591E-4</v>
      </c>
      <c r="I79" s="63">
        <f>ROUND(F79*Прил.10!$D$12,2)</f>
        <v>180248.76</v>
      </c>
      <c r="J79" s="63">
        <f t="shared" si="5"/>
        <v>1.0900000000000001</v>
      </c>
    </row>
    <row r="80" spans="1:10" s="57" customFormat="1" ht="14.25" customHeight="1" outlineLevel="1" x14ac:dyDescent="0.2">
      <c r="A80" s="149">
        <v>52</v>
      </c>
      <c r="B80" s="70" t="s">
        <v>180</v>
      </c>
      <c r="C80" s="82" t="s">
        <v>181</v>
      </c>
      <c r="D80" s="83" t="s">
        <v>113</v>
      </c>
      <c r="E80" s="68">
        <v>8.9047151456615671E-5</v>
      </c>
      <c r="F80" s="84">
        <v>729.98</v>
      </c>
      <c r="G80" s="63">
        <f t="shared" si="4"/>
        <v>7.0000000000000007E-2</v>
      </c>
      <c r="H80" s="94">
        <f t="shared" si="3"/>
        <v>1.0033253067308795E-4</v>
      </c>
      <c r="I80" s="63">
        <f>ROUND(F80*Прил.10!$D$12,2)</f>
        <v>5869.04</v>
      </c>
      <c r="J80" s="63">
        <f t="shared" si="5"/>
        <v>0.52</v>
      </c>
    </row>
    <row r="81" spans="1:10" s="57" customFormat="1" ht="14.25" customHeight="1" outlineLevel="1" x14ac:dyDescent="0.2">
      <c r="A81" s="149">
        <v>53</v>
      </c>
      <c r="B81" s="70" t="s">
        <v>182</v>
      </c>
      <c r="C81" s="82" t="s">
        <v>183</v>
      </c>
      <c r="D81" s="83" t="s">
        <v>129</v>
      </c>
      <c r="E81" s="68">
        <v>1.4735127546559642E-3</v>
      </c>
      <c r="F81" s="84">
        <v>35.630000000000003</v>
      </c>
      <c r="G81" s="63">
        <f t="shared" si="4"/>
        <v>0.05</v>
      </c>
      <c r="H81" s="94">
        <f t="shared" si="3"/>
        <v>7.1666093337919955E-5</v>
      </c>
      <c r="I81" s="63">
        <f>ROUND(F81*Прил.10!$D$12,2)</f>
        <v>286.47000000000003</v>
      </c>
      <c r="J81" s="63">
        <f t="shared" si="5"/>
        <v>0.42</v>
      </c>
    </row>
    <row r="82" spans="1:10" s="57" customFormat="1" ht="14.25" customHeight="1" outlineLevel="1" x14ac:dyDescent="0.2">
      <c r="A82" s="149">
        <v>54</v>
      </c>
      <c r="B82" s="70" t="s">
        <v>184</v>
      </c>
      <c r="C82" s="82" t="s">
        <v>185</v>
      </c>
      <c r="D82" s="83" t="s">
        <v>186</v>
      </c>
      <c r="E82" s="68">
        <v>1.2484980740203908E-2</v>
      </c>
      <c r="F82" s="84">
        <v>0.4</v>
      </c>
      <c r="G82" s="63">
        <f t="shared" si="4"/>
        <v>0</v>
      </c>
      <c r="H82" s="94">
        <f t="shared" si="3"/>
        <v>0</v>
      </c>
      <c r="I82" s="63">
        <f>ROUND(F82*Прил.10!$D$12,2)</f>
        <v>3.22</v>
      </c>
      <c r="J82" s="63">
        <f t="shared" si="5"/>
        <v>0.04</v>
      </c>
    </row>
    <row r="83" spans="1:10" s="57" customFormat="1" ht="14.25" x14ac:dyDescent="0.2">
      <c r="A83" s="61"/>
      <c r="B83" s="61"/>
      <c r="C83" s="67" t="s">
        <v>261</v>
      </c>
      <c r="D83" s="61"/>
      <c r="E83" s="75"/>
      <c r="F83" s="81"/>
      <c r="G83" s="63">
        <f>SUM(G50:G82)</f>
        <v>99.500000000000014</v>
      </c>
      <c r="H83" s="66">
        <f>G83/G84</f>
        <v>0.14261552574246072</v>
      </c>
      <c r="I83" s="63"/>
      <c r="J83" s="63">
        <f>SUM(J50:J82)</f>
        <v>799.58999999999992</v>
      </c>
    </row>
    <row r="84" spans="1:10" s="57" customFormat="1" ht="14.25" customHeight="1" x14ac:dyDescent="0.2">
      <c r="A84" s="61"/>
      <c r="B84" s="61"/>
      <c r="C84" s="65" t="s">
        <v>262</v>
      </c>
      <c r="D84" s="61"/>
      <c r="E84" s="75"/>
      <c r="F84" s="81"/>
      <c r="G84" s="63">
        <f>G49+G83</f>
        <v>697.68000000000006</v>
      </c>
      <c r="H84" s="90">
        <v>1</v>
      </c>
      <c r="I84" s="89"/>
      <c r="J84" s="63">
        <f>J49+J83</f>
        <v>5609.0800000000008</v>
      </c>
    </row>
    <row r="85" spans="1:10" s="57" customFormat="1" ht="14.25" customHeight="1" x14ac:dyDescent="0.2">
      <c r="A85" s="61"/>
      <c r="B85" s="61"/>
      <c r="C85" s="67" t="s">
        <v>263</v>
      </c>
      <c r="D85" s="61"/>
      <c r="E85" s="75"/>
      <c r="F85" s="81"/>
      <c r="G85" s="63">
        <f>G14+G25+G84</f>
        <v>1213.9075440000001</v>
      </c>
      <c r="H85" s="66"/>
      <c r="I85" s="81"/>
      <c r="J85" s="63">
        <f>J14+J25+J84</f>
        <v>28303.460000000003</v>
      </c>
    </row>
    <row r="86" spans="1:10" s="57" customFormat="1" ht="14.25" customHeight="1" x14ac:dyDescent="0.2">
      <c r="A86" s="61"/>
      <c r="B86" s="61"/>
      <c r="C86" s="67" t="s">
        <v>264</v>
      </c>
      <c r="D86" s="61" t="s">
        <v>265</v>
      </c>
      <c r="E86" s="85">
        <v>0.94</v>
      </c>
      <c r="F86" s="81"/>
      <c r="G86" s="63">
        <v>1818.61</v>
      </c>
      <c r="H86" s="66"/>
      <c r="I86" s="81"/>
      <c r="J86" s="63">
        <f>ROUND(E86*(J14+J16),2)</f>
        <v>21093.79</v>
      </c>
    </row>
    <row r="87" spans="1:10" s="57" customFormat="1" ht="14.25" customHeight="1" x14ac:dyDescent="0.2">
      <c r="A87" s="61"/>
      <c r="B87" s="61"/>
      <c r="C87" s="67" t="s">
        <v>266</v>
      </c>
      <c r="D87" s="61" t="s">
        <v>265</v>
      </c>
      <c r="E87" s="85">
        <v>0.49</v>
      </c>
      <c r="F87" s="81"/>
      <c r="G87" s="63">
        <v>961.74</v>
      </c>
      <c r="H87" s="66"/>
      <c r="I87" s="81"/>
      <c r="J87" s="63">
        <f>ROUND(E87*(J14+J16),2)</f>
        <v>10995.7</v>
      </c>
    </row>
    <row r="88" spans="1:10" s="57" customFormat="1" ht="14.25" customHeight="1" x14ac:dyDescent="0.2">
      <c r="A88" s="61"/>
      <c r="B88" s="61"/>
      <c r="C88" s="67" t="s">
        <v>267</v>
      </c>
      <c r="D88" s="61"/>
      <c r="E88" s="75"/>
      <c r="F88" s="81"/>
      <c r="G88" s="63">
        <f>G14+G25+G84+G86+G87</f>
        <v>3994.2575440000001</v>
      </c>
      <c r="H88" s="66"/>
      <c r="I88" s="81"/>
      <c r="J88" s="63">
        <f>J14+J25+J84+J86+J87</f>
        <v>60392.95</v>
      </c>
    </row>
    <row r="89" spans="1:10" s="57" customFormat="1" ht="14.25" customHeight="1" x14ac:dyDescent="0.2">
      <c r="A89" s="61"/>
      <c r="B89" s="61"/>
      <c r="C89" s="67" t="s">
        <v>268</v>
      </c>
      <c r="D89" s="61"/>
      <c r="E89" s="75"/>
      <c r="F89" s="81"/>
      <c r="G89" s="63">
        <f>G88+G40</f>
        <v>25444.837543999998</v>
      </c>
      <c r="H89" s="66"/>
      <c r="I89" s="81"/>
      <c r="J89" s="63">
        <f>J88+J40</f>
        <v>194673.64</v>
      </c>
    </row>
    <row r="90" spans="1:10" s="57" customFormat="1" ht="14.25" customHeight="1" x14ac:dyDescent="0.2">
      <c r="A90" s="61"/>
      <c r="B90" s="61"/>
      <c r="C90" s="67" t="s">
        <v>223</v>
      </c>
      <c r="D90" s="61" t="s">
        <v>340</v>
      </c>
      <c r="E90" s="86">
        <v>1</v>
      </c>
      <c r="F90" s="81"/>
      <c r="G90" s="63">
        <f>G89/E90</f>
        <v>25444.837543999998</v>
      </c>
      <c r="H90" s="66"/>
      <c r="I90" s="81"/>
      <c r="J90" s="63">
        <f>J89/E90</f>
        <v>194673.64</v>
      </c>
    </row>
    <row r="92" spans="1:10" s="57" customFormat="1" ht="14.25" customHeight="1" x14ac:dyDescent="0.2">
      <c r="A92" s="87"/>
    </row>
    <row r="93" spans="1:10" s="57" customFormat="1" ht="14.25" customHeight="1" x14ac:dyDescent="0.2">
      <c r="A93" s="97" t="s">
        <v>26</v>
      </c>
      <c r="B93" s="98"/>
    </row>
    <row r="94" spans="1:10" s="57" customFormat="1" ht="14.25" customHeight="1" x14ac:dyDescent="0.2">
      <c r="A94" s="99" t="s">
        <v>27</v>
      </c>
      <c r="B94" s="98"/>
    </row>
    <row r="95" spans="1:10" s="57" customFormat="1" ht="14.25" customHeight="1" x14ac:dyDescent="0.2">
      <c r="A95" s="97"/>
      <c r="B95" s="98"/>
    </row>
    <row r="96" spans="1:10" s="57" customFormat="1" ht="14.25" customHeight="1" x14ac:dyDescent="0.2">
      <c r="A96" s="97" t="s">
        <v>28</v>
      </c>
      <c r="B96" s="98"/>
    </row>
    <row r="97" spans="1:2" s="57" customFormat="1" ht="14.25" customHeight="1" x14ac:dyDescent="0.2">
      <c r="A97" s="99" t="s">
        <v>29</v>
      </c>
      <c r="B97" s="98"/>
    </row>
  </sheetData>
  <sheetProtection formatCells="0" formatColumns="0" formatRows="0" insertColumns="0" insertRows="0" insertHyperlinks="0" deleteColumns="0" deleteRows="0" sort="0" autoFilter="0" pivotTables="0"/>
  <mergeCells count="19">
    <mergeCell ref="A4:H4"/>
    <mergeCell ref="A9:A10"/>
    <mergeCell ref="B9:B10"/>
    <mergeCell ref="C9:C10"/>
    <mergeCell ref="D9:D10"/>
    <mergeCell ref="E9:E10"/>
    <mergeCell ref="F9:G9"/>
    <mergeCell ref="H9:H10"/>
    <mergeCell ref="B43:H43"/>
    <mergeCell ref="B26:J26"/>
    <mergeCell ref="B42:J42"/>
    <mergeCell ref="I9:J9"/>
    <mergeCell ref="D6:J6"/>
    <mergeCell ref="B17:H17"/>
    <mergeCell ref="B18:H18"/>
    <mergeCell ref="B27:J27"/>
    <mergeCell ref="B12:H12"/>
    <mergeCell ref="B15:H15"/>
    <mergeCell ref="A7:H7"/>
  </mergeCells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view="pageBreakPreview" topLeftCell="A7" workbookViewId="0">
      <selection activeCell="H25" sqref="H25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226" t="s">
        <v>269</v>
      </c>
      <c r="B1" s="226"/>
      <c r="C1" s="226"/>
      <c r="D1" s="226"/>
      <c r="E1" s="226"/>
      <c r="F1" s="226"/>
      <c r="G1" s="226"/>
    </row>
    <row r="2" spans="1:7" s="105" customFormat="1" x14ac:dyDescent="0.25">
      <c r="A2" s="109"/>
      <c r="B2" s="109"/>
      <c r="C2" s="109"/>
      <c r="D2" s="109"/>
      <c r="E2" s="109"/>
      <c r="F2" s="109"/>
      <c r="G2" s="109"/>
    </row>
    <row r="3" spans="1:7" s="105" customFormat="1" x14ac:dyDescent="0.25">
      <c r="A3" s="109"/>
      <c r="B3" s="109"/>
      <c r="C3" s="109"/>
      <c r="D3" s="109"/>
      <c r="E3" s="109"/>
      <c r="F3" s="109"/>
      <c r="G3" s="109"/>
    </row>
    <row r="4" spans="1:7" x14ac:dyDescent="0.25">
      <c r="A4" s="44"/>
      <c r="B4" s="44"/>
      <c r="C4" s="44"/>
      <c r="D4" s="44"/>
      <c r="E4" s="44"/>
      <c r="F4" s="44"/>
      <c r="G4" s="44"/>
    </row>
    <row r="5" spans="1:7" x14ac:dyDescent="0.25">
      <c r="A5" s="203" t="s">
        <v>270</v>
      </c>
      <c r="B5" s="203"/>
      <c r="C5" s="203"/>
      <c r="D5" s="203"/>
      <c r="E5" s="203"/>
      <c r="F5" s="203"/>
      <c r="G5" s="203"/>
    </row>
    <row r="6" spans="1:7" ht="64.5" customHeight="1" x14ac:dyDescent="0.25">
      <c r="A6" s="190" t="str">
        <f>'Прил.1 Сравнит табл'!B7</f>
        <v>Наименование разрабатываемого показателя УНЦ: Постоянная часть ПС, СКУД ПС 35 кВ</v>
      </c>
      <c r="B6" s="190"/>
      <c r="C6" s="190"/>
      <c r="D6" s="190"/>
      <c r="E6" s="190"/>
      <c r="F6" s="190"/>
      <c r="G6" s="190"/>
    </row>
    <row r="7" spans="1:7" x14ac:dyDescent="0.25">
      <c r="A7" s="7"/>
      <c r="B7" s="7"/>
      <c r="C7" s="7"/>
      <c r="D7" s="7"/>
      <c r="E7" s="7"/>
      <c r="F7" s="7"/>
      <c r="G7" s="7"/>
    </row>
    <row r="8" spans="1:7" ht="30" customHeight="1" x14ac:dyDescent="0.25">
      <c r="A8" s="227" t="s">
        <v>227</v>
      </c>
      <c r="B8" s="227" t="s">
        <v>45</v>
      </c>
      <c r="C8" s="227" t="s">
        <v>189</v>
      </c>
      <c r="D8" s="227" t="s">
        <v>47</v>
      </c>
      <c r="E8" s="220" t="s">
        <v>228</v>
      </c>
      <c r="F8" s="227" t="s">
        <v>49</v>
      </c>
      <c r="G8" s="227"/>
    </row>
    <row r="9" spans="1:7" x14ac:dyDescent="0.25">
      <c r="A9" s="227"/>
      <c r="B9" s="227"/>
      <c r="C9" s="227"/>
      <c r="D9" s="227"/>
      <c r="E9" s="221"/>
      <c r="F9" s="3" t="s">
        <v>231</v>
      </c>
      <c r="G9" s="3" t="s">
        <v>51</v>
      </c>
    </row>
    <row r="10" spans="1:7" x14ac:dyDescent="0.25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</row>
    <row r="11" spans="1:7" ht="15" customHeight="1" x14ac:dyDescent="0.25">
      <c r="A11" s="8"/>
      <c r="B11" s="222" t="s">
        <v>271</v>
      </c>
      <c r="C11" s="223"/>
      <c r="D11" s="223"/>
      <c r="E11" s="223"/>
      <c r="F11" s="223"/>
      <c r="G11" s="224"/>
    </row>
    <row r="12" spans="1:7" ht="27" customHeight="1" x14ac:dyDescent="0.25">
      <c r="A12" s="3"/>
      <c r="B12" s="6"/>
      <c r="C12" s="4" t="s">
        <v>272</v>
      </c>
      <c r="D12" s="6"/>
      <c r="E12" s="9"/>
      <c r="F12" s="5"/>
      <c r="G12" s="5">
        <v>0</v>
      </c>
    </row>
    <row r="13" spans="1:7" x14ac:dyDescent="0.25">
      <c r="A13" s="3"/>
      <c r="B13" s="206" t="s">
        <v>273</v>
      </c>
      <c r="C13" s="206"/>
      <c r="D13" s="206"/>
      <c r="E13" s="225"/>
      <c r="F13" s="209"/>
      <c r="G13" s="209"/>
    </row>
    <row r="14" spans="1:7" ht="25.5" customHeight="1" x14ac:dyDescent="0.25">
      <c r="A14" s="3">
        <v>1</v>
      </c>
      <c r="B14" s="140" t="str">
        <f>'Прил.5 Расчет СМР и ОБ'!B28</f>
        <v>61.2.07.08-0002</v>
      </c>
      <c r="C14" s="141" t="str">
        <f>'Прил.5 Расчет СМР и ОБ'!C28</f>
        <v>Считыватель VinSonic для магнитных карт MSR-0101</v>
      </c>
      <c r="D14" s="140" t="str">
        <f>'Прил.5 Расчет СМР и ОБ'!D28</f>
        <v>10 шт</v>
      </c>
      <c r="E14" s="140">
        <f>'Прил.5 Расчет СМР и ОБ'!E28</f>
        <v>0.40000934315419595</v>
      </c>
      <c r="F14" s="64">
        <f>'Прил.5 Расчет СМР и ОБ'!F28</f>
        <v>19707.400000000001</v>
      </c>
      <c r="G14" s="64">
        <f t="shared" ref="G14:G23" si="0">ROUND(E14*F14,2)</f>
        <v>7883.14</v>
      </c>
    </row>
    <row r="15" spans="1:7" s="105" customFormat="1" ht="25.5" customHeight="1" x14ac:dyDescent="0.25">
      <c r="A15" s="3">
        <v>2</v>
      </c>
      <c r="B15" s="140" t="str">
        <f>'Прил.5 Расчет СМР и ОБ'!B29</f>
        <v>62.4.02.01-0049</v>
      </c>
      <c r="C15" s="141" t="str">
        <f>'Прил.5 Расчет СМР и ОБ'!C29</f>
        <v>Источник бесперебойного питания: Delta N Series UPS</v>
      </c>
      <c r="D15" s="140" t="str">
        <f>'Прил.5 Расчет СМР и ОБ'!D29</f>
        <v>шт</v>
      </c>
      <c r="E15" s="140">
        <f>'Прил.5 Расчет СМР и ОБ'!E29</f>
        <v>1.2500292084452127</v>
      </c>
      <c r="F15" s="64">
        <f>'Прил.5 Расчет СМР и ОБ'!F29</f>
        <v>5415.89</v>
      </c>
      <c r="G15" s="64">
        <f t="shared" si="0"/>
        <v>6770.02</v>
      </c>
    </row>
    <row r="16" spans="1:7" s="105" customFormat="1" ht="25.5" customHeight="1" x14ac:dyDescent="0.25">
      <c r="A16" s="3">
        <v>3</v>
      </c>
      <c r="B16" s="140" t="str">
        <f>'Прил.5 Расчет СМР и ОБ'!B30</f>
        <v>61.2.07.04-0004</v>
      </c>
      <c r="C16" s="141" t="str">
        <f>'Прил.5 Расчет СМР и ОБ'!C30</f>
        <v>Контроллер доступа, марка "С2000-2" исп. 01</v>
      </c>
      <c r="D16" s="140" t="str">
        <f>'Прил.5 Расчет СМР и ОБ'!D30</f>
        <v>шт</v>
      </c>
      <c r="E16" s="140">
        <f>'Прил.5 Расчет СМР и ОБ'!E30</f>
        <v>2.000046983841484</v>
      </c>
      <c r="F16" s="64">
        <f>'Прил.5 Расчет СМР и ОБ'!F30</f>
        <v>575.80999999999995</v>
      </c>
      <c r="G16" s="64">
        <f t="shared" si="0"/>
        <v>1151.6500000000001</v>
      </c>
    </row>
    <row r="17" spans="1:7" s="105" customFormat="1" ht="38.25" customHeight="1" x14ac:dyDescent="0.25">
      <c r="A17" s="3">
        <v>4</v>
      </c>
      <c r="B17" s="140" t="str">
        <f>'Прил.5 Расчет СМР и ОБ'!B32</f>
        <v>61.2.01.03-0019</v>
      </c>
      <c r="C17" s="141" t="str">
        <f>'Прил.5 Расчет СМР и ОБ'!C32</f>
        <v>Извещатель охранный инфракрасный пассивный: "Пирон-1", взрывозащитное исполнение</v>
      </c>
      <c r="D17" s="140" t="str">
        <f>'Прил.5 Расчет СМР и ОБ'!D32</f>
        <v>шт</v>
      </c>
      <c r="E17" s="140">
        <f>'Прил.5 Расчет СМР и ОБ'!E32</f>
        <v>0.75001733605784626</v>
      </c>
      <c r="F17" s="64">
        <f>'Прил.5 Расчет СМР и ОБ'!F32</f>
        <v>2122.7199999999998</v>
      </c>
      <c r="G17" s="64">
        <f t="shared" si="0"/>
        <v>1592.08</v>
      </c>
    </row>
    <row r="18" spans="1:7" s="105" customFormat="1" ht="25.5" customHeight="1" x14ac:dyDescent="0.25">
      <c r="A18" s="3">
        <v>5</v>
      </c>
      <c r="B18" s="140" t="str">
        <f>'Прил.5 Расчет СМР и ОБ'!B33</f>
        <v>61.2.07.01-0011</v>
      </c>
      <c r="C18" s="141" t="str">
        <f>'Прил.5 Расчет СМР и ОБ'!C33</f>
        <v>Замок электромеханический горизонтальный NICE PLA 11</v>
      </c>
      <c r="D18" s="140" t="str">
        <f>'Прил.5 Расчет СМР и ОБ'!D33</f>
        <v>шт</v>
      </c>
      <c r="E18" s="140">
        <f>'Прил.5 Расчет СМР и ОБ'!E33</f>
        <v>1.7500411828693541</v>
      </c>
      <c r="F18" s="64">
        <f>'Прил.5 Расчет СМР и ОБ'!F33</f>
        <v>615.58000000000004</v>
      </c>
      <c r="G18" s="64">
        <f t="shared" si="0"/>
        <v>1077.29</v>
      </c>
    </row>
    <row r="19" spans="1:7" s="105" customFormat="1" ht="38.25" customHeight="1" x14ac:dyDescent="0.25">
      <c r="A19" s="3">
        <v>6</v>
      </c>
      <c r="B19" s="140" t="str">
        <f>'Прил.5 Расчет СМР и ОБ'!B34</f>
        <v>61.2.01.03-0020</v>
      </c>
      <c r="C19" s="141" t="str">
        <f>'Прил.5 Расчет СМР и ОБ'!C34</f>
        <v>Извещатель охранный инфракрасный пассивный: "Пирон-1А", взрывозащитное исполнение</v>
      </c>
      <c r="D19" s="140" t="str">
        <f>'Прил.5 Расчет СМР и ОБ'!D34</f>
        <v>шт</v>
      </c>
      <c r="E19" s="140">
        <f>'Прил.5 Расчет СМР и ОБ'!E34</f>
        <v>0.50001155737189751</v>
      </c>
      <c r="F19" s="64">
        <f>'Прил.5 Расчет СМР и ОБ'!F34</f>
        <v>2122.7199999999998</v>
      </c>
      <c r="G19" s="64">
        <f t="shared" si="0"/>
        <v>1061.3800000000001</v>
      </c>
    </row>
    <row r="20" spans="1:7" s="105" customFormat="1" ht="25.5" customHeight="1" x14ac:dyDescent="0.25">
      <c r="A20" s="3">
        <v>7</v>
      </c>
      <c r="B20" s="140" t="str">
        <f>'Прил.5 Расчет СМР и ОБ'!B35</f>
        <v>62.4.02.01-0075</v>
      </c>
      <c r="C20" s="141" t="str">
        <f>'Прил.5 Расчет СМР и ОБ'!C35</f>
        <v>Источник бесперебойного питания: СКАТ-1200У2</v>
      </c>
      <c r="D20" s="140" t="str">
        <f>'Прил.5 Расчет СМР и ОБ'!D35</f>
        <v>шт</v>
      </c>
      <c r="E20" s="140">
        <f>'Прил.5 Расчет СМР и ОБ'!E35</f>
        <v>0.25000581053814103</v>
      </c>
      <c r="F20" s="64">
        <f>'Прил.5 Расчет СМР и ОБ'!F35</f>
        <v>3451.57</v>
      </c>
      <c r="G20" s="64">
        <f t="shared" si="0"/>
        <v>862.91</v>
      </c>
    </row>
    <row r="21" spans="1:7" s="105" customFormat="1" ht="25.5" customHeight="1" x14ac:dyDescent="0.25">
      <c r="A21" s="3">
        <v>8</v>
      </c>
      <c r="B21" s="140" t="str">
        <f>'Прил.5 Расчет СМР и ОБ'!B36</f>
        <v>61.3.03.01-0002</v>
      </c>
      <c r="C21" s="141" t="str">
        <f>'Прил.5 Расчет СМР и ОБ'!C36</f>
        <v>Домофон многоабонентный "Мета ком-99" на 100 абонентов</v>
      </c>
      <c r="D21" s="140" t="str">
        <f>'Прил.5 Расчет СМР и ОБ'!D36</f>
        <v>шт</v>
      </c>
      <c r="E21" s="140">
        <f>'Прил.5 Расчет СМР и ОБ'!E36</f>
        <v>0.25000590886037061</v>
      </c>
      <c r="F21" s="64">
        <f>'Прил.5 Расчет СМР и ОБ'!F36</f>
        <v>2061.4</v>
      </c>
      <c r="G21" s="64">
        <f t="shared" si="0"/>
        <v>515.36</v>
      </c>
    </row>
    <row r="22" spans="1:7" s="105" customFormat="1" ht="25.5" customHeight="1" x14ac:dyDescent="0.25">
      <c r="A22" s="3">
        <v>9</v>
      </c>
      <c r="B22" s="140" t="str">
        <f>'Прил.5 Расчет СМР и ОБ'!B37</f>
        <v>61.2.01.05-0002</v>
      </c>
      <c r="C22" s="141" t="str">
        <f>'Прил.5 Расчет СМР и ОБ'!C37</f>
        <v>Извещатель охранный контактный: ДПМ-1-100</v>
      </c>
      <c r="D22" s="140" t="str">
        <f>'Прил.5 Расчет СМР и ОБ'!D37</f>
        <v>шт</v>
      </c>
      <c r="E22" s="140">
        <f>'Прил.5 Расчет СМР и ОБ'!E37</f>
        <v>1.7500376604787984</v>
      </c>
      <c r="F22" s="64">
        <f>'Прил.5 Расчет СМР и ОБ'!F37</f>
        <v>283.18</v>
      </c>
      <c r="G22" s="64">
        <f t="shared" si="0"/>
        <v>495.58</v>
      </c>
    </row>
    <row r="23" spans="1:7" s="105" customFormat="1" ht="25.5" customHeight="1" x14ac:dyDescent="0.25">
      <c r="A23" s="3">
        <v>10</v>
      </c>
      <c r="B23" s="140" t="str">
        <f>'Прил.5 Расчет СМР и ОБ'!B38</f>
        <v>61.1.03.03-0001</v>
      </c>
      <c r="C23" s="141" t="str">
        <f>'Прил.5 Расчет СМР и ОБ'!C38</f>
        <v>Изделия домофона до 200 абонентских пультов</v>
      </c>
      <c r="D23" s="140" t="str">
        <f>'Прил.5 Расчет СМР и ОБ'!D38</f>
        <v>шт</v>
      </c>
      <c r="E23" s="140">
        <f>'Прил.5 Расчет СМР и ОБ'!E38</f>
        <v>0.25000568586652033</v>
      </c>
      <c r="F23" s="64">
        <f>'Прил.5 Расчет СМР и ОБ'!F38</f>
        <v>164.69</v>
      </c>
      <c r="G23" s="64">
        <f t="shared" si="0"/>
        <v>41.17</v>
      </c>
    </row>
    <row r="24" spans="1:7" ht="25.5" customHeight="1" x14ac:dyDescent="0.25">
      <c r="A24" s="3"/>
      <c r="B24" s="13"/>
      <c r="C24" s="13" t="s">
        <v>274</v>
      </c>
      <c r="D24" s="13"/>
      <c r="E24" s="14"/>
      <c r="F24" s="5"/>
      <c r="G24" s="15">
        <f>SUM(G14:G23)</f>
        <v>21450.58</v>
      </c>
    </row>
    <row r="25" spans="1:7" ht="19.5" customHeight="1" x14ac:dyDescent="0.25">
      <c r="A25" s="3"/>
      <c r="B25" s="4"/>
      <c r="C25" s="4" t="s">
        <v>275</v>
      </c>
      <c r="D25" s="4"/>
      <c r="E25" s="10"/>
      <c r="F25" s="5"/>
      <c r="G25" s="15">
        <f>G12+G24</f>
        <v>21450.58</v>
      </c>
    </row>
    <row r="26" spans="1:7" x14ac:dyDescent="0.25">
      <c r="A26" s="11"/>
      <c r="B26" s="12"/>
      <c r="C26" s="11"/>
      <c r="D26" s="11"/>
      <c r="E26" s="11"/>
      <c r="F26" s="11"/>
      <c r="G26" s="11"/>
    </row>
    <row r="27" spans="1:7" s="102" customFormat="1" x14ac:dyDescent="0.25">
      <c r="A27" s="97" t="s">
        <v>26</v>
      </c>
      <c r="B27" s="98"/>
      <c r="C27" s="1"/>
      <c r="D27" s="11"/>
      <c r="E27" s="11"/>
      <c r="F27" s="11"/>
      <c r="G27" s="11"/>
    </row>
    <row r="28" spans="1:7" s="102" customFormat="1" x14ac:dyDescent="0.25">
      <c r="A28" s="99" t="s">
        <v>27</v>
      </c>
      <c r="B28" s="98"/>
      <c r="C28" s="1"/>
      <c r="D28" s="11"/>
      <c r="E28" s="11"/>
      <c r="F28" s="11"/>
      <c r="G28" s="11"/>
    </row>
    <row r="29" spans="1:7" s="102" customFormat="1" x14ac:dyDescent="0.25">
      <c r="A29" s="97"/>
      <c r="B29" s="98"/>
      <c r="C29" s="1"/>
      <c r="D29" s="11"/>
      <c r="E29" s="11"/>
      <c r="F29" s="11"/>
      <c r="G29" s="11"/>
    </row>
    <row r="30" spans="1:7" s="102" customFormat="1" x14ac:dyDescent="0.25">
      <c r="A30" s="97" t="s">
        <v>28</v>
      </c>
      <c r="B30" s="98"/>
      <c r="C30" s="1"/>
      <c r="D30" s="11"/>
      <c r="E30" s="11"/>
      <c r="F30" s="11"/>
      <c r="G30" s="11"/>
    </row>
    <row r="31" spans="1:7" s="102" customFormat="1" x14ac:dyDescent="0.25">
      <c r="A31" s="99" t="s">
        <v>29</v>
      </c>
      <c r="B31" s="98"/>
      <c r="C31" s="1"/>
      <c r="D31" s="11"/>
      <c r="E31" s="11"/>
      <c r="F31" s="11"/>
      <c r="G31" s="11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D13" sqref="D13"/>
    </sheetView>
  </sheetViews>
  <sheetFormatPr defaultRowHeight="15" x14ac:dyDescent="0.25"/>
  <cols>
    <col min="1" max="1" width="12.7109375" style="172" customWidth="1"/>
    <col min="2" max="2" width="16.42578125" style="172" customWidth="1"/>
    <col min="3" max="3" width="37.140625" style="172" customWidth="1"/>
    <col min="4" max="4" width="49" style="172" customWidth="1"/>
    <col min="5" max="5" width="9.140625" style="172" customWidth="1"/>
  </cols>
  <sheetData>
    <row r="1" spans="1:4" ht="15.75" customHeight="1" x14ac:dyDescent="0.25">
      <c r="A1" s="171"/>
      <c r="B1" s="171"/>
      <c r="C1" s="171"/>
      <c r="D1" s="171" t="s">
        <v>276</v>
      </c>
    </row>
    <row r="2" spans="1:4" ht="15.75" customHeight="1" x14ac:dyDescent="0.25">
      <c r="A2" s="171"/>
      <c r="B2" s="171"/>
      <c r="C2" s="171"/>
      <c r="D2" s="171"/>
    </row>
    <row r="3" spans="1:4" ht="15.75" customHeight="1" x14ac:dyDescent="0.25">
      <c r="A3" s="171"/>
      <c r="B3" s="173" t="s">
        <v>277</v>
      </c>
      <c r="C3" s="171"/>
      <c r="D3" s="171"/>
    </row>
    <row r="4" spans="1:4" ht="15.75" customHeight="1" x14ac:dyDescent="0.25">
      <c r="A4" s="171"/>
      <c r="B4" s="171"/>
      <c r="C4" s="171"/>
      <c r="D4" s="171"/>
    </row>
    <row r="5" spans="1:4" ht="31.5" customHeight="1" x14ac:dyDescent="0.25">
      <c r="A5" s="228" t="s">
        <v>278</v>
      </c>
      <c r="B5" s="228"/>
      <c r="C5" s="228"/>
      <c r="D5" s="174" t="str">
        <f>'Прил.5 Расчет СМР и ОБ'!D6:J6</f>
        <v>Постоянная часть ПС, СКУД ПС 35 кВ</v>
      </c>
    </row>
    <row r="6" spans="1:4" ht="15.75" customHeight="1" x14ac:dyDescent="0.25">
      <c r="A6" s="175" t="s">
        <v>341</v>
      </c>
      <c r="B6" s="175"/>
      <c r="C6" s="175"/>
      <c r="D6" s="175"/>
    </row>
    <row r="7" spans="1:4" ht="15.75" customHeight="1" x14ac:dyDescent="0.25">
      <c r="A7" s="175"/>
      <c r="B7" s="175"/>
      <c r="C7" s="175"/>
      <c r="D7" s="175"/>
    </row>
    <row r="8" spans="1:4" x14ac:dyDescent="0.25">
      <c r="A8" s="194" t="s">
        <v>279</v>
      </c>
      <c r="B8" s="194" t="s">
        <v>280</v>
      </c>
      <c r="C8" s="194" t="s">
        <v>281</v>
      </c>
      <c r="D8" s="194" t="s">
        <v>282</v>
      </c>
    </row>
    <row r="9" spans="1:4" x14ac:dyDescent="0.25">
      <c r="A9" s="194"/>
      <c r="B9" s="194"/>
      <c r="C9" s="194"/>
      <c r="D9" s="194"/>
    </row>
    <row r="10" spans="1:4" ht="15.75" customHeight="1" x14ac:dyDescent="0.25">
      <c r="A10" s="176">
        <v>1</v>
      </c>
      <c r="B10" s="176">
        <v>2</v>
      </c>
      <c r="C10" s="176">
        <v>3</v>
      </c>
      <c r="D10" s="176">
        <v>4</v>
      </c>
    </row>
    <row r="11" spans="1:4" ht="63" customHeight="1" x14ac:dyDescent="0.25">
      <c r="A11" s="183" t="s">
        <v>343</v>
      </c>
      <c r="B11" s="183" t="s">
        <v>344</v>
      </c>
      <c r="C11" s="177" t="s">
        <v>345</v>
      </c>
      <c r="D11" s="178">
        <f>'Прил.4 РМ'!C41/1000</f>
        <v>221.35791999999998</v>
      </c>
    </row>
    <row r="13" spans="1:4" x14ac:dyDescent="0.25">
      <c r="A13" s="179" t="s">
        <v>283</v>
      </c>
      <c r="B13" s="180"/>
      <c r="C13" s="180"/>
      <c r="D13" s="181"/>
    </row>
    <row r="14" spans="1:4" x14ac:dyDescent="0.25">
      <c r="A14" s="182" t="s">
        <v>27</v>
      </c>
      <c r="B14" s="180"/>
      <c r="C14" s="180"/>
      <c r="D14" s="181"/>
    </row>
    <row r="15" spans="1:4" x14ac:dyDescent="0.25">
      <c r="A15" s="179"/>
      <c r="B15" s="180"/>
      <c r="C15" s="180"/>
      <c r="D15" s="181"/>
    </row>
    <row r="16" spans="1:4" x14ac:dyDescent="0.25">
      <c r="A16" s="179" t="s">
        <v>28</v>
      </c>
      <c r="B16" s="180"/>
      <c r="C16" s="180"/>
      <c r="D16" s="181"/>
    </row>
    <row r="17" spans="1:4" x14ac:dyDescent="0.25">
      <c r="A17" s="182" t="s">
        <v>29</v>
      </c>
      <c r="B17" s="180"/>
      <c r="C17" s="180"/>
      <c r="D17" s="181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0"/>
  <sheetViews>
    <sheetView workbookViewId="0">
      <selection activeCell="D13" sqref="D13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87" t="s">
        <v>284</v>
      </c>
      <c r="C4" s="187"/>
      <c r="D4" s="187"/>
    </row>
    <row r="5" spans="2:5" ht="18.75" customHeight="1" x14ac:dyDescent="0.25">
      <c r="B5" s="40"/>
    </row>
    <row r="6" spans="2:5" ht="15.75" customHeight="1" x14ac:dyDescent="0.25">
      <c r="B6" s="188" t="s">
        <v>285</v>
      </c>
      <c r="C6" s="188"/>
      <c r="D6" s="188"/>
    </row>
    <row r="7" spans="2:5" x14ac:dyDescent="0.25">
      <c r="B7" s="229"/>
      <c r="C7" s="229"/>
      <c r="D7" s="229"/>
      <c r="E7" s="229"/>
    </row>
    <row r="8" spans="2:5" ht="47.25" customHeight="1" x14ac:dyDescent="0.25">
      <c r="B8" s="42" t="s">
        <v>286</v>
      </c>
      <c r="C8" s="42" t="s">
        <v>287</v>
      </c>
      <c r="D8" s="42" t="s">
        <v>288</v>
      </c>
    </row>
    <row r="9" spans="2:5" ht="15.75" customHeight="1" x14ac:dyDescent="0.25">
      <c r="B9" s="42">
        <v>1</v>
      </c>
      <c r="C9" s="42">
        <v>2</v>
      </c>
      <c r="D9" s="42">
        <v>3</v>
      </c>
    </row>
    <row r="10" spans="2:5" ht="31.5" customHeight="1" x14ac:dyDescent="0.25">
      <c r="B10" s="42" t="s">
        <v>289</v>
      </c>
      <c r="C10" s="42" t="s">
        <v>290</v>
      </c>
      <c r="D10" s="42">
        <v>44.29</v>
      </c>
    </row>
    <row r="11" spans="2:5" ht="31.5" customHeight="1" x14ac:dyDescent="0.25">
      <c r="B11" s="42" t="s">
        <v>291</v>
      </c>
      <c r="C11" s="42" t="s">
        <v>290</v>
      </c>
      <c r="D11" s="42">
        <v>13.47</v>
      </c>
    </row>
    <row r="12" spans="2:5" ht="31.5" customHeight="1" x14ac:dyDescent="0.25">
      <c r="B12" s="42" t="s">
        <v>292</v>
      </c>
      <c r="C12" s="42" t="s">
        <v>290</v>
      </c>
      <c r="D12" s="42">
        <v>8.0399999999999991</v>
      </c>
    </row>
    <row r="13" spans="2:5" ht="31.5" customHeight="1" x14ac:dyDescent="0.25">
      <c r="B13" s="42" t="s">
        <v>293</v>
      </c>
      <c r="C13" s="43" t="s">
        <v>294</v>
      </c>
      <c r="D13" s="42">
        <v>6.26</v>
      </c>
    </row>
    <row r="14" spans="2:5" ht="78.75" customHeight="1" x14ac:dyDescent="0.25">
      <c r="B14" s="42" t="s">
        <v>295</v>
      </c>
      <c r="C14" s="42" t="s">
        <v>296</v>
      </c>
      <c r="D14" s="45">
        <v>3.9E-2</v>
      </c>
    </row>
    <row r="15" spans="2:5" ht="78.75" customHeight="1" x14ac:dyDescent="0.25">
      <c r="B15" s="42" t="s">
        <v>297</v>
      </c>
      <c r="C15" s="42" t="s">
        <v>298</v>
      </c>
      <c r="D15" s="45">
        <v>2.1000000000000001E-2</v>
      </c>
    </row>
    <row r="16" spans="2:5" ht="15.75" customHeight="1" x14ac:dyDescent="0.25">
      <c r="B16" s="42" t="s">
        <v>213</v>
      </c>
      <c r="C16" s="42"/>
      <c r="D16" s="126"/>
    </row>
    <row r="17" spans="2:4" ht="31.5" customHeight="1" x14ac:dyDescent="0.25">
      <c r="B17" s="42" t="s">
        <v>299</v>
      </c>
      <c r="C17" s="42" t="s">
        <v>300</v>
      </c>
      <c r="D17" s="45">
        <v>2.1399999999999999E-2</v>
      </c>
    </row>
    <row r="18" spans="2:4" ht="31.5" customHeight="1" x14ac:dyDescent="0.25">
      <c r="B18" s="48" t="s">
        <v>219</v>
      </c>
      <c r="C18" s="48" t="s">
        <v>301</v>
      </c>
      <c r="D18" s="49">
        <v>2E-3</v>
      </c>
    </row>
    <row r="19" spans="2:4" ht="24" customHeight="1" x14ac:dyDescent="0.25">
      <c r="B19" s="42" t="s">
        <v>221</v>
      </c>
      <c r="C19" s="42" t="s">
        <v>302</v>
      </c>
      <c r="D19" s="45">
        <v>0.03</v>
      </c>
    </row>
    <row r="20" spans="2:4" ht="18.75" customHeight="1" x14ac:dyDescent="0.25">
      <c r="B20" s="41"/>
    </row>
    <row r="21" spans="2:4" ht="18.75" customHeight="1" x14ac:dyDescent="0.25">
      <c r="B21" s="41"/>
    </row>
    <row r="22" spans="2:4" ht="18.75" customHeight="1" x14ac:dyDescent="0.25">
      <c r="B22" s="41"/>
    </row>
    <row r="23" spans="2:4" ht="18.75" customHeight="1" x14ac:dyDescent="0.25">
      <c r="B23" s="41"/>
    </row>
    <row r="26" spans="2:4" x14ac:dyDescent="0.25">
      <c r="B26" s="97" t="s">
        <v>26</v>
      </c>
      <c r="C26" s="98"/>
    </row>
    <row r="27" spans="2:4" x14ac:dyDescent="0.25">
      <c r="B27" s="99" t="s">
        <v>27</v>
      </c>
      <c r="C27" s="98"/>
    </row>
    <row r="28" spans="2:4" x14ac:dyDescent="0.25">
      <c r="B28" s="97"/>
      <c r="C28" s="98"/>
    </row>
    <row r="29" spans="2:4" x14ac:dyDescent="0.25">
      <c r="B29" s="97" t="s">
        <v>28</v>
      </c>
      <c r="C29" s="98"/>
    </row>
    <row r="30" spans="2:4" x14ac:dyDescent="0.25">
      <c r="B30" s="99" t="s">
        <v>29</v>
      </c>
      <c r="C30" s="98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7" sqref="E7"/>
    </sheetView>
  </sheetViews>
  <sheetFormatPr defaultRowHeight="15" x14ac:dyDescent="0.25"/>
  <cols>
    <col min="1" max="1" width="9.140625" style="22" customWidth="1"/>
    <col min="2" max="2" width="44.85546875" style="22" customWidth="1"/>
    <col min="3" max="3" width="13" style="22" customWidth="1"/>
    <col min="4" max="4" width="22.85546875" style="22" customWidth="1"/>
    <col min="5" max="5" width="21.5703125" style="22" customWidth="1"/>
    <col min="6" max="6" width="43.85546875" style="22" customWidth="1"/>
    <col min="7" max="7" width="9.140625" style="22" customWidth="1"/>
  </cols>
  <sheetData>
    <row r="2" spans="1:7" ht="18" customHeight="1" x14ac:dyDescent="0.25">
      <c r="A2" s="230" t="s">
        <v>303</v>
      </c>
      <c r="B2" s="230"/>
      <c r="C2" s="230"/>
      <c r="D2" s="230"/>
      <c r="E2" s="230"/>
      <c r="F2" s="230"/>
    </row>
    <row r="4" spans="1:7" ht="18" customHeight="1" x14ac:dyDescent="0.25">
      <c r="A4" s="23" t="s">
        <v>304</v>
      </c>
    </row>
    <row r="5" spans="1:7" x14ac:dyDescent="0.25">
      <c r="A5" s="24" t="s">
        <v>227</v>
      </c>
      <c r="B5" s="24" t="s">
        <v>305</v>
      </c>
      <c r="C5" s="24" t="s">
        <v>306</v>
      </c>
      <c r="D5" s="24" t="s">
        <v>307</v>
      </c>
      <c r="E5" s="24" t="s">
        <v>308</v>
      </c>
      <c r="F5" s="24" t="s">
        <v>309</v>
      </c>
    </row>
    <row r="6" spans="1:7" x14ac:dyDescent="0.25">
      <c r="A6" s="24">
        <v>1</v>
      </c>
      <c r="B6" s="24">
        <v>2</v>
      </c>
      <c r="C6" s="24">
        <v>3</v>
      </c>
      <c r="D6" s="24">
        <v>4</v>
      </c>
      <c r="E6" s="24">
        <v>5</v>
      </c>
      <c r="F6" s="24">
        <v>6</v>
      </c>
    </row>
    <row r="7" spans="1:7" ht="90" customHeight="1" x14ac:dyDescent="0.25">
      <c r="A7" s="25" t="s">
        <v>310</v>
      </c>
      <c r="B7" s="47" t="s">
        <v>311</v>
      </c>
      <c r="C7" s="26" t="s">
        <v>312</v>
      </c>
      <c r="D7" s="26" t="s">
        <v>313</v>
      </c>
      <c r="E7" s="46">
        <v>47872.94</v>
      </c>
      <c r="F7" s="27" t="s">
        <v>314</v>
      </c>
    </row>
    <row r="8" spans="1:7" ht="30" customHeight="1" x14ac:dyDescent="0.25">
      <c r="A8" s="25" t="s">
        <v>315</v>
      </c>
      <c r="B8" s="27" t="s">
        <v>316</v>
      </c>
      <c r="C8" s="28" t="s">
        <v>317</v>
      </c>
      <c r="D8" s="28" t="s">
        <v>318</v>
      </c>
      <c r="E8" s="29">
        <f>1973/12</f>
        <v>164.41666666666666</v>
      </c>
      <c r="F8" s="30" t="s">
        <v>319</v>
      </c>
      <c r="G8" s="31"/>
    </row>
    <row r="9" spans="1:7" x14ac:dyDescent="0.25">
      <c r="A9" s="25" t="s">
        <v>320</v>
      </c>
      <c r="B9" s="27" t="s">
        <v>321</v>
      </c>
      <c r="C9" s="28" t="s">
        <v>322</v>
      </c>
      <c r="D9" s="28" t="s">
        <v>313</v>
      </c>
      <c r="E9" s="29">
        <v>1</v>
      </c>
      <c r="F9" s="30"/>
      <c r="G9" s="32"/>
    </row>
    <row r="10" spans="1:7" x14ac:dyDescent="0.25">
      <c r="A10" s="25" t="s">
        <v>323</v>
      </c>
      <c r="B10" s="27" t="s">
        <v>324</v>
      </c>
      <c r="C10" s="28"/>
      <c r="D10" s="28"/>
      <c r="E10" s="33">
        <v>4.0999999999999996</v>
      </c>
      <c r="F10" s="30" t="s">
        <v>325</v>
      </c>
      <c r="G10" s="32"/>
    </row>
    <row r="11" spans="1:7" ht="75" customHeight="1" x14ac:dyDescent="0.25">
      <c r="A11" s="25" t="s">
        <v>326</v>
      </c>
      <c r="B11" s="27" t="s">
        <v>327</v>
      </c>
      <c r="C11" s="28" t="s">
        <v>328</v>
      </c>
      <c r="D11" s="28" t="s">
        <v>313</v>
      </c>
      <c r="E11" s="34">
        <v>1.359</v>
      </c>
      <c r="F11" s="27" t="s">
        <v>329</v>
      </c>
    </row>
    <row r="12" spans="1:7" ht="75" customHeight="1" x14ac:dyDescent="0.25">
      <c r="A12" s="25" t="s">
        <v>330</v>
      </c>
      <c r="B12" s="35" t="s">
        <v>331</v>
      </c>
      <c r="C12" s="28" t="s">
        <v>332</v>
      </c>
      <c r="D12" s="28" t="s">
        <v>313</v>
      </c>
      <c r="E12" s="36">
        <v>1.139</v>
      </c>
      <c r="F12" s="37" t="s">
        <v>333</v>
      </c>
      <c r="G12" s="32" t="s">
        <v>334</v>
      </c>
    </row>
    <row r="13" spans="1:7" ht="60" customHeight="1" x14ac:dyDescent="0.25">
      <c r="A13" s="25" t="s">
        <v>335</v>
      </c>
      <c r="B13" s="38" t="s">
        <v>336</v>
      </c>
      <c r="C13" s="26" t="s">
        <v>337</v>
      </c>
      <c r="D13" s="26" t="s">
        <v>338</v>
      </c>
      <c r="E13" s="39">
        <f>((E7*E9/E8)*E11)*E12</f>
        <v>450.69987855412063</v>
      </c>
      <c r="F13" s="27" t="s">
        <v>339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Nikolay Ivanov</cp:lastModifiedBy>
  <dcterms:created xsi:type="dcterms:W3CDTF">2020-09-30T08:50:27Z</dcterms:created>
  <dcterms:modified xsi:type="dcterms:W3CDTF">2023-10-07T10:02:33Z</dcterms:modified>
  <cp:category/>
</cp:coreProperties>
</file>