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9AFA76F0-3326-4AFA-86A7-DAA452E924DD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стоим'!$A$1:$J$22</definedName>
    <definedName name="_xlnm.Print_Area" localSheetId="5">Прил.3!$A$1:$H$65</definedName>
    <definedName name="_xlnm.Print_Area" localSheetId="6">'Прил.4 РМ'!$A$1:$E$48</definedName>
    <definedName name="_xlnm.Print_Area" localSheetId="7">'Прил.5 Расчет СМР и ОБ'!$A$1:$J$79</definedName>
    <definedName name="_xlnm.Print_Area" localSheetId="8">'Прил.6 Расчет ОБ'!$A$1:$G$23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5" i="9"/>
  <c r="E15" i="9"/>
  <c r="G15" i="9" s="1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F12" i="9"/>
  <c r="G12" i="9" s="1"/>
  <c r="E12" i="9"/>
  <c r="D12" i="9"/>
  <c r="C12" i="9"/>
  <c r="B12" i="9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J56" i="8"/>
  <c r="I56" i="8"/>
  <c r="G56" i="8"/>
  <c r="J55" i="8"/>
  <c r="I55" i="8"/>
  <c r="G55" i="8"/>
  <c r="J54" i="8"/>
  <c r="I54" i="8"/>
  <c r="G54" i="8"/>
  <c r="I53" i="8"/>
  <c r="J53" i="8" s="1"/>
  <c r="G53" i="8"/>
  <c r="J52" i="8"/>
  <c r="I52" i="8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J47" i="8"/>
  <c r="I47" i="8"/>
  <c r="G47" i="8"/>
  <c r="J46" i="8"/>
  <c r="I46" i="8"/>
  <c r="G46" i="8"/>
  <c r="J45" i="8"/>
  <c r="I45" i="8"/>
  <c r="G45" i="8"/>
  <c r="G64" i="8" s="1"/>
  <c r="J44" i="8"/>
  <c r="G44" i="8"/>
  <c r="J43" i="8"/>
  <c r="I43" i="8"/>
  <c r="G43" i="8"/>
  <c r="J42" i="8"/>
  <c r="I42" i="8"/>
  <c r="G42" i="8"/>
  <c r="J41" i="8"/>
  <c r="I41" i="8"/>
  <c r="G41" i="8"/>
  <c r="J40" i="8"/>
  <c r="I40" i="8"/>
  <c r="G40" i="8"/>
  <c r="J39" i="8"/>
  <c r="I39" i="8"/>
  <c r="G39" i="8"/>
  <c r="J38" i="8"/>
  <c r="I38" i="8"/>
  <c r="G38" i="8"/>
  <c r="G33" i="8"/>
  <c r="I32" i="8"/>
  <c r="J32" i="8" s="1"/>
  <c r="G32" i="8"/>
  <c r="I31" i="8"/>
  <c r="J31" i="8" s="1"/>
  <c r="G31" i="8"/>
  <c r="I30" i="8"/>
  <c r="J30" i="8" s="1"/>
  <c r="J33" i="8" s="1"/>
  <c r="J34" i="8" s="1"/>
  <c r="G30" i="8"/>
  <c r="J29" i="8"/>
  <c r="J28" i="8"/>
  <c r="G28" i="8"/>
  <c r="G29" i="8" s="1"/>
  <c r="F28" i="8"/>
  <c r="G24" i="8"/>
  <c r="G25" i="8" s="1"/>
  <c r="J23" i="8"/>
  <c r="I23" i="8"/>
  <c r="G23" i="8"/>
  <c r="J22" i="8"/>
  <c r="I22" i="8"/>
  <c r="G22" i="8"/>
  <c r="J21" i="8"/>
  <c r="J24" i="8" s="1"/>
  <c r="I21" i="8"/>
  <c r="G21" i="8"/>
  <c r="J20" i="8"/>
  <c r="G20" i="8"/>
  <c r="J19" i="8"/>
  <c r="I19" i="8"/>
  <c r="G19" i="8"/>
  <c r="G16" i="8"/>
  <c r="F16" i="8" s="1"/>
  <c r="I16" i="8" s="1"/>
  <c r="J16" i="8" s="1"/>
  <c r="C15" i="7" s="1"/>
  <c r="E16" i="8"/>
  <c r="G14" i="8"/>
  <c r="E14" i="8"/>
  <c r="J13" i="8"/>
  <c r="J14" i="8" s="1"/>
  <c r="I13" i="8"/>
  <c r="H13" i="8"/>
  <c r="E13" i="8"/>
  <c r="C16" i="7"/>
  <c r="C12" i="7"/>
  <c r="H56" i="6"/>
  <c r="H55" i="6"/>
  <c r="H54" i="6"/>
  <c r="H53" i="6"/>
  <c r="H52" i="6"/>
  <c r="H51" i="6"/>
  <c r="H50" i="6"/>
  <c r="H49" i="6"/>
  <c r="H48" i="6"/>
  <c r="H47" i="6"/>
  <c r="H46" i="6"/>
  <c r="H45" i="6"/>
  <c r="F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F32" i="6"/>
  <c r="H31" i="6"/>
  <c r="H30" i="6"/>
  <c r="H29" i="6"/>
  <c r="H28" i="6"/>
  <c r="H27" i="6"/>
  <c r="H26" i="6"/>
  <c r="H25" i="6"/>
  <c r="H24" i="6"/>
  <c r="H23" i="6"/>
  <c r="H22" i="6"/>
  <c r="H21" i="6"/>
  <c r="H19" i="6"/>
  <c r="F19" i="6"/>
  <c r="H18" i="6"/>
  <c r="H17" i="6"/>
  <c r="H16" i="6"/>
  <c r="H15" i="6"/>
  <c r="H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64" i="8" l="1"/>
  <c r="C17" i="7" s="1"/>
  <c r="C18" i="7" s="1"/>
  <c r="C19" i="7" s="1"/>
  <c r="H48" i="8"/>
  <c r="H54" i="8"/>
  <c r="H64" i="8"/>
  <c r="G65" i="8"/>
  <c r="H57" i="8"/>
  <c r="H60" i="8"/>
  <c r="H63" i="8"/>
  <c r="H45" i="8"/>
  <c r="H44" i="8"/>
  <c r="G16" i="9"/>
  <c r="C11" i="7"/>
  <c r="G34" i="8"/>
  <c r="H28" i="8" s="1"/>
  <c r="J25" i="8"/>
  <c r="C13" i="7"/>
  <c r="C14" i="7" s="1"/>
  <c r="H22" i="8"/>
  <c r="G69" i="8"/>
  <c r="G66" i="8"/>
  <c r="H20" i="8"/>
  <c r="H19" i="8"/>
  <c r="H23" i="8"/>
  <c r="H21" i="8"/>
  <c r="G17" i="9"/>
  <c r="G35" i="8"/>
  <c r="C25" i="7"/>
  <c r="J35" i="8"/>
  <c r="C26" i="7" s="1"/>
  <c r="H39" i="8"/>
  <c r="H42" i="8"/>
  <c r="H65" i="8"/>
  <c r="H24" i="8"/>
  <c r="H25" i="8" s="1"/>
  <c r="H47" i="8"/>
  <c r="H50" i="8"/>
  <c r="H53" i="8"/>
  <c r="H56" i="8"/>
  <c r="H59" i="8"/>
  <c r="H62" i="8"/>
  <c r="H38" i="8"/>
  <c r="H41" i="8"/>
  <c r="H46" i="8"/>
  <c r="H49" i="8"/>
  <c r="H52" i="8"/>
  <c r="H55" i="8"/>
  <c r="H58" i="8"/>
  <c r="D68" i="8"/>
  <c r="D67" i="8"/>
  <c r="J65" i="8" l="1"/>
  <c r="H61" i="8"/>
  <c r="H51" i="8"/>
  <c r="H40" i="8"/>
  <c r="H43" i="8"/>
  <c r="J66" i="8"/>
  <c r="H29" i="8"/>
  <c r="H32" i="8"/>
  <c r="H31" i="8"/>
  <c r="H30" i="8"/>
  <c r="G70" i="8"/>
  <c r="G71" i="8" s="1"/>
  <c r="H33" i="8"/>
  <c r="H34" i="8" s="1"/>
  <c r="J67" i="8"/>
  <c r="C23" i="7"/>
  <c r="C22" i="7" s="1"/>
  <c r="C21" i="7"/>
  <c r="C20" i="7" s="1"/>
  <c r="J68" i="8"/>
  <c r="C24" i="7" l="1"/>
  <c r="D20" i="7" s="1"/>
  <c r="J69" i="8"/>
  <c r="J70" i="8" s="1"/>
  <c r="J71" i="8" s="1"/>
  <c r="D22" i="7" l="1"/>
  <c r="C27" i="7"/>
  <c r="D24" i="7"/>
  <c r="D18" i="7"/>
  <c r="D16" i="7"/>
  <c r="D14" i="7"/>
  <c r="D12" i="7"/>
  <c r="D17" i="7"/>
  <c r="D13" i="7"/>
  <c r="D11" i="7"/>
  <c r="C29" i="7"/>
  <c r="D15" i="7"/>
  <c r="C30" i="7" l="1"/>
  <c r="C36" i="7" s="1"/>
  <c r="C37" i="7" l="1"/>
  <c r="C38" i="7" l="1"/>
  <c r="C39" i="7" l="1"/>
  <c r="E39" i="7" l="1"/>
  <c r="C40" i="7"/>
  <c r="E31" i="7" l="1"/>
  <c r="E14" i="7"/>
  <c r="E26" i="7"/>
  <c r="E35" i="7"/>
  <c r="E17" i="7"/>
  <c r="E13" i="7"/>
  <c r="E11" i="7"/>
  <c r="E32" i="7"/>
  <c r="E18" i="7"/>
  <c r="E12" i="7"/>
  <c r="C41" i="7"/>
  <c r="D11" i="10" s="1"/>
  <c r="E34" i="7"/>
  <c r="E25" i="7"/>
  <c r="E40" i="7"/>
  <c r="E33" i="7"/>
  <c r="E16" i="7"/>
  <c r="E15" i="7"/>
  <c r="E22" i="7"/>
  <c r="E20" i="7"/>
  <c r="E24" i="7"/>
  <c r="E29" i="7"/>
  <c r="E27" i="7"/>
  <c r="E36" i="7"/>
  <c r="E30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<sst xmlns="http://schemas.openxmlformats.org/spreadsheetml/2006/main" count="748" uniqueCount="444">
  <si>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</si>
  <si>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</si>
  <si>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</si>
  <si>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</si>
  <si>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</si>
  <si>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</si>
  <si>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</si>
  <si>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</si>
  <si>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</si>
  <si>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</si>
  <si>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</si>
  <si>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</si>
  <si>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</si>
  <si>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</si>
  <si>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</si>
  <si>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</si>
  <si>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</si>
  <si>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</si>
  <si>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</si>
  <si>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</si>
  <si>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</si>
  <si>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</si>
  <si>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</si>
  <si>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</si>
  <si>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</si>
  <si>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</si>
  <si>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</si>
  <si>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</si>
  <si>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</si>
  <si>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</si>
  <si>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</si>
  <si>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</si>
  <si>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</si>
  <si>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</si>
  <si>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</si>
  <si>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</si>
  <si>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</si>
  <si>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</si>
  <si>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</si>
  <si>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</si>
  <si>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</si>
  <si>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</si>
  <si>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</si>
  <si>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</si>
  <si>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</si>
  <si>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</si>
  <si>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</si>
  <si>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УПАТС ПС 220 кВ</t>
  </si>
  <si>
    <t>Сопоставимый уровень цен: 3 квартал 2021г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</si>
  <si>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</si>
  <si>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</si>
  <si>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</si>
  <si>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</si>
  <si>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</si>
  <si>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</si>
  <si>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</si>
  <si>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</si>
  <si>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</si>
  <si>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</si>
  <si>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</si>
  <si>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</si>
  <si>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</si>
  <si>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</si>
  <si>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</si>
  <si>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</si>
  <si>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</si>
  <si>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</si>
  <si>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</si>
  <si>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</si>
  <si>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</si>
  <si>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</si>
  <si>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</si>
  <si>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</si>
  <si>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</si>
  <si>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</si>
  <si>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</si>
  <si>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</si>
  <si>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</si>
  <si>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</si>
  <si>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</si>
  <si>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</si>
  <si>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</si>
  <si>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</si>
  <si>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</si>
  <si>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</si>
  <si>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</si>
  <si>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</si>
  <si>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</si>
  <si>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</si>
  <si>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УПАТС ПС 220 кВ</t>
  </si>
  <si>
    <t>Всего по объекту:</t>
  </si>
  <si>
    <t>Всего по объекту в сопоставимом уровне цен 3 кв. 2021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</si>
  <si>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</si>
  <si>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</si>
  <si>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УПАТС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</si>
  <si>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</si>
  <si>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</si>
  <si>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</si>
  <si>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</si>
  <si>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</si>
  <si>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</si>
  <si>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</si>
  <si>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</si>
  <si>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</si>
  <si>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</si>
  <si>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</si>
  <si>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</si>
  <si>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</si>
  <si>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</si>
  <si>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</si>
  <si>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</si>
  <si>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</si>
  <si>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</si>
  <si>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</si>
  <si>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</si>
  <si>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</si>
  <si>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</si>
  <si>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</si>
  <si>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</si>
  <si>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</si>
  <si>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</si>
  <si>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</si>
  <si>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</si>
  <si>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</si>
  <si>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</si>
  <si>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</si>
  <si>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</si>
  <si>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</si>
  <si>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</si>
  <si>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</si>
  <si>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</si>
  <si>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Прайс из СД ОП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</si>
  <si>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</si>
  <si>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</si>
  <si>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</si>
  <si>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</si>
  <si>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</si>
  <si>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</si>
  <si>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</si>
  <si>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</si>
  <si>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</si>
  <si>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</si>
  <si>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</si>
  <si>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</si>
  <si>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</si>
  <si>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</si>
  <si>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</si>
  <si>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</si>
  <si>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</si>
  <si>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</si>
  <si>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</si>
  <si>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</si>
  <si>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</si>
  <si>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</si>
  <si>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</si>
  <si>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</si>
  <si>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</si>
  <si>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</si>
  <si>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</si>
  <si>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</si>
  <si>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</si>
  <si>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</si>
  <si>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</si>
  <si>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</si>
  <si>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</si>
  <si>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</si>
  <si>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</si>
  <si>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</si>
  <si>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</si>
  <si>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</si>
  <si>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</si>
  <si>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</si>
  <si>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</si>
  <si>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</si>
  <si>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</si>
  <si>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</si>
  <si>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</si>
  <si>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</si>
  <si>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</si>
  <si>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</si>
  <si>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</si>
  <si>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</si>
  <si>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</si>
  <si>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</si>
  <si>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</si>
  <si>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</si>
  <si>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</si>
  <si>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</si>
  <si>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</si>
  <si>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</si>
  <si>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</si>
  <si>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</si>
  <si>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</si>
  <si>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</si>
  <si>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</si>
  <si>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</si>
  <si>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</si>
  <si>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</si>
  <si>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</si>
  <si>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</si>
  <si>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</si>
  <si>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</si>
  <si>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</si>
  <si>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</si>
  <si>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</si>
  <si>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</si>
  <si>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</si>
  <si>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</si>
  <si>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</si>
  <si>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</si>
  <si>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</si>
  <si>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</si>
  <si>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</si>
  <si>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</si>
  <si>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</si>
  <si>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</si>
  <si>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</si>
  <si>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</si>
  <si>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</si>
  <si>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</si>
  <si>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</si>
  <si>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</si>
  <si>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</si>
  <si>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</si>
  <si>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</si>
  <si>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</si>
  <si>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</si>
  <si>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</si>
  <si>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</si>
  <si>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</si>
  <si>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</si>
  <si>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</si>
  <si>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</si>
  <si>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</si>
  <si>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</si>
  <si>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</si>
  <si>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</si>
  <si>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</si>
  <si>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</si>
  <si>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</si>
  <si>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</si>
  <si>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</si>
  <si>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</si>
  <si>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УПАТС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</si>
  <si>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</si>
  <si>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</si>
  <si>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</si>
  <si>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</si>
  <si>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</si>
  <si>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</si>
  <si>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</si>
  <si>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</si>
  <si>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</si>
  <si>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</si>
  <si>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</si>
  <si>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</si>
  <si>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</si>
  <si>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</si>
  <si>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БЦ.36.12</t>
  </si>
  <si>
    <t>УПАТС, 150 номеров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</si>
  <si>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</si>
  <si>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</si>
  <si>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</si>
  <si>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</si>
  <si>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</si>
  <si>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</si>
  <si>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</si>
  <si>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</si>
  <si>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</si>
  <si>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</si>
  <si>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</si>
  <si>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</si>
  <si>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</si>
  <si>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</si>
  <si>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</si>
  <si>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</si>
  <si>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</si>
  <si>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</si>
  <si>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</si>
  <si>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</si>
  <si>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</si>
  <si>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</si>
  <si>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</si>
  <si>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</si>
  <si>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</si>
  <si>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</si>
  <si>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</si>
  <si>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</si>
  <si>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</si>
  <si>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</si>
  <si>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З1_ПС_УПАТС_220_кВ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</si>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</sst>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169" fontId="16" fillId="0" borderId="0" xfId="0" applyNumberFormat="1" applyFont="1"/>
    <xf numFmtId="4" fontId="18" fillId="0" borderId="0" xfId="0" applyNumberFormat="1" applyFont="1"/>
    <xf numFmtId="165" fontId="16" fillId="0" borderId="0" xfId="0" applyNumberFormat="1" applyFont="1"/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10" fontId="1" fillId="0" borderId="2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5" fontId="20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1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385536</xdr:colOff>
      <xdr:row>28</xdr:row>
      <xdr:rowOff>96158</xdr:rowOff>
    </xdr:from>
    <xdr:to>
      <xdr:col>2</xdr:col>
      <xdr:colOff>1330338</xdr:colOff>
      <xdr:row>31</xdr:row>
      <xdr:rowOff>12132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21BC92A-5386-4075-AB15-C1458FF8A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179" y="15962087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480787</xdr:colOff>
      <xdr:row>26</xdr:row>
      <xdr:rowOff>300265</xdr:rowOff>
    </xdr:from>
    <xdr:to>
      <xdr:col>2</xdr:col>
      <xdr:colOff>1318986</xdr:colOff>
      <xdr:row>28</xdr:row>
      <xdr:rowOff>75368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F7AD0F5-BB8D-4962-B343-AB5EDA63A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430" y="15485836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18</xdr:row>
      <xdr:rowOff>93436</xdr:rowOff>
    </xdr:from>
    <xdr:to>
      <xdr:col>2</xdr:col>
      <xdr:colOff>1468677</xdr:colOff>
      <xdr:row>21</xdr:row>
      <xdr:rowOff>9409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836C9F-B5B8-4048-9972-D2A838563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589" y="4706257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619126</xdr:colOff>
      <xdr:row>16</xdr:row>
      <xdr:rowOff>25400</xdr:rowOff>
    </xdr:from>
    <xdr:to>
      <xdr:col>2</xdr:col>
      <xdr:colOff>1457325</xdr:colOff>
      <xdr:row>18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DC158B3-7671-4E8D-84F3-836D64904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840" y="4230007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59</xdr:row>
      <xdr:rowOff>110938</xdr:rowOff>
    </xdr:from>
    <xdr:to>
      <xdr:col>2</xdr:col>
      <xdr:colOff>1325802</xdr:colOff>
      <xdr:row>62</xdr:row>
      <xdr:rowOff>41240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BDDA546-8899-4F47-91F5-81472EAEE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7789338"/>
          <a:ext cx="944802" cy="501802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476251</xdr:colOff>
      <xdr:row>57</xdr:row>
      <xdr:rowOff>38100</xdr:rowOff>
    </xdr:from>
    <xdr:to>
      <xdr:col>2</xdr:col>
      <xdr:colOff>1314450</xdr:colOff>
      <xdr:row>59</xdr:row>
      <xdr:rowOff>90148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5183707-5096-42A4-BCD2-319E2BE9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1" y="173355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28575</xdr:rowOff>
    </xdr:from>
    <xdr:to>
      <xdr:col>1</xdr:col>
      <xdr:colOff>1725852</xdr:colOff>
      <xdr:row>45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AFAF18-CDFA-476D-9B03-18C7E369E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49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0BAA9AC-2A1C-4969-85BF-DC27407A8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925606</xdr:colOff>
      <xdr:row>73</xdr:row>
      <xdr:rowOff>79562</xdr:rowOff>
    </xdr:from>
    <xdr:to>
      <xdr:col>2</xdr:col>
      <xdr:colOff>365458</xdr:colOff>
      <xdr:row>76</xdr:row>
      <xdr:rowOff>32274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B9E53DA-9BA1-43C2-863E-BD6C491FF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6" y="2012016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1020857</xdr:colOff>
      <xdr:row>70</xdr:row>
      <xdr:rowOff>441512</xdr:rowOff>
    </xdr:from>
    <xdr:to>
      <xdr:col>2</xdr:col>
      <xdr:colOff>354106</xdr:colOff>
      <xdr:row>73</xdr:row>
      <xdr:rowOff>58773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DE92032-16DB-4841-BA75-A6AEF5E0A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857" y="196439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19</xdr:row>
      <xdr:rowOff>57150</xdr:rowOff>
    </xdr:from>
    <xdr:to>
      <xdr:col>2</xdr:col>
      <xdr:colOff>249477</xdr:colOff>
      <xdr:row>22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E6E1A46-CD17-454A-9B72-F2DF83DAA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448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16</xdr:row>
      <xdr:rowOff>209550</xdr:rowOff>
    </xdr:from>
    <xdr:to>
      <xdr:col>2</xdr:col>
      <xdr:colOff>238125</xdr:colOff>
      <xdr:row>19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229A5DC-AEF4-4BAD-8993-78D15EBCB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49720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76200</xdr:rowOff>
    </xdr:from>
    <xdr:to>
      <xdr:col>1</xdr:col>
      <xdr:colOff>801927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BADA6DE-A753-4871-9240-8785156F4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385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B44396E-7DB1-4B41-81AD-6CFD07F14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793750</xdr:colOff>
      <xdr:row>27</xdr:row>
      <xdr:rowOff>47625</xdr:rowOff>
    </xdr:from>
    <xdr:to>
      <xdr:col>1</xdr:col>
      <xdr:colOff>1738552</xdr:colOff>
      <xdr:row>30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BB3C878-E4F5-4890-8F86-DDFEC5119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" y="93503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889001</xdr:colOff>
      <xdr:row>24</xdr:row>
      <xdr:rowOff>142875</xdr:rowOff>
    </xdr:from>
    <xdr:to>
      <xdr:col>1</xdr:col>
      <xdr:colOff>1727200</xdr:colOff>
      <xdr:row>27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F9DEC31-D0B1-4AAD-AE64-880068225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1" y="8874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3" t="s">
        <v>0</v>
      </c>
      <c r="B2" s="203"/>
      <c r="C2" s="203"/>
    </row>
    <row r="3" spans="1:3" x14ac:dyDescent="0.25">
      <c r="A3" s="1"/>
      <c r="B3" s="1"/>
      <c r="C3" s="1"/>
    </row>
    <row r="4" spans="1:3" x14ac:dyDescent="0.25">
      <c r="A4" s="204" t="s">
        <v>1</v>
      </c>
      <c r="B4" s="204"/>
      <c r="C4" s="20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5" t="s">
        <v>3</v>
      </c>
      <c r="C6" s="205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6"/>
      <c r="B1" s="116"/>
      <c r="C1" s="116"/>
      <c r="D1" s="116" t="s">
        <v>283</v>
      </c>
    </row>
    <row r="2" spans="1:4" ht="15.75" customHeight="1" x14ac:dyDescent="0.25">
      <c r="A2" s="116"/>
      <c r="B2" s="116"/>
      <c r="C2" s="116"/>
      <c r="D2" s="116"/>
    </row>
    <row r="3" spans="1:4" ht="15.75" customHeight="1" x14ac:dyDescent="0.25">
      <c r="A3" s="116"/>
      <c r="B3" s="166" t="s">
        <v>284</v>
      </c>
      <c r="C3" s="116"/>
      <c r="D3" s="116"/>
    </row>
    <row r="4" spans="1:4" ht="15.75" customHeight="1" x14ac:dyDescent="0.25">
      <c r="A4" s="116"/>
      <c r="B4" s="116"/>
      <c r="C4" s="116"/>
      <c r="D4" s="116"/>
    </row>
    <row r="5" spans="1:4" ht="15.75" customHeight="1" x14ac:dyDescent="0.25">
      <c r="A5" s="251" t="s">
        <v>285</v>
      </c>
      <c r="B5" s="251"/>
      <c r="C5" s="251"/>
      <c r="D5" s="200" t="str">
        <f>'Прил.5 Расчет СМР и ОБ'!D6:J6</f>
        <v>Постоянная часть ПС, УПАТС ПС 220 кВ</v>
      </c>
    </row>
    <row r="6" spans="1:4" ht="15.75" customHeight="1" x14ac:dyDescent="0.25">
      <c r="A6" s="116" t="s">
        <v>49</v>
      </c>
      <c r="B6" s="116"/>
      <c r="C6" s="116"/>
      <c r="D6" s="116"/>
    </row>
    <row r="7" spans="1:4" ht="15.75" customHeight="1" x14ac:dyDescent="0.25">
      <c r="A7" s="116"/>
      <c r="B7" s="116"/>
      <c r="C7" s="116"/>
      <c r="D7" s="116"/>
    </row>
    <row r="8" spans="1:4" x14ac:dyDescent="0.25">
      <c r="A8" s="215" t="s">
        <v>5</v>
      </c>
      <c r="B8" s="215" t="s">
        <v>6</v>
      </c>
      <c r="C8" s="215" t="s">
        <v>286</v>
      </c>
      <c r="D8" s="215" t="s">
        <v>287</v>
      </c>
    </row>
    <row r="9" spans="1:4" x14ac:dyDescent="0.25">
      <c r="A9" s="215"/>
      <c r="B9" s="215"/>
      <c r="C9" s="215"/>
      <c r="D9" s="215"/>
    </row>
    <row r="10" spans="1:4" ht="15.75" customHeight="1" x14ac:dyDescent="0.25">
      <c r="A10" s="133">
        <v>1</v>
      </c>
      <c r="B10" s="133">
        <v>2</v>
      </c>
      <c r="C10" s="133">
        <v>3</v>
      </c>
      <c r="D10" s="133">
        <v>4</v>
      </c>
    </row>
    <row r="11" spans="1:4" ht="63" customHeight="1" x14ac:dyDescent="0.25">
      <c r="A11" s="201" t="s">
        <v>288</v>
      </c>
      <c r="B11" s="201" t="s">
        <v>289</v>
      </c>
      <c r="C11" s="202" t="s">
        <v>290</v>
      </c>
      <c r="D11" s="134">
        <f>'Прил.4 РМ'!C41/1000</f>
        <v>14245.694190000004</v>
      </c>
    </row>
    <row r="13" spans="1:4" x14ac:dyDescent="0.25">
      <c r="A13" s="4" t="s">
        <v>291</v>
      </c>
      <c r="B13" s="12"/>
      <c r="C13" s="12"/>
      <c r="D13" s="25"/>
    </row>
    <row r="14" spans="1:4" x14ac:dyDescent="0.25">
      <c r="A14" s="144" t="s">
        <v>76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77</v>
      </c>
      <c r="B16" s="12"/>
      <c r="C16" s="12"/>
      <c r="D16" s="25"/>
    </row>
    <row r="17" spans="1:4" x14ac:dyDescent="0.25">
      <c r="A17" s="144" t="s">
        <v>78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4" zoomScale="60" zoomScaleNormal="85" workbookViewId="0">
      <selection activeCell="D24" sqref="D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0" t="s">
        <v>292</v>
      </c>
      <c r="C4" s="210"/>
      <c r="D4" s="210"/>
    </row>
    <row r="5" spans="2:5" ht="18.75" customHeight="1" x14ac:dyDescent="0.25">
      <c r="B5" s="141"/>
    </row>
    <row r="6" spans="2:5" ht="15.75" customHeight="1" x14ac:dyDescent="0.25">
      <c r="B6" s="211" t="s">
        <v>293</v>
      </c>
      <c r="C6" s="211"/>
      <c r="D6" s="211"/>
    </row>
    <row r="7" spans="2:5" x14ac:dyDescent="0.25">
      <c r="B7" s="252"/>
      <c r="C7" s="252"/>
      <c r="D7" s="252"/>
      <c r="E7" s="252"/>
    </row>
    <row r="8" spans="2:5" x14ac:dyDescent="0.25">
      <c r="B8" s="188"/>
      <c r="C8" s="188"/>
      <c r="D8" s="188"/>
      <c r="E8" s="188"/>
    </row>
    <row r="9" spans="2:5" ht="47.25" customHeight="1" x14ac:dyDescent="0.25">
      <c r="B9" s="133" t="s">
        <v>294</v>
      </c>
      <c r="C9" s="133" t="s">
        <v>295</v>
      </c>
      <c r="D9" s="133" t="s">
        <v>296</v>
      </c>
    </row>
    <row r="10" spans="2:5" ht="15.75" customHeight="1" x14ac:dyDescent="0.25">
      <c r="B10" s="133">
        <v>1</v>
      </c>
      <c r="C10" s="133">
        <v>2</v>
      </c>
      <c r="D10" s="133">
        <v>3</v>
      </c>
    </row>
    <row r="11" spans="2:5" ht="45" customHeight="1" x14ac:dyDescent="0.25">
      <c r="B11" s="133" t="s">
        <v>297</v>
      </c>
      <c r="C11" s="133" t="s">
        <v>298</v>
      </c>
      <c r="D11" s="133">
        <v>44.29</v>
      </c>
    </row>
    <row r="12" spans="2:5" ht="29.25" customHeight="1" x14ac:dyDescent="0.25">
      <c r="B12" s="133" t="s">
        <v>299</v>
      </c>
      <c r="C12" s="133" t="s">
        <v>298</v>
      </c>
      <c r="D12" s="133">
        <v>13.47</v>
      </c>
    </row>
    <row r="13" spans="2:5" ht="29.25" customHeight="1" x14ac:dyDescent="0.25">
      <c r="B13" s="133" t="s">
        <v>300</v>
      </c>
      <c r="C13" s="133" t="s">
        <v>298</v>
      </c>
      <c r="D13" s="133">
        <v>8.0399999999999991</v>
      </c>
    </row>
    <row r="14" spans="2:5" ht="30.75" customHeight="1" x14ac:dyDescent="0.25">
      <c r="B14" s="133" t="s">
        <v>301</v>
      </c>
      <c r="C14" s="119" t="s">
        <v>302</v>
      </c>
      <c r="D14" s="133">
        <v>6.26</v>
      </c>
    </row>
    <row r="15" spans="2:5" ht="89.25" customHeight="1" x14ac:dyDescent="0.25">
      <c r="B15" s="133" t="s">
        <v>303</v>
      </c>
      <c r="C15" s="133" t="s">
        <v>304</v>
      </c>
      <c r="D15" s="142">
        <v>3.9E-2</v>
      </c>
    </row>
    <row r="16" spans="2:5" ht="78.75" customHeight="1" x14ac:dyDescent="0.25">
      <c r="B16" s="133" t="s">
        <v>305</v>
      </c>
      <c r="C16" s="133" t="s">
        <v>306</v>
      </c>
      <c r="D16" s="142">
        <v>2.1000000000000001E-2</v>
      </c>
    </row>
    <row r="17" spans="2:4" ht="34.5" customHeight="1" x14ac:dyDescent="0.25">
      <c r="B17" s="133"/>
      <c r="C17" s="133"/>
      <c r="D17" s="133"/>
    </row>
    <row r="18" spans="2:4" ht="31.5" customHeight="1" x14ac:dyDescent="0.25">
      <c r="B18" s="133" t="s">
        <v>307</v>
      </c>
      <c r="C18" s="133" t="s">
        <v>308</v>
      </c>
      <c r="D18" s="142">
        <v>2.1399999999999999E-2</v>
      </c>
    </row>
    <row r="19" spans="2:4" ht="31.5" customHeight="1" x14ac:dyDescent="0.25">
      <c r="B19" s="133" t="s">
        <v>231</v>
      </c>
      <c r="C19" s="133" t="s">
        <v>309</v>
      </c>
      <c r="D19" s="142">
        <v>2E-3</v>
      </c>
    </row>
    <row r="20" spans="2:4" ht="24" customHeight="1" x14ac:dyDescent="0.25">
      <c r="B20" s="133" t="s">
        <v>233</v>
      </c>
      <c r="C20" s="133" t="s">
        <v>310</v>
      </c>
      <c r="D20" s="142">
        <v>0.03</v>
      </c>
    </row>
    <row r="21" spans="2:4" ht="18.75" customHeight="1" x14ac:dyDescent="0.25">
      <c r="B21" s="143"/>
    </row>
    <row r="22" spans="2:4" ht="18.75" customHeight="1" x14ac:dyDescent="0.25">
      <c r="B22" s="143"/>
    </row>
    <row r="23" spans="2:4" ht="18.75" customHeight="1" x14ac:dyDescent="0.25">
      <c r="B23" s="143"/>
    </row>
    <row r="24" spans="2:4" ht="18.75" customHeight="1" x14ac:dyDescent="0.25">
      <c r="B24" s="143"/>
    </row>
    <row r="27" spans="2:4" x14ac:dyDescent="0.25">
      <c r="B27" s="4" t="s">
        <v>311</v>
      </c>
      <c r="C27" s="12"/>
    </row>
    <row r="28" spans="2:4" x14ac:dyDescent="0.25">
      <c r="B28" s="144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275</v>
      </c>
      <c r="C30" s="12"/>
    </row>
    <row r="31" spans="2:4" x14ac:dyDescent="0.25">
      <c r="B31" s="144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1" t="s">
        <v>312</v>
      </c>
      <c r="B2" s="211"/>
      <c r="C2" s="211"/>
      <c r="D2" s="211"/>
      <c r="E2" s="211"/>
      <c r="F2" s="211"/>
    </row>
    <row r="4" spans="1:7" ht="18" customHeight="1" x14ac:dyDescent="0.25">
      <c r="A4" s="130" t="s">
        <v>313</v>
      </c>
      <c r="B4" s="116"/>
      <c r="C4" s="116"/>
      <c r="D4" s="116"/>
      <c r="E4" s="116"/>
      <c r="F4" s="116"/>
      <c r="G4" s="116"/>
    </row>
    <row r="5" spans="1:7" ht="15.75" customHeight="1" x14ac:dyDescent="0.25">
      <c r="A5" s="131" t="s">
        <v>13</v>
      </c>
      <c r="B5" s="131" t="s">
        <v>314</v>
      </c>
      <c r="C5" s="131" t="s">
        <v>315</v>
      </c>
      <c r="D5" s="131" t="s">
        <v>316</v>
      </c>
      <c r="E5" s="131" t="s">
        <v>317</v>
      </c>
      <c r="F5" s="131" t="s">
        <v>318</v>
      </c>
      <c r="G5" s="116"/>
    </row>
    <row r="6" spans="1:7" ht="15.75" customHeight="1" x14ac:dyDescent="0.25">
      <c r="A6" s="131">
        <v>1</v>
      </c>
      <c r="B6" s="131">
        <v>2</v>
      </c>
      <c r="C6" s="131">
        <v>3</v>
      </c>
      <c r="D6" s="131">
        <v>4</v>
      </c>
      <c r="E6" s="131">
        <v>5</v>
      </c>
      <c r="F6" s="131">
        <v>6</v>
      </c>
      <c r="G6" s="116"/>
    </row>
    <row r="7" spans="1:7" ht="110.25" customHeight="1" x14ac:dyDescent="0.25">
      <c r="A7" s="132" t="s">
        <v>319</v>
      </c>
      <c r="B7" s="114" t="s">
        <v>320</v>
      </c>
      <c r="C7" s="133" t="s">
        <v>321</v>
      </c>
      <c r="D7" s="133" t="s">
        <v>322</v>
      </c>
      <c r="E7" s="134">
        <v>47872.94</v>
      </c>
      <c r="F7" s="114" t="s">
        <v>323</v>
      </c>
      <c r="G7" s="116"/>
    </row>
    <row r="8" spans="1:7" ht="31.5" customHeight="1" x14ac:dyDescent="0.25">
      <c r="A8" s="132" t="s">
        <v>324</v>
      </c>
      <c r="B8" s="114" t="s">
        <v>325</v>
      </c>
      <c r="C8" s="133" t="s">
        <v>326</v>
      </c>
      <c r="D8" s="133" t="s">
        <v>327</v>
      </c>
      <c r="E8" s="134">
        <f>1973/12</f>
        <v>164.41666666667001</v>
      </c>
      <c r="F8" s="114" t="s">
        <v>328</v>
      </c>
      <c r="G8" s="115"/>
    </row>
    <row r="9" spans="1:7" ht="15.75" customHeight="1" x14ac:dyDescent="0.25">
      <c r="A9" s="132" t="s">
        <v>329</v>
      </c>
      <c r="B9" s="114" t="s">
        <v>330</v>
      </c>
      <c r="C9" s="133" t="s">
        <v>331</v>
      </c>
      <c r="D9" s="133" t="s">
        <v>322</v>
      </c>
      <c r="E9" s="134">
        <v>1</v>
      </c>
      <c r="F9" s="114"/>
      <c r="G9" s="115"/>
    </row>
    <row r="10" spans="1:7" ht="15.75" customHeight="1" x14ac:dyDescent="0.25">
      <c r="A10" s="132" t="s">
        <v>332</v>
      </c>
      <c r="B10" s="114" t="s">
        <v>333</v>
      </c>
      <c r="C10" s="133"/>
      <c r="D10" s="133"/>
      <c r="E10" s="135">
        <v>4.0999999999999996</v>
      </c>
      <c r="F10" s="114" t="s">
        <v>334</v>
      </c>
      <c r="G10" s="115"/>
    </row>
    <row r="11" spans="1:7" ht="78.75" customHeight="1" x14ac:dyDescent="0.25">
      <c r="A11" s="132" t="s">
        <v>335</v>
      </c>
      <c r="B11" s="114" t="s">
        <v>336</v>
      </c>
      <c r="C11" s="133" t="s">
        <v>337</v>
      </c>
      <c r="D11" s="133" t="s">
        <v>322</v>
      </c>
      <c r="E11" s="136">
        <v>1.359</v>
      </c>
      <c r="F11" s="114" t="s">
        <v>338</v>
      </c>
      <c r="G11" s="116"/>
    </row>
    <row r="12" spans="1:7" ht="78.75" customHeight="1" x14ac:dyDescent="0.25">
      <c r="A12" s="132" t="s">
        <v>339</v>
      </c>
      <c r="B12" s="118" t="s">
        <v>340</v>
      </c>
      <c r="C12" s="133" t="s">
        <v>341</v>
      </c>
      <c r="D12" s="133" t="s">
        <v>322</v>
      </c>
      <c r="E12" s="137">
        <v>1.139</v>
      </c>
      <c r="F12" s="138" t="s">
        <v>342</v>
      </c>
      <c r="G12" s="115"/>
    </row>
    <row r="13" spans="1:7" ht="63" customHeight="1" x14ac:dyDescent="0.25">
      <c r="A13" s="132" t="s">
        <v>343</v>
      </c>
      <c r="B13" s="139" t="s">
        <v>344</v>
      </c>
      <c r="C13" s="133" t="s">
        <v>345</v>
      </c>
      <c r="D13" s="133" t="s">
        <v>346</v>
      </c>
      <c r="E13" s="140">
        <f>((E7*E9/E8)*E11)*E12</f>
        <v>450.69987855412</v>
      </c>
      <c r="F13" s="114" t="s">
        <v>347</v>
      </c>
      <c r="G13" s="116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3" t="s">
        <v>348</v>
      </c>
      <c r="B1" s="253"/>
      <c r="C1" s="253"/>
      <c r="D1" s="253"/>
      <c r="E1" s="253"/>
      <c r="F1" s="253"/>
      <c r="G1" s="253"/>
      <c r="H1" s="253"/>
      <c r="I1" s="253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6" t="e">
        <f>#REF!</f>
        <v>#REF!</v>
      </c>
      <c r="B3" s="206"/>
      <c r="C3" s="206"/>
      <c r="D3" s="206"/>
      <c r="E3" s="206"/>
      <c r="F3" s="206"/>
      <c r="G3" s="206"/>
      <c r="H3" s="206"/>
      <c r="I3" s="206"/>
    </row>
    <row r="4" spans="1:13" s="4" customFormat="1" ht="15.75" customHeight="1" x14ac:dyDescent="0.2">
      <c r="A4" s="254"/>
      <c r="B4" s="254"/>
      <c r="C4" s="254"/>
      <c r="D4" s="254"/>
      <c r="E4" s="254"/>
      <c r="F4" s="254"/>
      <c r="G4" s="254"/>
      <c r="H4" s="254"/>
      <c r="I4" s="254"/>
    </row>
    <row r="5" spans="1:13" s="30" customFormat="1" ht="36.6" customHeight="1" x14ac:dyDescent="0.35">
      <c r="A5" s="255" t="s">
        <v>13</v>
      </c>
      <c r="B5" s="255" t="s">
        <v>349</v>
      </c>
      <c r="C5" s="255" t="s">
        <v>350</v>
      </c>
      <c r="D5" s="255" t="s">
        <v>351</v>
      </c>
      <c r="E5" s="250" t="s">
        <v>352</v>
      </c>
      <c r="F5" s="250"/>
      <c r="G5" s="250"/>
      <c r="H5" s="250"/>
      <c r="I5" s="250"/>
    </row>
    <row r="6" spans="1:13" s="25" customFormat="1" ht="31.5" customHeight="1" x14ac:dyDescent="0.2">
      <c r="A6" s="255"/>
      <c r="B6" s="255"/>
      <c r="C6" s="255"/>
      <c r="D6" s="255"/>
      <c r="E6" s="31" t="s">
        <v>85</v>
      </c>
      <c r="F6" s="31" t="s">
        <v>86</v>
      </c>
      <c r="G6" s="31" t="s">
        <v>43</v>
      </c>
      <c r="H6" s="31" t="s">
        <v>353</v>
      </c>
      <c r="I6" s="31" t="s">
        <v>354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221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355</v>
      </c>
      <c r="C9" s="8" t="s">
        <v>356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357</v>
      </c>
      <c r="C11" s="8" t="s">
        <v>305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106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358</v>
      </c>
      <c r="C12" s="8" t="s">
        <v>359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360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308</v>
      </c>
      <c r="C14" s="8" t="s">
        <v>361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362</v>
      </c>
      <c r="C16" s="8" t="s">
        <v>363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364</v>
      </c>
    </row>
    <row r="17" spans="1:10" s="25" customFormat="1" ht="81.75" customHeight="1" x14ac:dyDescent="0.2">
      <c r="A17" s="32">
        <v>7</v>
      </c>
      <c r="B17" s="8" t="s">
        <v>362</v>
      </c>
      <c r="C17" s="8" t="s">
        <v>365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366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367</v>
      </c>
      <c r="C20" s="8" t="s">
        <v>233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368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369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370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371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372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0" t="s">
        <v>373</v>
      </c>
      <c r="O2" s="260"/>
    </row>
    <row r="3" spans="1:16" x14ac:dyDescent="0.25">
      <c r="A3" s="261" t="s">
        <v>374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</row>
    <row r="5" spans="1:16" ht="37.5" customHeight="1" x14ac:dyDescent="0.25">
      <c r="A5" s="262" t="s">
        <v>375</v>
      </c>
      <c r="B5" s="265" t="s">
        <v>376</v>
      </c>
      <c r="C5" s="268" t="s">
        <v>377</v>
      </c>
      <c r="D5" s="271" t="s">
        <v>378</v>
      </c>
      <c r="E5" s="272"/>
      <c r="F5" s="272"/>
      <c r="G5" s="272"/>
      <c r="H5" s="272"/>
      <c r="I5" s="271" t="s">
        <v>379</v>
      </c>
      <c r="J5" s="272"/>
      <c r="K5" s="272"/>
      <c r="L5" s="272"/>
      <c r="M5" s="272"/>
      <c r="N5" s="272"/>
      <c r="O5" s="48" t="s">
        <v>380</v>
      </c>
    </row>
    <row r="6" spans="1:16" s="51" customFormat="1" ht="150" customHeight="1" x14ac:dyDescent="0.25">
      <c r="A6" s="263"/>
      <c r="B6" s="266"/>
      <c r="C6" s="269"/>
      <c r="D6" s="268" t="s">
        <v>381</v>
      </c>
      <c r="E6" s="273" t="s">
        <v>382</v>
      </c>
      <c r="F6" s="274"/>
      <c r="G6" s="275"/>
      <c r="H6" s="49" t="s">
        <v>383</v>
      </c>
      <c r="I6" s="276" t="s">
        <v>384</v>
      </c>
      <c r="J6" s="276" t="s">
        <v>381</v>
      </c>
      <c r="K6" s="277" t="s">
        <v>382</v>
      </c>
      <c r="L6" s="277"/>
      <c r="M6" s="277"/>
      <c r="N6" s="49" t="s">
        <v>383</v>
      </c>
      <c r="O6" s="50" t="s">
        <v>385</v>
      </c>
    </row>
    <row r="7" spans="1:16" s="51" customFormat="1" ht="30.75" customHeight="1" x14ac:dyDescent="0.25">
      <c r="A7" s="264"/>
      <c r="B7" s="267"/>
      <c r="C7" s="270"/>
      <c r="D7" s="270"/>
      <c r="E7" s="48" t="s">
        <v>85</v>
      </c>
      <c r="F7" s="48" t="s">
        <v>86</v>
      </c>
      <c r="G7" s="48" t="s">
        <v>43</v>
      </c>
      <c r="H7" s="52" t="s">
        <v>386</v>
      </c>
      <c r="I7" s="276"/>
      <c r="J7" s="276"/>
      <c r="K7" s="48" t="s">
        <v>85</v>
      </c>
      <c r="L7" s="48" t="s">
        <v>86</v>
      </c>
      <c r="M7" s="48" t="s">
        <v>43</v>
      </c>
      <c r="N7" s="52" t="s">
        <v>386</v>
      </c>
      <c r="O7" s="48" t="s">
        <v>387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2" t="s">
        <v>388</v>
      </c>
      <c r="C9" s="54" t="s">
        <v>389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64"/>
      <c r="C10" s="57" t="s">
        <v>390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62" t="s">
        <v>391</v>
      </c>
      <c r="C11" s="57" t="s">
        <v>392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64"/>
      <c r="C12" s="57" t="s">
        <v>393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62" t="s">
        <v>394</v>
      </c>
      <c r="C13" s="54" t="s">
        <v>395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64"/>
      <c r="C14" s="57" t="s">
        <v>396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397</v>
      </c>
      <c r="C15" s="57" t="s">
        <v>398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399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400</v>
      </c>
    </row>
    <row r="19" spans="1:15" ht="30.75" customHeight="1" x14ac:dyDescent="0.25">
      <c r="L19" s="69"/>
    </row>
    <row r="20" spans="1:15" ht="15" customHeight="1" outlineLevel="1" x14ac:dyDescent="0.25">
      <c r="G20" s="259" t="s">
        <v>401</v>
      </c>
      <c r="H20" s="259"/>
      <c r="I20" s="259"/>
      <c r="J20" s="259"/>
      <c r="K20" s="259"/>
      <c r="L20" s="259"/>
      <c r="M20" s="259"/>
      <c r="N20" s="259"/>
    </row>
    <row r="21" spans="1:15" ht="15.75" customHeight="1" outlineLevel="1" x14ac:dyDescent="0.25">
      <c r="G21" s="70"/>
      <c r="H21" s="70" t="s">
        <v>402</v>
      </c>
      <c r="I21" s="70" t="s">
        <v>403</v>
      </c>
      <c r="J21" s="70" t="s">
        <v>404</v>
      </c>
      <c r="K21" s="71" t="s">
        <v>405</v>
      </c>
      <c r="L21" s="70" t="s">
        <v>406</v>
      </c>
      <c r="M21" s="70" t="s">
        <v>407</v>
      </c>
      <c r="N21" s="70" t="s">
        <v>408</v>
      </c>
      <c r="O21" s="64"/>
    </row>
    <row r="22" spans="1:15" ht="15.75" customHeight="1" outlineLevel="1" x14ac:dyDescent="0.25">
      <c r="G22" s="257" t="s">
        <v>409</v>
      </c>
      <c r="H22" s="256">
        <v>6.09</v>
      </c>
      <c r="I22" s="258">
        <v>6.44</v>
      </c>
      <c r="J22" s="256">
        <v>5.77</v>
      </c>
      <c r="K22" s="258">
        <v>5.77</v>
      </c>
      <c r="L22" s="256">
        <v>5.23</v>
      </c>
      <c r="M22" s="256">
        <v>5.77</v>
      </c>
      <c r="N22" s="72">
        <v>6.29</v>
      </c>
      <c r="O22" t="s">
        <v>410</v>
      </c>
    </row>
    <row r="23" spans="1:15" ht="15.75" customHeight="1" outlineLevel="1" x14ac:dyDescent="0.25">
      <c r="G23" s="257"/>
      <c r="H23" s="256"/>
      <c r="I23" s="258"/>
      <c r="J23" s="256"/>
      <c r="K23" s="258"/>
      <c r="L23" s="256"/>
      <c r="M23" s="256"/>
      <c r="N23" s="72">
        <v>6.56</v>
      </c>
      <c r="O23" t="s">
        <v>411</v>
      </c>
    </row>
    <row r="24" spans="1:15" ht="15.75" customHeight="1" outlineLevel="1" x14ac:dyDescent="0.25">
      <c r="G24" s="73" t="s">
        <v>412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386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413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414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353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8" t="s">
        <v>415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</row>
    <row r="4" spans="1:18" ht="36.75" customHeight="1" x14ac:dyDescent="0.25">
      <c r="A4" s="262" t="s">
        <v>375</v>
      </c>
      <c r="B4" s="265" t="s">
        <v>376</v>
      </c>
      <c r="C4" s="268" t="s">
        <v>416</v>
      </c>
      <c r="D4" s="268" t="s">
        <v>417</v>
      </c>
      <c r="E4" s="271" t="s">
        <v>418</v>
      </c>
      <c r="F4" s="272"/>
      <c r="G4" s="272"/>
      <c r="H4" s="272"/>
      <c r="I4" s="272"/>
      <c r="J4" s="272"/>
      <c r="K4" s="272"/>
      <c r="L4" s="272"/>
      <c r="M4" s="272"/>
      <c r="N4" s="279" t="s">
        <v>419</v>
      </c>
      <c r="O4" s="280"/>
      <c r="P4" s="280"/>
      <c r="Q4" s="280"/>
      <c r="R4" s="281"/>
    </row>
    <row r="5" spans="1:18" ht="60" customHeight="1" x14ac:dyDescent="0.25">
      <c r="A5" s="263"/>
      <c r="B5" s="266"/>
      <c r="C5" s="269"/>
      <c r="D5" s="269"/>
      <c r="E5" s="276" t="s">
        <v>420</v>
      </c>
      <c r="F5" s="276" t="s">
        <v>421</v>
      </c>
      <c r="G5" s="273" t="s">
        <v>382</v>
      </c>
      <c r="H5" s="274"/>
      <c r="I5" s="274"/>
      <c r="J5" s="275"/>
      <c r="K5" s="276" t="s">
        <v>422</v>
      </c>
      <c r="L5" s="276"/>
      <c r="M5" s="276"/>
      <c r="N5" s="75" t="s">
        <v>423</v>
      </c>
      <c r="O5" s="75" t="s">
        <v>424</v>
      </c>
      <c r="P5" s="75" t="s">
        <v>425</v>
      </c>
      <c r="Q5" s="76" t="s">
        <v>426</v>
      </c>
      <c r="R5" s="75" t="s">
        <v>427</v>
      </c>
    </row>
    <row r="6" spans="1:18" ht="49.5" customHeight="1" x14ac:dyDescent="0.25">
      <c r="A6" s="264"/>
      <c r="B6" s="267"/>
      <c r="C6" s="270"/>
      <c r="D6" s="270"/>
      <c r="E6" s="276"/>
      <c r="F6" s="276"/>
      <c r="G6" s="48" t="s">
        <v>85</v>
      </c>
      <c r="H6" s="48" t="s">
        <v>86</v>
      </c>
      <c r="I6" s="48" t="s">
        <v>43</v>
      </c>
      <c r="J6" s="48" t="s">
        <v>353</v>
      </c>
      <c r="K6" s="48" t="s">
        <v>423</v>
      </c>
      <c r="L6" s="48" t="s">
        <v>424</v>
      </c>
      <c r="M6" s="48" t="s">
        <v>425</v>
      </c>
      <c r="N6" s="48" t="s">
        <v>428</v>
      </c>
      <c r="O6" s="48" t="s">
        <v>429</v>
      </c>
      <c r="P6" s="48" t="s">
        <v>430</v>
      </c>
      <c r="Q6" s="49" t="s">
        <v>431</v>
      </c>
      <c r="R6" s="48" t="s">
        <v>432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2">
        <v>1</v>
      </c>
      <c r="B9" s="262" t="s">
        <v>433</v>
      </c>
      <c r="C9" s="282" t="s">
        <v>389</v>
      </c>
      <c r="D9" s="54" t="s">
        <v>434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599999999999994" hidden="1" customHeight="1" x14ac:dyDescent="0.25">
      <c r="A10" s="264"/>
      <c r="B10" s="263"/>
      <c r="C10" s="283"/>
      <c r="D10" s="54" t="s">
        <v>435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62">
        <v>2</v>
      </c>
      <c r="B11" s="263"/>
      <c r="C11" s="282" t="s">
        <v>436</v>
      </c>
      <c r="D11" s="54" t="s">
        <v>434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64"/>
      <c r="B12" s="264"/>
      <c r="C12" s="283"/>
      <c r="D12" s="54" t="s">
        <v>435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62">
        <v>3</v>
      </c>
      <c r="B13" s="262" t="s">
        <v>391</v>
      </c>
      <c r="C13" s="284" t="s">
        <v>392</v>
      </c>
      <c r="D13" s="54" t="s">
        <v>437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" hidden="1" customHeight="1" x14ac:dyDescent="0.25">
      <c r="A14" s="264"/>
      <c r="B14" s="263"/>
      <c r="C14" s="285"/>
      <c r="D14" s="54" t="s">
        <v>435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62">
        <v>4</v>
      </c>
      <c r="B15" s="263"/>
      <c r="C15" s="286" t="s">
        <v>393</v>
      </c>
      <c r="D15" s="57" t="s">
        <v>437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64"/>
      <c r="B16" s="264"/>
      <c r="C16" s="287"/>
      <c r="D16" s="57" t="s">
        <v>435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62">
        <v>5</v>
      </c>
      <c r="B17" s="277" t="s">
        <v>394</v>
      </c>
      <c r="C17" s="282" t="s">
        <v>438</v>
      </c>
      <c r="D17" s="54" t="s">
        <v>439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64"/>
      <c r="B18" s="277"/>
      <c r="C18" s="283"/>
      <c r="D18" s="54" t="s">
        <v>435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62">
        <v>6</v>
      </c>
      <c r="B19" s="277"/>
      <c r="C19" s="282" t="s">
        <v>396</v>
      </c>
      <c r="D19" s="57" t="s">
        <v>437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64"/>
      <c r="B20" s="277"/>
      <c r="C20" s="283"/>
      <c r="D20" s="57" t="s">
        <v>435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62">
        <v>7</v>
      </c>
      <c r="B21" s="262" t="s">
        <v>397</v>
      </c>
      <c r="C21" s="282" t="s">
        <v>398</v>
      </c>
      <c r="D21" s="57" t="s">
        <v>440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64"/>
      <c r="B22" s="264"/>
      <c r="C22" s="283"/>
      <c r="D22" s="80" t="s">
        <v>435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441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8" t="s">
        <v>442</v>
      </c>
      <c r="E26" s="288"/>
      <c r="F26" s="288"/>
      <c r="G26" s="288"/>
      <c r="H26" s="288"/>
      <c r="I26" s="288"/>
      <c r="J26" s="288"/>
      <c r="K26" s="288"/>
      <c r="L26" s="69"/>
      <c r="R26" s="87"/>
    </row>
    <row r="27" spans="1:18" outlineLevel="1" x14ac:dyDescent="0.25">
      <c r="D27" s="88"/>
      <c r="E27" s="88" t="s">
        <v>402</v>
      </c>
      <c r="F27" s="88" t="s">
        <v>403</v>
      </c>
      <c r="G27" s="88" t="s">
        <v>404</v>
      </c>
      <c r="H27" s="89" t="s">
        <v>405</v>
      </c>
      <c r="I27" s="89" t="s">
        <v>406</v>
      </c>
      <c r="J27" s="89" t="s">
        <v>407</v>
      </c>
      <c r="K27" s="60" t="s">
        <v>408</v>
      </c>
    </row>
    <row r="28" spans="1:18" outlineLevel="1" x14ac:dyDescent="0.25">
      <c r="D28" s="289" t="s">
        <v>409</v>
      </c>
      <c r="E28" s="291">
        <v>6.09</v>
      </c>
      <c r="F28" s="293">
        <v>6.63</v>
      </c>
      <c r="G28" s="291">
        <v>5.77</v>
      </c>
      <c r="H28" s="295">
        <v>5.77</v>
      </c>
      <c r="I28" s="295">
        <v>6.35</v>
      </c>
      <c r="J28" s="291">
        <v>5.77</v>
      </c>
      <c r="K28" s="90">
        <v>6.29</v>
      </c>
      <c r="L28" t="s">
        <v>410</v>
      </c>
    </row>
    <row r="29" spans="1:18" outlineLevel="1" x14ac:dyDescent="0.25">
      <c r="D29" s="290"/>
      <c r="E29" s="292"/>
      <c r="F29" s="294"/>
      <c r="G29" s="292"/>
      <c r="H29" s="296"/>
      <c r="I29" s="296"/>
      <c r="J29" s="292"/>
      <c r="K29" s="90">
        <v>6.56</v>
      </c>
      <c r="L29" t="s">
        <v>411</v>
      </c>
    </row>
    <row r="30" spans="1:18" outlineLevel="1" x14ac:dyDescent="0.25">
      <c r="D30" s="91" t="s">
        <v>412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9" t="s">
        <v>386</v>
      </c>
      <c r="E31" s="291">
        <v>11.37</v>
      </c>
      <c r="F31" s="293">
        <v>13.56</v>
      </c>
      <c r="G31" s="291">
        <v>15.91</v>
      </c>
      <c r="H31" s="295">
        <v>15.91</v>
      </c>
      <c r="I31" s="295">
        <v>14.03</v>
      </c>
      <c r="J31" s="291">
        <v>15.91</v>
      </c>
      <c r="K31" s="90">
        <v>8.2899999999999991</v>
      </c>
      <c r="L31" t="s">
        <v>410</v>
      </c>
    </row>
    <row r="32" spans="1:18" outlineLevel="1" x14ac:dyDescent="0.25">
      <c r="D32" s="290"/>
      <c r="E32" s="292"/>
      <c r="F32" s="294"/>
      <c r="G32" s="292"/>
      <c r="H32" s="296"/>
      <c r="I32" s="296"/>
      <c r="J32" s="292"/>
      <c r="K32" s="90">
        <v>11.84</v>
      </c>
      <c r="L32" t="s">
        <v>411</v>
      </c>
    </row>
    <row r="33" spans="4:12" ht="15" customHeight="1" outlineLevel="1" x14ac:dyDescent="0.25">
      <c r="D33" s="92" t="s">
        <v>413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443</v>
      </c>
    </row>
    <row r="34" spans="4:12" outlineLevel="1" x14ac:dyDescent="0.25">
      <c r="D34" s="92" t="s">
        <v>414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443</v>
      </c>
    </row>
    <row r="35" spans="4:12" outlineLevel="1" x14ac:dyDescent="0.25">
      <c r="D35" s="91" t="s">
        <v>353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3" t="s">
        <v>10</v>
      </c>
      <c r="B2" s="203"/>
      <c r="C2" s="203"/>
      <c r="D2" s="20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6"/>
    </row>
    <row r="5" spans="1:4" x14ac:dyDescent="0.25">
      <c r="A5" s="5"/>
      <c r="B5" s="1"/>
      <c r="C5" s="1"/>
    </row>
    <row r="6" spans="1:4" x14ac:dyDescent="0.25">
      <c r="A6" s="203" t="s">
        <v>12</v>
      </c>
      <c r="B6" s="203"/>
      <c r="C6" s="203"/>
      <c r="D6" s="20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7" t="s">
        <v>5</v>
      </c>
      <c r="B15" s="208" t="s">
        <v>15</v>
      </c>
      <c r="C15" s="208"/>
      <c r="D15" s="208"/>
    </row>
    <row r="16" spans="1:4" x14ac:dyDescent="0.25">
      <c r="A16" s="207"/>
      <c r="B16" s="207" t="s">
        <v>17</v>
      </c>
      <c r="C16" s="208" t="s">
        <v>28</v>
      </c>
      <c r="D16" s="208"/>
    </row>
    <row r="17" spans="1:4" ht="39" customHeight="1" x14ac:dyDescent="0.25">
      <c r="A17" s="207"/>
      <c r="B17" s="20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9" t="s">
        <v>29</v>
      </c>
      <c r="B2" s="209"/>
      <c r="C2" s="209"/>
      <c r="D2" s="209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0" zoomScale="70" zoomScaleNormal="55" workbookViewId="0">
      <selection activeCell="D29" sqref="D29"/>
    </sheetView>
  </sheetViews>
  <sheetFormatPr defaultColWidth="9.140625" defaultRowHeight="15.75" x14ac:dyDescent="0.25"/>
  <cols>
    <col min="1" max="2" width="9.140625" style="116"/>
    <col min="3" max="3" width="36.85546875" style="116" customWidth="1"/>
    <col min="4" max="4" width="73.140625" style="116" customWidth="1"/>
    <col min="5" max="6" width="36.5703125" style="116" hidden="1" customWidth="1"/>
    <col min="7" max="11" width="9.140625" style="116"/>
    <col min="12" max="12" width="14.7109375" style="116" customWidth="1"/>
    <col min="13" max="13" width="17.7109375" style="116" customWidth="1"/>
    <col min="14" max="14" width="9.140625" style="116"/>
  </cols>
  <sheetData>
    <row r="3" spans="2:6" x14ac:dyDescent="0.25">
      <c r="B3" s="210" t="s">
        <v>45</v>
      </c>
      <c r="C3" s="210"/>
      <c r="D3" s="210"/>
      <c r="E3" s="210"/>
      <c r="F3" s="210"/>
    </row>
    <row r="4" spans="2:6" x14ac:dyDescent="0.25">
      <c r="B4" s="211" t="s">
        <v>46</v>
      </c>
      <c r="C4" s="211"/>
      <c r="D4" s="211"/>
      <c r="E4" s="211"/>
      <c r="F4" s="211"/>
    </row>
    <row r="5" spans="2:6" x14ac:dyDescent="0.25">
      <c r="B5" s="117"/>
      <c r="C5" s="117"/>
      <c r="D5" s="117"/>
      <c r="E5" s="117"/>
      <c r="F5" s="117"/>
    </row>
    <row r="6" spans="2:6" x14ac:dyDescent="0.25">
      <c r="B6" s="117"/>
      <c r="C6" s="117"/>
      <c r="D6" s="117"/>
      <c r="E6" s="117"/>
      <c r="F6" s="117"/>
    </row>
    <row r="7" spans="2:6" ht="48.75" customHeight="1" x14ac:dyDescent="0.25">
      <c r="B7" s="212" t="s">
        <v>47</v>
      </c>
      <c r="C7" s="212"/>
      <c r="D7" s="212"/>
      <c r="E7" s="212"/>
      <c r="F7" s="212"/>
    </row>
    <row r="8" spans="2:6" ht="31.5" customHeight="1" x14ac:dyDescent="0.25">
      <c r="B8" s="212" t="s">
        <v>48</v>
      </c>
      <c r="C8" s="212"/>
      <c r="D8" s="212"/>
      <c r="E8" s="212"/>
      <c r="F8" s="212"/>
    </row>
    <row r="9" spans="2:6" x14ac:dyDescent="0.25">
      <c r="B9" s="212" t="s">
        <v>49</v>
      </c>
      <c r="C9" s="212"/>
      <c r="D9" s="212"/>
      <c r="E9" s="212"/>
      <c r="F9" s="212"/>
    </row>
    <row r="10" spans="2:6" x14ac:dyDescent="0.25">
      <c r="B10" s="182"/>
    </row>
    <row r="11" spans="2:6" x14ac:dyDescent="0.25">
      <c r="B11" s="133" t="s">
        <v>33</v>
      </c>
      <c r="C11" s="133" t="s">
        <v>50</v>
      </c>
      <c r="D11" s="133" t="s">
        <v>51</v>
      </c>
      <c r="E11" s="118"/>
      <c r="F11" s="118"/>
    </row>
    <row r="12" spans="2:6" ht="47.25" customHeight="1" x14ac:dyDescent="0.25">
      <c r="B12" s="133">
        <v>1</v>
      </c>
      <c r="C12" s="118" t="s">
        <v>52</v>
      </c>
      <c r="D12" s="201" t="s">
        <v>53</v>
      </c>
      <c r="E12" s="118"/>
      <c r="F12" s="118"/>
    </row>
    <row r="13" spans="2:6" ht="31.5" customHeight="1" x14ac:dyDescent="0.25">
      <c r="B13" s="133">
        <v>2</v>
      </c>
      <c r="C13" s="118" t="s">
        <v>54</v>
      </c>
      <c r="D13" s="201" t="s">
        <v>55</v>
      </c>
      <c r="E13" s="118"/>
      <c r="F13" s="118"/>
    </row>
    <row r="14" spans="2:6" x14ac:dyDescent="0.25">
      <c r="B14" s="133">
        <v>3</v>
      </c>
      <c r="C14" s="118" t="s">
        <v>56</v>
      </c>
      <c r="D14" s="201" t="s">
        <v>57</v>
      </c>
      <c r="E14" s="118"/>
      <c r="F14" s="118"/>
    </row>
    <row r="15" spans="2:6" x14ac:dyDescent="0.25">
      <c r="B15" s="133">
        <v>4</v>
      </c>
      <c r="C15" s="118" t="s">
        <v>58</v>
      </c>
      <c r="D15" s="201">
        <v>1</v>
      </c>
      <c r="E15" s="114"/>
      <c r="F15" s="114"/>
    </row>
    <row r="16" spans="2:6" ht="409.5" customHeight="1" x14ac:dyDescent="0.25">
      <c r="B16" s="133">
        <v>5</v>
      </c>
      <c r="C16" s="119" t="s">
        <v>59</v>
      </c>
      <c r="D16" s="114" t="s">
        <v>60</v>
      </c>
      <c r="E16" s="118"/>
      <c r="F16" s="118"/>
    </row>
    <row r="17" spans="2:12" ht="78.75" customHeight="1" x14ac:dyDescent="0.25">
      <c r="B17" s="133">
        <v>6</v>
      </c>
      <c r="C17" s="119" t="s">
        <v>61</v>
      </c>
      <c r="D17" s="120">
        <f>D18+D19</f>
        <v>11343.4260899</v>
      </c>
      <c r="E17" s="120"/>
      <c r="F17" s="120"/>
    </row>
    <row r="18" spans="2:12" x14ac:dyDescent="0.25">
      <c r="B18" s="121" t="s">
        <v>62</v>
      </c>
      <c r="C18" s="118" t="s">
        <v>63</v>
      </c>
      <c r="D18" s="120">
        <f>'Прил.2 Расч стоим'!F14</f>
        <v>79.471685100000002</v>
      </c>
      <c r="E18" s="120"/>
      <c r="F18" s="120"/>
    </row>
    <row r="19" spans="2:12" ht="15.75" customHeight="1" x14ac:dyDescent="0.25">
      <c r="B19" s="121" t="s">
        <v>64</v>
      </c>
      <c r="C19" s="118" t="s">
        <v>65</v>
      </c>
      <c r="D19" s="120">
        <f>'Прил.2 Расч стоим'!H14</f>
        <v>11263.954404800001</v>
      </c>
      <c r="E19" s="120"/>
      <c r="F19" s="120"/>
    </row>
    <row r="20" spans="2:12" ht="16.5" customHeight="1" x14ac:dyDescent="0.25">
      <c r="B20" s="121" t="s">
        <v>66</v>
      </c>
      <c r="C20" s="118" t="s">
        <v>67</v>
      </c>
      <c r="D20" s="120"/>
      <c r="E20" s="120"/>
      <c r="F20" s="120"/>
      <c r="L20" s="175"/>
    </row>
    <row r="21" spans="2:12" ht="35.25" customHeight="1" x14ac:dyDescent="0.25">
      <c r="B21" s="121" t="s">
        <v>68</v>
      </c>
      <c r="C21" s="122" t="s">
        <v>69</v>
      </c>
      <c r="D21" s="120"/>
      <c r="E21" s="120"/>
      <c r="F21" s="120"/>
    </row>
    <row r="22" spans="2:12" x14ac:dyDescent="0.25">
      <c r="B22" s="133">
        <v>7</v>
      </c>
      <c r="C22" s="122" t="s">
        <v>70</v>
      </c>
      <c r="D22" s="133" t="s">
        <v>71</v>
      </c>
      <c r="E22" s="133"/>
      <c r="F22" s="120"/>
      <c r="G22" s="172"/>
    </row>
    <row r="23" spans="2:12" ht="123" customHeight="1" x14ac:dyDescent="0.25">
      <c r="B23" s="133">
        <v>8</v>
      </c>
      <c r="C23" s="123" t="s">
        <v>72</v>
      </c>
      <c r="D23" s="120">
        <f>D17</f>
        <v>11343.4260899</v>
      </c>
      <c r="E23" s="120"/>
      <c r="F23" s="124"/>
    </row>
    <row r="24" spans="2:12" ht="60.75" customHeight="1" x14ac:dyDescent="0.25">
      <c r="B24" s="133">
        <v>9</v>
      </c>
      <c r="C24" s="119" t="s">
        <v>73</v>
      </c>
      <c r="D24" s="120">
        <f>D17/D15</f>
        <v>11343.4260899</v>
      </c>
      <c r="E24" s="120"/>
      <c r="F24" s="120"/>
    </row>
    <row r="25" spans="2:12" ht="71.25" customHeight="1" x14ac:dyDescent="0.25">
      <c r="B25" s="133">
        <v>10</v>
      </c>
      <c r="C25" s="118" t="s">
        <v>74</v>
      </c>
      <c r="D25" s="118"/>
      <c r="E25" s="118"/>
      <c r="F25" s="118"/>
    </row>
    <row r="26" spans="2:12" x14ac:dyDescent="0.25">
      <c r="B26" s="125"/>
      <c r="C26" s="126"/>
      <c r="D26" s="126"/>
      <c r="E26" s="126"/>
      <c r="F26" s="126"/>
    </row>
    <row r="27" spans="2:12" ht="37.5" customHeight="1" x14ac:dyDescent="0.25">
      <c r="B27" s="127"/>
    </row>
    <row r="28" spans="2:12" x14ac:dyDescent="0.25">
      <c r="B28" s="116" t="s">
        <v>75</v>
      </c>
    </row>
    <row r="29" spans="2:12" x14ac:dyDescent="0.25">
      <c r="B29" s="127" t="s">
        <v>76</v>
      </c>
    </row>
    <row r="31" spans="2:12" x14ac:dyDescent="0.25">
      <c r="B31" s="116" t="s">
        <v>77</v>
      </c>
    </row>
    <row r="32" spans="2:12" x14ac:dyDescent="0.25">
      <c r="B32" s="127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37"/>
  <sheetViews>
    <sheetView view="pageBreakPreview" zoomScale="70" zoomScaleNormal="70" workbookViewId="0">
      <selection activeCell="D20" sqref="D20"/>
    </sheetView>
  </sheetViews>
  <sheetFormatPr defaultColWidth="9.140625" defaultRowHeight="15.75" x14ac:dyDescent="0.25"/>
  <cols>
    <col min="1" max="1" width="5.5703125" style="116" customWidth="1"/>
    <col min="2" max="2" width="9.140625" style="116"/>
    <col min="3" max="3" width="74.140625" style="116" customWidth="1"/>
    <col min="4" max="4" width="13.85546875" style="116" customWidth="1"/>
    <col min="5" max="5" width="24.85546875" style="116" customWidth="1"/>
    <col min="6" max="6" width="15.5703125" style="116" customWidth="1"/>
    <col min="7" max="7" width="14.85546875" style="116" customWidth="1"/>
    <col min="8" max="8" width="16.7109375" style="116" customWidth="1"/>
    <col min="9" max="10" width="13" style="116" customWidth="1"/>
    <col min="11" max="11" width="9.140625" style="116"/>
  </cols>
  <sheetData>
    <row r="3" spans="2:10" x14ac:dyDescent="0.25">
      <c r="B3" s="210" t="s">
        <v>79</v>
      </c>
      <c r="C3" s="210"/>
      <c r="D3" s="210"/>
      <c r="E3" s="210"/>
      <c r="F3" s="210"/>
      <c r="G3" s="210"/>
      <c r="H3" s="210"/>
      <c r="I3" s="210"/>
      <c r="J3" s="210"/>
    </row>
    <row r="4" spans="2:10" x14ac:dyDescent="0.25">
      <c r="B4" s="211" t="s">
        <v>80</v>
      </c>
      <c r="C4" s="211"/>
      <c r="D4" s="211"/>
      <c r="E4" s="211"/>
      <c r="F4" s="211"/>
      <c r="G4" s="211"/>
      <c r="H4" s="211"/>
      <c r="I4" s="211"/>
      <c r="J4" s="211"/>
    </row>
    <row r="5" spans="2:10" x14ac:dyDescent="0.25">
      <c r="B5" s="117"/>
      <c r="C5" s="117"/>
      <c r="D5" s="117"/>
      <c r="E5" s="117"/>
      <c r="F5" s="117"/>
      <c r="G5" s="117"/>
      <c r="H5" s="117"/>
      <c r="I5" s="117"/>
      <c r="J5" s="117"/>
    </row>
    <row r="6" spans="2:10" ht="30" customHeight="1" x14ac:dyDescent="0.25">
      <c r="B6" s="214" t="s">
        <v>47</v>
      </c>
      <c r="C6" s="214"/>
      <c r="D6" s="214"/>
      <c r="E6" s="214"/>
      <c r="F6" s="214"/>
      <c r="G6" s="214"/>
      <c r="H6" s="214"/>
      <c r="I6" s="214"/>
      <c r="J6" s="214"/>
    </row>
    <row r="7" spans="2:10" x14ac:dyDescent="0.25">
      <c r="B7" s="212" t="s">
        <v>49</v>
      </c>
      <c r="C7" s="212"/>
      <c r="D7" s="212"/>
      <c r="E7" s="212"/>
      <c r="F7" s="212"/>
      <c r="G7" s="212"/>
      <c r="H7" s="212"/>
      <c r="I7" s="212"/>
      <c r="J7" s="212"/>
    </row>
    <row r="8" spans="2:10" x14ac:dyDescent="0.25">
      <c r="B8" s="182"/>
    </row>
    <row r="9" spans="2:10" ht="15.75" customHeight="1" x14ac:dyDescent="0.25">
      <c r="B9" s="215" t="s">
        <v>33</v>
      </c>
      <c r="C9" s="215" t="s">
        <v>81</v>
      </c>
      <c r="D9" s="215" t="s">
        <v>51</v>
      </c>
      <c r="E9" s="215"/>
      <c r="F9" s="215"/>
      <c r="G9" s="215"/>
      <c r="H9" s="215"/>
      <c r="I9" s="215"/>
      <c r="J9" s="215"/>
    </row>
    <row r="10" spans="2:10" ht="15.75" customHeight="1" x14ac:dyDescent="0.25">
      <c r="B10" s="215"/>
      <c r="C10" s="215"/>
      <c r="D10" s="215" t="s">
        <v>82</v>
      </c>
      <c r="E10" s="215" t="s">
        <v>83</v>
      </c>
      <c r="F10" s="215" t="s">
        <v>84</v>
      </c>
      <c r="G10" s="215"/>
      <c r="H10" s="215"/>
      <c r="I10" s="215"/>
      <c r="J10" s="215"/>
    </row>
    <row r="11" spans="2:10" ht="31.5" customHeight="1" x14ac:dyDescent="0.25">
      <c r="B11" s="215"/>
      <c r="C11" s="215"/>
      <c r="D11" s="215"/>
      <c r="E11" s="215"/>
      <c r="F11" s="133" t="s">
        <v>85</v>
      </c>
      <c r="G11" s="133" t="s">
        <v>86</v>
      </c>
      <c r="H11" s="133" t="s">
        <v>43</v>
      </c>
      <c r="I11" s="133" t="s">
        <v>87</v>
      </c>
      <c r="J11" s="133" t="s">
        <v>88</v>
      </c>
    </row>
    <row r="12" spans="2:10" ht="48" customHeight="1" x14ac:dyDescent="0.25">
      <c r="B12" s="128"/>
      <c r="C12" s="164" t="s">
        <v>89</v>
      </c>
      <c r="D12" s="190"/>
      <c r="E12" s="118"/>
      <c r="F12" s="216">
        <v>79.471685100000002</v>
      </c>
      <c r="G12" s="217"/>
      <c r="H12" s="191">
        <v>11263.954404800001</v>
      </c>
      <c r="I12" s="192"/>
      <c r="J12" s="193">
        <v>11343.4260899</v>
      </c>
    </row>
    <row r="13" spans="2:10" ht="15.75" customHeight="1" x14ac:dyDescent="0.25">
      <c r="B13" s="213" t="s">
        <v>90</v>
      </c>
      <c r="C13" s="213"/>
      <c r="D13" s="213"/>
      <c r="E13" s="213"/>
      <c r="F13" s="194"/>
      <c r="G13" s="194"/>
      <c r="H13" s="194"/>
      <c r="I13" s="139"/>
      <c r="J13" s="195"/>
    </row>
    <row r="14" spans="2:10" ht="28.5" customHeight="1" x14ac:dyDescent="0.25">
      <c r="B14" s="213" t="s">
        <v>91</v>
      </c>
      <c r="C14" s="213"/>
      <c r="D14" s="213"/>
      <c r="E14" s="213"/>
      <c r="F14" s="218">
        <f>F12</f>
        <v>79.471685100000002</v>
      </c>
      <c r="G14" s="219"/>
      <c r="H14" s="194">
        <f>H12</f>
        <v>11263.954404800001</v>
      </c>
      <c r="I14" s="139"/>
      <c r="J14" s="195">
        <f>J12</f>
        <v>11343.4260899</v>
      </c>
    </row>
    <row r="18" spans="2:10" x14ac:dyDescent="0.25">
      <c r="B18" s="116" t="s">
        <v>75</v>
      </c>
    </row>
    <row r="19" spans="2:10" x14ac:dyDescent="0.25">
      <c r="B19" s="127" t="s">
        <v>76</v>
      </c>
    </row>
    <row r="21" spans="2:10" x14ac:dyDescent="0.25">
      <c r="B21" s="116" t="s">
        <v>77</v>
      </c>
    </row>
    <row r="22" spans="2:10" x14ac:dyDescent="0.25">
      <c r="B22" s="127" t="s">
        <v>78</v>
      </c>
    </row>
    <row r="24" spans="2:10" x14ac:dyDescent="0.25">
      <c r="G24" s="175"/>
      <c r="H24" s="175"/>
      <c r="I24" s="175"/>
      <c r="J24" s="185"/>
    </row>
    <row r="37" spans="9:9" x14ac:dyDescent="0.25">
      <c r="I37" s="173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4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J63"/>
  <sheetViews>
    <sheetView view="pageBreakPreview" topLeftCell="A43" zoomScale="70" zoomScaleSheetLayoutView="70" workbookViewId="0">
      <selection activeCell="F146" sqref="F146"/>
    </sheetView>
  </sheetViews>
  <sheetFormatPr defaultColWidth="9.140625" defaultRowHeight="15.75" x14ac:dyDescent="0.25"/>
  <cols>
    <col min="1" max="1" width="9.140625" style="116"/>
    <col min="2" max="2" width="12.5703125" style="116" customWidth="1"/>
    <col min="3" max="3" width="22.42578125" style="116" customWidth="1"/>
    <col min="4" max="4" width="49.7109375" style="116" customWidth="1"/>
    <col min="5" max="5" width="10.140625" style="162" customWidth="1"/>
    <col min="6" max="6" width="20.7109375" style="116" customWidth="1"/>
    <col min="7" max="7" width="16.140625" style="116" customWidth="1"/>
    <col min="8" max="8" width="16.7109375" style="116" customWidth="1"/>
    <col min="9" max="10" width="9.140625" style="116"/>
  </cols>
  <sheetData>
    <row r="4" spans="1:10" x14ac:dyDescent="0.25">
      <c r="A4" s="210" t="s">
        <v>92</v>
      </c>
      <c r="B4" s="210"/>
      <c r="C4" s="210"/>
      <c r="D4" s="210"/>
      <c r="E4" s="210"/>
      <c r="F4" s="210"/>
      <c r="G4" s="210"/>
      <c r="H4" s="210"/>
    </row>
    <row r="5" spans="1:10" x14ac:dyDescent="0.25">
      <c r="A5" s="211" t="s">
        <v>93</v>
      </c>
      <c r="B5" s="211"/>
      <c r="C5" s="211"/>
      <c r="D5" s="211"/>
      <c r="E5" s="211"/>
      <c r="F5" s="211"/>
      <c r="G5" s="211"/>
      <c r="H5" s="211"/>
    </row>
    <row r="6" spans="1:10" x14ac:dyDescent="0.25">
      <c r="A6" s="182"/>
    </row>
    <row r="7" spans="1:10" ht="41.25" customHeight="1" x14ac:dyDescent="0.25">
      <c r="A7" s="214" t="s">
        <v>94</v>
      </c>
      <c r="B7" s="214"/>
      <c r="C7" s="214"/>
      <c r="D7" s="214"/>
      <c r="E7" s="214"/>
      <c r="F7" s="214"/>
      <c r="G7" s="214"/>
      <c r="H7" s="214"/>
    </row>
    <row r="8" spans="1:10" x14ac:dyDescent="0.25">
      <c r="A8" s="163"/>
      <c r="B8" s="163"/>
      <c r="C8" s="163"/>
      <c r="D8" s="163"/>
      <c r="E8" s="117"/>
      <c r="F8" s="163"/>
      <c r="G8" s="163"/>
      <c r="H8" s="163"/>
    </row>
    <row r="9" spans="1:10" ht="38.25" customHeight="1" x14ac:dyDescent="0.25">
      <c r="A9" s="215" t="s">
        <v>95</v>
      </c>
      <c r="B9" s="215" t="s">
        <v>96</v>
      </c>
      <c r="C9" s="215" t="s">
        <v>97</v>
      </c>
      <c r="D9" s="215" t="s">
        <v>98</v>
      </c>
      <c r="E9" s="215" t="s">
        <v>99</v>
      </c>
      <c r="F9" s="215" t="s">
        <v>100</v>
      </c>
      <c r="G9" s="215" t="s">
        <v>101</v>
      </c>
      <c r="H9" s="215"/>
    </row>
    <row r="10" spans="1:10" ht="40.5" customHeight="1" x14ac:dyDescent="0.25">
      <c r="A10" s="215"/>
      <c r="B10" s="215"/>
      <c r="C10" s="215"/>
      <c r="D10" s="215"/>
      <c r="E10" s="215"/>
      <c r="F10" s="215"/>
      <c r="G10" s="133" t="s">
        <v>102</v>
      </c>
      <c r="H10" s="133" t="s">
        <v>103</v>
      </c>
    </row>
    <row r="11" spans="1:10" x14ac:dyDescent="0.25">
      <c r="A11" s="164">
        <v>1</v>
      </c>
      <c r="B11" s="164"/>
      <c r="C11" s="164">
        <v>2</v>
      </c>
      <c r="D11" s="164" t="s">
        <v>104</v>
      </c>
      <c r="E11" s="164">
        <v>4</v>
      </c>
      <c r="F11" s="164">
        <v>5</v>
      </c>
      <c r="G11" s="164">
        <v>6</v>
      </c>
      <c r="H11" s="164">
        <v>7</v>
      </c>
    </row>
    <row r="12" spans="1:10" s="166" customFormat="1" x14ac:dyDescent="0.25">
      <c r="A12" s="220" t="s">
        <v>105</v>
      </c>
      <c r="B12" s="221"/>
      <c r="C12" s="222"/>
      <c r="D12" s="222"/>
      <c r="E12" s="221"/>
      <c r="F12" s="165">
        <f>SUM(F13:F18)</f>
        <v>405.82799999999997</v>
      </c>
      <c r="G12" s="165"/>
      <c r="H12" s="165">
        <f>SUM(H13:H18)</f>
        <v>4029.57</v>
      </c>
      <c r="I12" s="116"/>
    </row>
    <row r="13" spans="1:10" x14ac:dyDescent="0.25">
      <c r="A13" s="167">
        <v>1</v>
      </c>
      <c r="B13" s="168" t="s">
        <v>106</v>
      </c>
      <c r="C13" s="169" t="s">
        <v>107</v>
      </c>
      <c r="D13" s="170" t="s">
        <v>108</v>
      </c>
      <c r="E13" s="171" t="s">
        <v>109</v>
      </c>
      <c r="F13" s="167">
        <v>203</v>
      </c>
      <c r="G13" s="129">
        <v>11.09</v>
      </c>
      <c r="H13" s="129">
        <f t="shared" ref="H13:H18" si="0">ROUND(F13*G13,2)</f>
        <v>2251.27</v>
      </c>
      <c r="J13" s="174"/>
    </row>
    <row r="14" spans="1:10" x14ac:dyDescent="0.25">
      <c r="A14" s="167">
        <v>2</v>
      </c>
      <c r="B14" s="168" t="s">
        <v>106</v>
      </c>
      <c r="C14" s="169" t="s">
        <v>110</v>
      </c>
      <c r="D14" s="170" t="s">
        <v>111</v>
      </c>
      <c r="E14" s="171" t="s">
        <v>109</v>
      </c>
      <c r="F14" s="167">
        <v>155.26</v>
      </c>
      <c r="G14" s="129">
        <v>8.5299999999999994</v>
      </c>
      <c r="H14" s="129">
        <f t="shared" si="0"/>
        <v>1324.37</v>
      </c>
      <c r="J14" s="174"/>
    </row>
    <row r="15" spans="1:10" x14ac:dyDescent="0.25">
      <c r="A15" s="167">
        <v>3</v>
      </c>
      <c r="B15" s="168" t="s">
        <v>106</v>
      </c>
      <c r="C15" s="169" t="s">
        <v>112</v>
      </c>
      <c r="D15" s="170" t="s">
        <v>113</v>
      </c>
      <c r="E15" s="171" t="s">
        <v>109</v>
      </c>
      <c r="F15" s="167">
        <v>34.56</v>
      </c>
      <c r="G15" s="129">
        <v>9.6199999999999992</v>
      </c>
      <c r="H15" s="129">
        <f t="shared" si="0"/>
        <v>332.47</v>
      </c>
      <c r="J15" s="174"/>
    </row>
    <row r="16" spans="1:10" x14ac:dyDescent="0.25">
      <c r="A16" s="167">
        <v>4</v>
      </c>
      <c r="B16" s="168" t="s">
        <v>106</v>
      </c>
      <c r="C16" s="169" t="s">
        <v>114</v>
      </c>
      <c r="D16" s="170" t="s">
        <v>115</v>
      </c>
      <c r="E16" s="171" t="s">
        <v>109</v>
      </c>
      <c r="F16" s="167">
        <v>11.858000000000001</v>
      </c>
      <c r="G16" s="129">
        <v>9.4</v>
      </c>
      <c r="H16" s="129">
        <f t="shared" si="0"/>
        <v>111.47</v>
      </c>
      <c r="J16" s="174"/>
    </row>
    <row r="17" spans="1:10" x14ac:dyDescent="0.25">
      <c r="A17" s="167">
        <v>5</v>
      </c>
      <c r="B17" s="168" t="s">
        <v>106</v>
      </c>
      <c r="C17" s="169" t="s">
        <v>116</v>
      </c>
      <c r="D17" s="170" t="s">
        <v>117</v>
      </c>
      <c r="E17" s="171" t="s">
        <v>109</v>
      </c>
      <c r="F17" s="167">
        <v>1.03</v>
      </c>
      <c r="G17" s="129">
        <v>8.64</v>
      </c>
      <c r="H17" s="129">
        <f t="shared" si="0"/>
        <v>8.9</v>
      </c>
      <c r="J17" s="174"/>
    </row>
    <row r="18" spans="1:10" x14ac:dyDescent="0.25">
      <c r="A18" s="167">
        <v>6</v>
      </c>
      <c r="B18" s="168" t="s">
        <v>106</v>
      </c>
      <c r="C18" s="169" t="s">
        <v>118</v>
      </c>
      <c r="D18" s="170" t="s">
        <v>119</v>
      </c>
      <c r="E18" s="171" t="s">
        <v>109</v>
      </c>
      <c r="F18" s="167">
        <v>0.12</v>
      </c>
      <c r="G18" s="129">
        <v>9.07</v>
      </c>
      <c r="H18" s="129">
        <f t="shared" si="0"/>
        <v>1.0900000000000001</v>
      </c>
      <c r="J18" s="174"/>
    </row>
    <row r="19" spans="1:10" x14ac:dyDescent="0.25">
      <c r="A19" s="220" t="s">
        <v>120</v>
      </c>
      <c r="B19" s="221"/>
      <c r="C19" s="222"/>
      <c r="D19" s="222"/>
      <c r="E19" s="221"/>
      <c r="F19" s="196">
        <f>F20</f>
        <v>5.8179999999999996</v>
      </c>
      <c r="G19" s="165"/>
      <c r="H19" s="165">
        <f>H20</f>
        <v>59.25</v>
      </c>
    </row>
    <row r="20" spans="1:10" x14ac:dyDescent="0.25">
      <c r="A20" s="167">
        <v>7</v>
      </c>
      <c r="B20" s="167" t="s">
        <v>106</v>
      </c>
      <c r="C20" s="170">
        <v>2</v>
      </c>
      <c r="D20" s="170" t="s">
        <v>120</v>
      </c>
      <c r="E20" s="171" t="s">
        <v>109</v>
      </c>
      <c r="F20" s="167">
        <v>5.8179999999999996</v>
      </c>
      <c r="G20" s="129"/>
      <c r="H20" s="129">
        <v>59.25</v>
      </c>
    </row>
    <row r="21" spans="1:10" s="166" customFormat="1" x14ac:dyDescent="0.25">
      <c r="A21" s="220" t="s">
        <v>121</v>
      </c>
      <c r="B21" s="221"/>
      <c r="C21" s="222"/>
      <c r="D21" s="222"/>
      <c r="E21" s="221"/>
      <c r="F21" s="196"/>
      <c r="G21" s="165"/>
      <c r="H21" s="165">
        <f>SUM(H22:H25)</f>
        <v>521.04999999999995</v>
      </c>
      <c r="I21" s="116"/>
    </row>
    <row r="22" spans="1:10" x14ac:dyDescent="0.25">
      <c r="A22" s="167">
        <v>8</v>
      </c>
      <c r="B22" s="167" t="s">
        <v>106</v>
      </c>
      <c r="C22" s="170" t="s">
        <v>122</v>
      </c>
      <c r="D22" s="170" t="s">
        <v>123</v>
      </c>
      <c r="E22" s="171" t="s">
        <v>124</v>
      </c>
      <c r="F22" s="167">
        <v>5.4</v>
      </c>
      <c r="G22" s="129">
        <v>89.99</v>
      </c>
      <c r="H22" s="129">
        <f>ROUND(F22*G22,2)</f>
        <v>485.95</v>
      </c>
    </row>
    <row r="23" spans="1:10" x14ac:dyDescent="0.25">
      <c r="A23" s="167">
        <v>9</v>
      </c>
      <c r="B23" s="167" t="s">
        <v>106</v>
      </c>
      <c r="C23" s="170" t="s">
        <v>125</v>
      </c>
      <c r="D23" s="170" t="s">
        <v>126</v>
      </c>
      <c r="E23" s="171" t="s">
        <v>124</v>
      </c>
      <c r="F23" s="167">
        <v>0.374</v>
      </c>
      <c r="G23" s="129">
        <v>65.709999999999994</v>
      </c>
      <c r="H23" s="129">
        <f>ROUND(F23*G23,2)</f>
        <v>24.58</v>
      </c>
    </row>
    <row r="24" spans="1:10" ht="31.5" customHeight="1" x14ac:dyDescent="0.25">
      <c r="A24" s="167">
        <v>10</v>
      </c>
      <c r="B24" s="167" t="s">
        <v>106</v>
      </c>
      <c r="C24" s="170" t="s">
        <v>127</v>
      </c>
      <c r="D24" s="170" t="s">
        <v>128</v>
      </c>
      <c r="E24" s="171" t="s">
        <v>124</v>
      </c>
      <c r="F24" s="167">
        <v>3.2</v>
      </c>
      <c r="G24" s="129">
        <v>1.7</v>
      </c>
      <c r="H24" s="129">
        <f>ROUND(F24*G24,2)</f>
        <v>5.44</v>
      </c>
    </row>
    <row r="25" spans="1:10" ht="31.5" customHeight="1" x14ac:dyDescent="0.25">
      <c r="A25" s="167">
        <v>11</v>
      </c>
      <c r="B25" s="167" t="s">
        <v>106</v>
      </c>
      <c r="C25" s="170" t="s">
        <v>129</v>
      </c>
      <c r="D25" s="170" t="s">
        <v>130</v>
      </c>
      <c r="E25" s="171" t="s">
        <v>124</v>
      </c>
      <c r="F25" s="167">
        <v>4.3999999999999997E-2</v>
      </c>
      <c r="G25" s="129">
        <v>115.4</v>
      </c>
      <c r="H25" s="129">
        <f>ROUND(F25*G25,2)</f>
        <v>5.08</v>
      </c>
    </row>
    <row r="26" spans="1:10" x14ac:dyDescent="0.25">
      <c r="A26" s="220" t="s">
        <v>43</v>
      </c>
      <c r="B26" s="221"/>
      <c r="C26" s="222"/>
      <c r="D26" s="222"/>
      <c r="E26" s="221"/>
      <c r="F26" s="196"/>
      <c r="G26" s="165"/>
      <c r="H26" s="165">
        <f>SUM(H27:H30)</f>
        <v>2025891.08</v>
      </c>
    </row>
    <row r="27" spans="1:10" s="166" customFormat="1" ht="31.5" customHeight="1" x14ac:dyDescent="0.25">
      <c r="A27" s="167">
        <v>12</v>
      </c>
      <c r="B27" s="167" t="s">
        <v>106</v>
      </c>
      <c r="C27" s="170" t="s">
        <v>131</v>
      </c>
      <c r="D27" s="170" t="s">
        <v>132</v>
      </c>
      <c r="E27" s="171" t="s">
        <v>133</v>
      </c>
      <c r="F27" s="167">
        <v>1</v>
      </c>
      <c r="G27" s="129">
        <v>2020059.15</v>
      </c>
      <c r="H27" s="129">
        <f>ROUND(F27*G27,2)</f>
        <v>2020059.15</v>
      </c>
      <c r="I27" s="116"/>
    </row>
    <row r="28" spans="1:10" s="166" customFormat="1" ht="31.5" customHeight="1" x14ac:dyDescent="0.25">
      <c r="A28" s="167">
        <v>13</v>
      </c>
      <c r="B28" s="167" t="s">
        <v>106</v>
      </c>
      <c r="C28" s="170" t="s">
        <v>134</v>
      </c>
      <c r="D28" s="170" t="s">
        <v>135</v>
      </c>
      <c r="E28" s="171" t="s">
        <v>136</v>
      </c>
      <c r="F28" s="167">
        <v>10</v>
      </c>
      <c r="G28" s="129">
        <v>415.4</v>
      </c>
      <c r="H28" s="129">
        <f>ROUND(F28*G28,2)</f>
        <v>4154</v>
      </c>
      <c r="I28" s="116"/>
    </row>
    <row r="29" spans="1:10" s="166" customFormat="1" ht="31.5" customHeight="1" x14ac:dyDescent="0.25">
      <c r="A29" s="167">
        <v>14</v>
      </c>
      <c r="B29" s="167" t="s">
        <v>106</v>
      </c>
      <c r="C29" s="170" t="s">
        <v>137</v>
      </c>
      <c r="D29" s="170" t="s">
        <v>138</v>
      </c>
      <c r="E29" s="171" t="s">
        <v>136</v>
      </c>
      <c r="F29" s="167">
        <v>1</v>
      </c>
      <c r="G29" s="129">
        <v>1161.69</v>
      </c>
      <c r="H29" s="129">
        <f>ROUND(F29*G29,2)</f>
        <v>1161.69</v>
      </c>
      <c r="I29" s="116"/>
    </row>
    <row r="30" spans="1:10" s="166" customFormat="1" ht="47.25" customHeight="1" x14ac:dyDescent="0.25">
      <c r="A30" s="167">
        <v>15</v>
      </c>
      <c r="B30" s="167" t="s">
        <v>106</v>
      </c>
      <c r="C30" s="170" t="s">
        <v>139</v>
      </c>
      <c r="D30" s="170" t="s">
        <v>140</v>
      </c>
      <c r="E30" s="171" t="s">
        <v>136</v>
      </c>
      <c r="F30" s="167">
        <v>1</v>
      </c>
      <c r="G30" s="129">
        <v>516.24</v>
      </c>
      <c r="H30" s="129">
        <f>ROUND(F30*G30,2)</f>
        <v>516.24</v>
      </c>
      <c r="I30" s="116"/>
    </row>
    <row r="31" spans="1:10" x14ac:dyDescent="0.25">
      <c r="A31" s="220" t="s">
        <v>141</v>
      </c>
      <c r="B31" s="221"/>
      <c r="C31" s="222"/>
      <c r="D31" s="222"/>
      <c r="E31" s="221"/>
      <c r="F31" s="196"/>
      <c r="G31" s="165"/>
      <c r="H31" s="165">
        <f>SUM(H32:H56)</f>
        <v>4598.8999999999996</v>
      </c>
    </row>
    <row r="32" spans="1:10" x14ac:dyDescent="0.25">
      <c r="A32" s="167">
        <v>16</v>
      </c>
      <c r="B32" s="167" t="s">
        <v>106</v>
      </c>
      <c r="C32" s="170" t="s">
        <v>142</v>
      </c>
      <c r="D32" s="170" t="s">
        <v>143</v>
      </c>
      <c r="E32" s="171" t="s">
        <v>144</v>
      </c>
      <c r="F32" s="167">
        <f>6/100</f>
        <v>0.06</v>
      </c>
      <c r="G32" s="129">
        <v>25707</v>
      </c>
      <c r="H32" s="129">
        <f t="shared" ref="H32:H56" si="1">ROUND(F32*G32,2)</f>
        <v>1542.42</v>
      </c>
    </row>
    <row r="33" spans="1:8" ht="31.5" customHeight="1" x14ac:dyDescent="0.25">
      <c r="A33" s="167">
        <v>17</v>
      </c>
      <c r="B33" s="167" t="s">
        <v>106</v>
      </c>
      <c r="C33" s="170" t="s">
        <v>145</v>
      </c>
      <c r="D33" s="170" t="s">
        <v>146</v>
      </c>
      <c r="E33" s="171" t="s">
        <v>147</v>
      </c>
      <c r="F33" s="167">
        <v>8.2000000000000003E-2</v>
      </c>
      <c r="G33" s="129">
        <v>9233.2000000000007</v>
      </c>
      <c r="H33" s="129">
        <f t="shared" si="1"/>
        <v>757.12</v>
      </c>
    </row>
    <row r="34" spans="1:8" ht="31.5" customHeight="1" x14ac:dyDescent="0.25">
      <c r="A34" s="167">
        <v>18</v>
      </c>
      <c r="B34" s="167" t="s">
        <v>106</v>
      </c>
      <c r="C34" s="170" t="s">
        <v>145</v>
      </c>
      <c r="D34" s="170" t="s">
        <v>146</v>
      </c>
      <c r="E34" s="171" t="s">
        <v>147</v>
      </c>
      <c r="F34" s="167">
        <v>8.2000000000000003E-2</v>
      </c>
      <c r="G34" s="129">
        <v>9233.2000000000007</v>
      </c>
      <c r="H34" s="129">
        <f t="shared" si="1"/>
        <v>757.12</v>
      </c>
    </row>
    <row r="35" spans="1:8" ht="63" customHeight="1" x14ac:dyDescent="0.25">
      <c r="A35" s="167">
        <v>19</v>
      </c>
      <c r="B35" s="167" t="s">
        <v>106</v>
      </c>
      <c r="C35" s="170" t="s">
        <v>148</v>
      </c>
      <c r="D35" s="170" t="s">
        <v>149</v>
      </c>
      <c r="E35" s="171" t="s">
        <v>147</v>
      </c>
      <c r="F35" s="167">
        <v>1.03</v>
      </c>
      <c r="G35" s="129">
        <v>500</v>
      </c>
      <c r="H35" s="129">
        <f t="shared" si="1"/>
        <v>515</v>
      </c>
    </row>
    <row r="36" spans="1:8" ht="78.75" customHeight="1" x14ac:dyDescent="0.25">
      <c r="A36" s="167">
        <v>20</v>
      </c>
      <c r="B36" s="167" t="s">
        <v>106</v>
      </c>
      <c r="C36" s="170" t="s">
        <v>150</v>
      </c>
      <c r="D36" s="170" t="s">
        <v>151</v>
      </c>
      <c r="E36" s="171" t="s">
        <v>152</v>
      </c>
      <c r="F36" s="167">
        <v>9.6</v>
      </c>
      <c r="G36" s="129">
        <v>22.61</v>
      </c>
      <c r="H36" s="129">
        <f t="shared" si="1"/>
        <v>217.06</v>
      </c>
    </row>
    <row r="37" spans="1:8" ht="31.5" customHeight="1" x14ac:dyDescent="0.25">
      <c r="A37" s="167">
        <v>21</v>
      </c>
      <c r="B37" s="167" t="s">
        <v>106</v>
      </c>
      <c r="C37" s="170" t="s">
        <v>153</v>
      </c>
      <c r="D37" s="170" t="s">
        <v>154</v>
      </c>
      <c r="E37" s="171" t="s">
        <v>147</v>
      </c>
      <c r="F37" s="167">
        <v>6.0999999999999999E-2</v>
      </c>
      <c r="G37" s="129">
        <v>2719.53</v>
      </c>
      <c r="H37" s="129">
        <f t="shared" si="1"/>
        <v>165.89</v>
      </c>
    </row>
    <row r="38" spans="1:8" ht="31.5" customHeight="1" x14ac:dyDescent="0.25">
      <c r="A38" s="167">
        <v>22</v>
      </c>
      <c r="B38" s="167" t="s">
        <v>106</v>
      </c>
      <c r="C38" s="170" t="s">
        <v>155</v>
      </c>
      <c r="D38" s="170" t="s">
        <v>156</v>
      </c>
      <c r="E38" s="171" t="s">
        <v>157</v>
      </c>
      <c r="F38" s="167">
        <v>1.1299999999999999E-3</v>
      </c>
      <c r="G38" s="129">
        <v>114220</v>
      </c>
      <c r="H38" s="129">
        <f t="shared" si="1"/>
        <v>129.07</v>
      </c>
    </row>
    <row r="39" spans="1:8" x14ac:dyDescent="0.25">
      <c r="A39" s="167">
        <v>23</v>
      </c>
      <c r="B39" s="167" t="s">
        <v>106</v>
      </c>
      <c r="C39" s="170" t="s">
        <v>158</v>
      </c>
      <c r="D39" s="170" t="s">
        <v>159</v>
      </c>
      <c r="E39" s="171" t="s">
        <v>144</v>
      </c>
      <c r="F39" s="167">
        <v>0.48</v>
      </c>
      <c r="G39" s="129">
        <v>216</v>
      </c>
      <c r="H39" s="129">
        <f t="shared" si="1"/>
        <v>103.68</v>
      </c>
    </row>
    <row r="40" spans="1:8" ht="31.5" customHeight="1" x14ac:dyDescent="0.25">
      <c r="A40" s="167">
        <v>24</v>
      </c>
      <c r="B40" s="167" t="s">
        <v>106</v>
      </c>
      <c r="C40" s="170" t="s">
        <v>160</v>
      </c>
      <c r="D40" s="170" t="s">
        <v>161</v>
      </c>
      <c r="E40" s="171" t="s">
        <v>162</v>
      </c>
      <c r="F40" s="167">
        <v>80.183800000000005</v>
      </c>
      <c r="G40" s="129">
        <v>1</v>
      </c>
      <c r="H40" s="129">
        <f t="shared" si="1"/>
        <v>80.180000000000007</v>
      </c>
    </row>
    <row r="41" spans="1:8" ht="31.5" customHeight="1" x14ac:dyDescent="0.25">
      <c r="A41" s="167">
        <v>25</v>
      </c>
      <c r="B41" s="167" t="s">
        <v>106</v>
      </c>
      <c r="C41" s="170" t="s">
        <v>163</v>
      </c>
      <c r="D41" s="170" t="s">
        <v>164</v>
      </c>
      <c r="E41" s="171" t="s">
        <v>144</v>
      </c>
      <c r="F41" s="167">
        <v>0.96</v>
      </c>
      <c r="G41" s="129">
        <v>83</v>
      </c>
      <c r="H41" s="129">
        <f t="shared" si="1"/>
        <v>79.680000000000007</v>
      </c>
    </row>
    <row r="42" spans="1:8" ht="31.5" customHeight="1" x14ac:dyDescent="0.25">
      <c r="A42" s="167">
        <v>26</v>
      </c>
      <c r="B42" s="167" t="s">
        <v>106</v>
      </c>
      <c r="C42" s="170" t="s">
        <v>165</v>
      </c>
      <c r="D42" s="170" t="s">
        <v>166</v>
      </c>
      <c r="E42" s="171" t="s">
        <v>167</v>
      </c>
      <c r="F42" s="167">
        <v>1.6E-2</v>
      </c>
      <c r="G42" s="129">
        <v>4949.3999999999996</v>
      </c>
      <c r="H42" s="129">
        <f t="shared" si="1"/>
        <v>79.19</v>
      </c>
    </row>
    <row r="43" spans="1:8" ht="31.5" customHeight="1" x14ac:dyDescent="0.25">
      <c r="A43" s="167">
        <v>27</v>
      </c>
      <c r="B43" s="167" t="s">
        <v>106</v>
      </c>
      <c r="C43" s="170" t="s">
        <v>168</v>
      </c>
      <c r="D43" s="170" t="s">
        <v>169</v>
      </c>
      <c r="E43" s="171" t="s">
        <v>167</v>
      </c>
      <c r="F43" s="167">
        <v>4.8000000000000001E-2</v>
      </c>
      <c r="G43" s="129">
        <v>832.7</v>
      </c>
      <c r="H43" s="129">
        <f t="shared" si="1"/>
        <v>39.97</v>
      </c>
    </row>
    <row r="44" spans="1:8" ht="31.5" customHeight="1" x14ac:dyDescent="0.25">
      <c r="A44" s="167">
        <v>28</v>
      </c>
      <c r="B44" s="167" t="s">
        <v>106</v>
      </c>
      <c r="C44" s="170" t="s">
        <v>170</v>
      </c>
      <c r="D44" s="170" t="s">
        <v>171</v>
      </c>
      <c r="E44" s="171" t="s">
        <v>157</v>
      </c>
      <c r="F44" s="167">
        <v>4.8000000000000001E-4</v>
      </c>
      <c r="G44" s="129">
        <v>65750</v>
      </c>
      <c r="H44" s="129">
        <f t="shared" si="1"/>
        <v>31.56</v>
      </c>
    </row>
    <row r="45" spans="1:8" x14ac:dyDescent="0.25">
      <c r="A45" s="167">
        <v>29</v>
      </c>
      <c r="B45" s="167" t="s">
        <v>106</v>
      </c>
      <c r="C45" s="170" t="s">
        <v>172</v>
      </c>
      <c r="D45" s="170" t="s">
        <v>173</v>
      </c>
      <c r="E45" s="171" t="s">
        <v>144</v>
      </c>
      <c r="F45" s="167">
        <f>6/100</f>
        <v>0.06</v>
      </c>
      <c r="G45" s="129">
        <v>514.25</v>
      </c>
      <c r="H45" s="129">
        <f t="shared" si="1"/>
        <v>30.86</v>
      </c>
    </row>
    <row r="46" spans="1:8" x14ac:dyDescent="0.25">
      <c r="A46" s="167">
        <v>30</v>
      </c>
      <c r="B46" s="167" t="s">
        <v>106</v>
      </c>
      <c r="C46" s="170" t="s">
        <v>174</v>
      </c>
      <c r="D46" s="170" t="s">
        <v>175</v>
      </c>
      <c r="E46" s="171" t="s">
        <v>176</v>
      </c>
      <c r="F46" s="167">
        <v>0.48</v>
      </c>
      <c r="G46" s="129">
        <v>39.020000000000003</v>
      </c>
      <c r="H46" s="129">
        <f t="shared" si="1"/>
        <v>18.73</v>
      </c>
    </row>
    <row r="47" spans="1:8" x14ac:dyDescent="0.25">
      <c r="A47" s="167">
        <v>31</v>
      </c>
      <c r="B47" s="167" t="s">
        <v>106</v>
      </c>
      <c r="C47" s="170" t="s">
        <v>177</v>
      </c>
      <c r="D47" s="170" t="s">
        <v>178</v>
      </c>
      <c r="E47" s="171" t="s">
        <v>176</v>
      </c>
      <c r="F47" s="167">
        <v>0.48</v>
      </c>
      <c r="G47" s="129">
        <v>27.74</v>
      </c>
      <c r="H47" s="129">
        <f t="shared" si="1"/>
        <v>13.32</v>
      </c>
    </row>
    <row r="48" spans="1:8" x14ac:dyDescent="0.25">
      <c r="A48" s="167">
        <v>32</v>
      </c>
      <c r="B48" s="167" t="s">
        <v>106</v>
      </c>
      <c r="C48" s="170" t="s">
        <v>179</v>
      </c>
      <c r="D48" s="170" t="s">
        <v>180</v>
      </c>
      <c r="E48" s="171" t="s">
        <v>144</v>
      </c>
      <c r="F48" s="167">
        <v>0.11</v>
      </c>
      <c r="G48" s="129">
        <v>110</v>
      </c>
      <c r="H48" s="129">
        <f t="shared" si="1"/>
        <v>12.1</v>
      </c>
    </row>
    <row r="49" spans="1:8" ht="47.25" customHeight="1" x14ac:dyDescent="0.25">
      <c r="A49" s="167">
        <v>33</v>
      </c>
      <c r="B49" s="167" t="s">
        <v>106</v>
      </c>
      <c r="C49" s="170" t="s">
        <v>181</v>
      </c>
      <c r="D49" s="170" t="s">
        <v>182</v>
      </c>
      <c r="E49" s="171" t="s">
        <v>176</v>
      </c>
      <c r="F49" s="167">
        <v>0.35199999999999998</v>
      </c>
      <c r="G49" s="129">
        <v>30.4</v>
      </c>
      <c r="H49" s="129">
        <f t="shared" si="1"/>
        <v>10.7</v>
      </c>
    </row>
    <row r="50" spans="1:8" x14ac:dyDescent="0.25">
      <c r="A50" s="167">
        <v>34</v>
      </c>
      <c r="B50" s="167" t="s">
        <v>106</v>
      </c>
      <c r="C50" s="170" t="s">
        <v>183</v>
      </c>
      <c r="D50" s="170" t="s">
        <v>184</v>
      </c>
      <c r="E50" s="171" t="s">
        <v>185</v>
      </c>
      <c r="F50" s="167">
        <v>0.9</v>
      </c>
      <c r="G50" s="129">
        <v>8.33</v>
      </c>
      <c r="H50" s="129">
        <f t="shared" si="1"/>
        <v>7.5</v>
      </c>
    </row>
    <row r="51" spans="1:8" x14ac:dyDescent="0.25">
      <c r="A51" s="167">
        <v>35</v>
      </c>
      <c r="B51" s="167" t="s">
        <v>106</v>
      </c>
      <c r="C51" s="170" t="s">
        <v>186</v>
      </c>
      <c r="D51" s="170" t="s">
        <v>187</v>
      </c>
      <c r="E51" s="171" t="s">
        <v>188</v>
      </c>
      <c r="F51" s="167">
        <v>2.6839999999999999E-2</v>
      </c>
      <c r="G51" s="129">
        <v>119</v>
      </c>
      <c r="H51" s="129">
        <f t="shared" si="1"/>
        <v>3.19</v>
      </c>
    </row>
    <row r="52" spans="1:8" x14ac:dyDescent="0.25">
      <c r="A52" s="167">
        <v>36</v>
      </c>
      <c r="B52" s="167" t="s">
        <v>106</v>
      </c>
      <c r="C52" s="170" t="s">
        <v>189</v>
      </c>
      <c r="D52" s="170" t="s">
        <v>190</v>
      </c>
      <c r="E52" s="171" t="s">
        <v>157</v>
      </c>
      <c r="F52" s="167">
        <v>1.32E-3</v>
      </c>
      <c r="G52" s="129">
        <v>1820</v>
      </c>
      <c r="H52" s="129">
        <f t="shared" si="1"/>
        <v>2.4</v>
      </c>
    </row>
    <row r="53" spans="1:8" x14ac:dyDescent="0.25">
      <c r="A53" s="167">
        <v>37</v>
      </c>
      <c r="B53" s="167" t="s">
        <v>106</v>
      </c>
      <c r="C53" s="170" t="s">
        <v>191</v>
      </c>
      <c r="D53" s="170" t="s">
        <v>192</v>
      </c>
      <c r="E53" s="171" t="s">
        <v>176</v>
      </c>
      <c r="F53" s="167">
        <v>4.3999999999999997E-2</v>
      </c>
      <c r="G53" s="129">
        <v>28.6</v>
      </c>
      <c r="H53" s="129">
        <f t="shared" si="1"/>
        <v>1.26</v>
      </c>
    </row>
    <row r="54" spans="1:8" x14ac:dyDescent="0.25">
      <c r="A54" s="167">
        <v>38</v>
      </c>
      <c r="B54" s="167" t="s">
        <v>106</v>
      </c>
      <c r="C54" s="170" t="s">
        <v>193</v>
      </c>
      <c r="D54" s="170" t="s">
        <v>194</v>
      </c>
      <c r="E54" s="171" t="s">
        <v>176</v>
      </c>
      <c r="F54" s="167">
        <v>0.05</v>
      </c>
      <c r="G54" s="129">
        <v>16.95</v>
      </c>
      <c r="H54" s="129">
        <f t="shared" si="1"/>
        <v>0.85</v>
      </c>
    </row>
    <row r="55" spans="1:8" x14ac:dyDescent="0.25">
      <c r="A55" s="167">
        <v>39</v>
      </c>
      <c r="B55" s="167" t="s">
        <v>106</v>
      </c>
      <c r="C55" s="170" t="s">
        <v>195</v>
      </c>
      <c r="D55" s="170" t="s">
        <v>196</v>
      </c>
      <c r="E55" s="171" t="s">
        <v>157</v>
      </c>
      <c r="F55" s="167">
        <v>3.9999999999999998E-6</v>
      </c>
      <c r="G55" s="129">
        <v>12430</v>
      </c>
      <c r="H55" s="129">
        <f t="shared" si="1"/>
        <v>0.05</v>
      </c>
    </row>
    <row r="56" spans="1:8" x14ac:dyDescent="0.25">
      <c r="A56" s="167">
        <v>40</v>
      </c>
      <c r="B56" s="167" t="s">
        <v>106</v>
      </c>
      <c r="C56" s="170" t="s">
        <v>197</v>
      </c>
      <c r="D56" s="170" t="s">
        <v>198</v>
      </c>
      <c r="E56" s="171" t="s">
        <v>157</v>
      </c>
      <c r="F56" s="167">
        <v>4.82E-2</v>
      </c>
      <c r="G56" s="129"/>
      <c r="H56" s="129">
        <f t="shared" si="1"/>
        <v>0</v>
      </c>
    </row>
    <row r="59" spans="1:8" x14ac:dyDescent="0.25">
      <c r="B59" s="116" t="s">
        <v>75</v>
      </c>
    </row>
    <row r="60" spans="1:8" x14ac:dyDescent="0.25">
      <c r="B60" s="127" t="s">
        <v>76</v>
      </c>
    </row>
    <row r="62" spans="1:8" x14ac:dyDescent="0.25">
      <c r="B62" s="116" t="s">
        <v>77</v>
      </c>
    </row>
    <row r="63" spans="1:8" x14ac:dyDescent="0.25">
      <c r="B63" s="127" t="s">
        <v>78</v>
      </c>
    </row>
  </sheetData>
  <mergeCells count="15">
    <mergeCell ref="A19:E19"/>
    <mergeCell ref="A31:E31"/>
    <mergeCell ref="A12:E12"/>
    <mergeCell ref="A21:E2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1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199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3" t="s">
        <v>200</v>
      </c>
      <c r="C5" s="203"/>
      <c r="D5" s="203"/>
      <c r="E5" s="203"/>
    </row>
    <row r="6" spans="2:5" x14ac:dyDescent="0.25">
      <c r="B6" s="180"/>
      <c r="C6" s="4"/>
      <c r="D6" s="4"/>
      <c r="E6" s="4"/>
    </row>
    <row r="7" spans="2:5" ht="25.5" customHeight="1" x14ac:dyDescent="0.25">
      <c r="B7" s="223" t="s">
        <v>47</v>
      </c>
      <c r="C7" s="223"/>
      <c r="D7" s="223"/>
      <c r="E7" s="223"/>
    </row>
    <row r="8" spans="2:5" x14ac:dyDescent="0.25">
      <c r="B8" s="224" t="s">
        <v>49</v>
      </c>
      <c r="C8" s="224"/>
      <c r="D8" s="224"/>
      <c r="E8" s="224"/>
    </row>
    <row r="9" spans="2:5" x14ac:dyDescent="0.25">
      <c r="B9" s="180"/>
      <c r="C9" s="4"/>
      <c r="D9" s="4"/>
      <c r="E9" s="4"/>
    </row>
    <row r="10" spans="2:5" ht="51" customHeight="1" x14ac:dyDescent="0.25">
      <c r="B10" s="2" t="s">
        <v>201</v>
      </c>
      <c r="C10" s="2" t="s">
        <v>202</v>
      </c>
      <c r="D10" s="2" t="s">
        <v>203</v>
      </c>
      <c r="E10" s="2" t="s">
        <v>204</v>
      </c>
    </row>
    <row r="11" spans="2:5" x14ac:dyDescent="0.25">
      <c r="B11" s="106" t="s">
        <v>205</v>
      </c>
      <c r="C11" s="107">
        <f>'Прил.5 Расчет СМР и ОБ'!J14</f>
        <v>186078.56</v>
      </c>
      <c r="D11" s="108">
        <f t="shared" ref="D11:D18" si="0">C11/$C$24</f>
        <v>0.38232087579772189</v>
      </c>
      <c r="E11" s="108">
        <f t="shared" ref="E11:E18" si="1">C11/$C$40</f>
        <v>1.306209143044927E-2</v>
      </c>
    </row>
    <row r="12" spans="2:5" x14ac:dyDescent="0.25">
      <c r="B12" s="106" t="s">
        <v>206</v>
      </c>
      <c r="C12" s="107">
        <f>'Прил.5 Расчет СМР и ОБ'!J20</f>
        <v>6545.72</v>
      </c>
      <c r="D12" s="108">
        <f t="shared" si="0"/>
        <v>1.3448972321833662E-2</v>
      </c>
      <c r="E12" s="108">
        <f t="shared" si="1"/>
        <v>4.5948761167391021E-4</v>
      </c>
    </row>
    <row r="13" spans="2:5" x14ac:dyDescent="0.25">
      <c r="B13" s="106" t="s">
        <v>207</v>
      </c>
      <c r="C13" s="107">
        <f>'Прил.5 Расчет СМР и ОБ'!J24</f>
        <v>472.70999999999992</v>
      </c>
      <c r="D13" s="108">
        <f t="shared" si="0"/>
        <v>9.7123978817517231E-4</v>
      </c>
      <c r="E13" s="108">
        <f t="shared" si="1"/>
        <v>3.3182658120783356E-5</v>
      </c>
    </row>
    <row r="14" spans="2:5" x14ac:dyDescent="0.25">
      <c r="B14" s="106" t="s">
        <v>208</v>
      </c>
      <c r="C14" s="107">
        <f>C13+C12</f>
        <v>7018.43</v>
      </c>
      <c r="D14" s="108">
        <f t="shared" si="0"/>
        <v>1.4420212110008835E-2</v>
      </c>
      <c r="E14" s="108">
        <f t="shared" si="1"/>
        <v>4.926702697946936E-4</v>
      </c>
    </row>
    <row r="15" spans="2:5" x14ac:dyDescent="0.25">
      <c r="B15" s="106" t="s">
        <v>209</v>
      </c>
      <c r="C15" s="107">
        <f>'Прил.5 Расчет СМР и ОБ'!J16</f>
        <v>2624.21</v>
      </c>
      <c r="D15" s="108">
        <f t="shared" si="0"/>
        <v>5.3917563929833717E-3</v>
      </c>
      <c r="E15" s="108">
        <f t="shared" si="1"/>
        <v>1.8421074922709676E-4</v>
      </c>
    </row>
    <row r="16" spans="2:5" x14ac:dyDescent="0.25">
      <c r="B16" s="106" t="s">
        <v>210</v>
      </c>
      <c r="C16" s="107">
        <f>'Прил.5 Расчет СМР и ОБ'!J44</f>
        <v>31795.040000000001</v>
      </c>
      <c r="D16" s="108">
        <f t="shared" si="0"/>
        <v>6.5326749835250233E-2</v>
      </c>
      <c r="E16" s="108">
        <f t="shared" si="1"/>
        <v>2.2319052743894393E-3</v>
      </c>
    </row>
    <row r="17" spans="2:6" x14ac:dyDescent="0.25">
      <c r="B17" s="106" t="s">
        <v>211</v>
      </c>
      <c r="C17" s="107">
        <f>'Прил.5 Расчет СМР и ОБ'!J64</f>
        <v>5180.03</v>
      </c>
      <c r="D17" s="108">
        <f t="shared" si="0"/>
        <v>1.0642997270929403E-2</v>
      </c>
      <c r="E17" s="108">
        <f t="shared" si="1"/>
        <v>3.6362074960420016E-4</v>
      </c>
    </row>
    <row r="18" spans="2:6" x14ac:dyDescent="0.25">
      <c r="B18" s="106" t="s">
        <v>212</v>
      </c>
      <c r="C18" s="107">
        <f>C17+C16</f>
        <v>36975.07</v>
      </c>
      <c r="D18" s="108">
        <f t="shared" si="0"/>
        <v>7.5969747106179639E-2</v>
      </c>
      <c r="E18" s="108">
        <f t="shared" si="1"/>
        <v>2.5955260239936395E-3</v>
      </c>
    </row>
    <row r="19" spans="2:6" x14ac:dyDescent="0.25">
      <c r="B19" s="106" t="s">
        <v>213</v>
      </c>
      <c r="C19" s="107">
        <f>C18+C14+C11</f>
        <v>230072.06</v>
      </c>
      <c r="D19" s="108"/>
      <c r="E19" s="106"/>
    </row>
    <row r="20" spans="2:6" x14ac:dyDescent="0.25">
      <c r="B20" s="106" t="s">
        <v>214</v>
      </c>
      <c r="C20" s="107">
        <f>ROUND(C21*(C11+C15),2)</f>
        <v>86803.27</v>
      </c>
      <c r="D20" s="108">
        <f>C20/$C$24</f>
        <v>0.17834780217831717</v>
      </c>
      <c r="E20" s="108">
        <f>C20/$C$40</f>
        <v>6.0932987078252017E-3</v>
      </c>
    </row>
    <row r="21" spans="2:6" x14ac:dyDescent="0.25">
      <c r="B21" s="106" t="s">
        <v>215</v>
      </c>
      <c r="C21" s="111">
        <f>'Прил.5 Расчет СМР и ОБ'!D68</f>
        <v>0.46</v>
      </c>
      <c r="D21" s="108"/>
      <c r="E21" s="106"/>
    </row>
    <row r="22" spans="2:6" x14ac:dyDescent="0.25">
      <c r="B22" s="106" t="s">
        <v>216</v>
      </c>
      <c r="C22" s="107">
        <f>ROUND(C23*(C11+C15),2)</f>
        <v>169832.49</v>
      </c>
      <c r="D22" s="108">
        <f>C22/$C$24</f>
        <v>0.34894136280777238</v>
      </c>
      <c r="E22" s="108">
        <f>C22/$C$40</f>
        <v>1.1921671751118782E-2</v>
      </c>
    </row>
    <row r="23" spans="2:6" x14ac:dyDescent="0.25">
      <c r="B23" s="106" t="s">
        <v>217</v>
      </c>
      <c r="C23" s="111">
        <f>'Прил.5 Расчет СМР и ОБ'!D67</f>
        <v>0.9</v>
      </c>
      <c r="D23" s="108"/>
      <c r="E23" s="106"/>
    </row>
    <row r="24" spans="2:6" x14ac:dyDescent="0.25">
      <c r="B24" s="106" t="s">
        <v>218</v>
      </c>
      <c r="C24" s="107">
        <f>C19+C20+C22</f>
        <v>486707.82</v>
      </c>
      <c r="D24" s="108">
        <f>C24/$C$24</f>
        <v>1</v>
      </c>
      <c r="E24" s="108">
        <f>C24/$C$40</f>
        <v>3.4165258183181585E-2</v>
      </c>
    </row>
    <row r="25" spans="2:6" ht="25.5" customHeight="1" x14ac:dyDescent="0.25">
      <c r="B25" s="106" t="s">
        <v>219</v>
      </c>
      <c r="C25" s="107">
        <f>'Прил.5 Расчет СМР и ОБ'!J34</f>
        <v>12682078.140000001</v>
      </c>
      <c r="D25" s="108"/>
      <c r="E25" s="108">
        <f>C25/$C$40</f>
        <v>0.89023939239846883</v>
      </c>
    </row>
    <row r="26" spans="2:6" ht="25.5" customHeight="1" x14ac:dyDescent="0.25">
      <c r="B26" s="106" t="s">
        <v>220</v>
      </c>
      <c r="C26" s="107">
        <f>'Прил.5 Расчет СМР и ОБ'!J35</f>
        <v>12682078.140000001</v>
      </c>
      <c r="D26" s="108"/>
      <c r="E26" s="108">
        <f>C26/$C$40</f>
        <v>0.89023939239846883</v>
      </c>
    </row>
    <row r="27" spans="2:6" x14ac:dyDescent="0.25">
      <c r="B27" s="106" t="s">
        <v>221</v>
      </c>
      <c r="C27" s="110">
        <f>C24+C25</f>
        <v>13168785.960000001</v>
      </c>
      <c r="D27" s="108"/>
      <c r="E27" s="108">
        <f>C27/$C$40</f>
        <v>0.92440465058165044</v>
      </c>
    </row>
    <row r="28" spans="2:6" ht="33" customHeight="1" x14ac:dyDescent="0.25">
      <c r="B28" s="106" t="s">
        <v>222</v>
      </c>
      <c r="C28" s="106"/>
      <c r="D28" s="106"/>
      <c r="E28" s="106"/>
      <c r="F28" s="109"/>
    </row>
    <row r="29" spans="2:6" ht="25.5" customHeight="1" x14ac:dyDescent="0.25">
      <c r="B29" s="106" t="s">
        <v>223</v>
      </c>
      <c r="C29" s="110">
        <f>ROUND(C24*3.9%,2)</f>
        <v>18981.599999999999</v>
      </c>
      <c r="D29" s="106"/>
      <c r="E29" s="108">
        <f t="shared" ref="E29:E38" si="2">C29/$C$40</f>
        <v>1.3324447195647679E-3</v>
      </c>
    </row>
    <row r="30" spans="2:6" ht="38.25" customHeight="1" x14ac:dyDescent="0.25">
      <c r="B30" s="106" t="s">
        <v>224</v>
      </c>
      <c r="C30" s="110">
        <f>ROUND((C24+C29)*2.1%,2)</f>
        <v>10619.48</v>
      </c>
      <c r="D30" s="106"/>
      <c r="E30" s="108">
        <f t="shared" si="2"/>
        <v>7.4545191398636907E-4</v>
      </c>
      <c r="F30" s="109"/>
    </row>
    <row r="31" spans="2:6" x14ac:dyDescent="0.25">
      <c r="B31" s="106" t="s">
        <v>225</v>
      </c>
      <c r="C31" s="199">
        <v>316144</v>
      </c>
      <c r="D31" s="106"/>
      <c r="E31" s="108">
        <f t="shared" si="2"/>
        <v>2.2192249516483544E-2</v>
      </c>
    </row>
    <row r="32" spans="2:6" ht="25.5" customHeight="1" x14ac:dyDescent="0.25">
      <c r="B32" s="106" t="s">
        <v>226</v>
      </c>
      <c r="C32" s="110">
        <v>0</v>
      </c>
      <c r="D32" s="106"/>
      <c r="E32" s="108">
        <f t="shared" si="2"/>
        <v>0</v>
      </c>
      <c r="F32" s="181"/>
    </row>
    <row r="33" spans="2:11" ht="25.5" customHeight="1" x14ac:dyDescent="0.25">
      <c r="B33" s="106" t="s">
        <v>227</v>
      </c>
      <c r="C33" s="110">
        <v>0</v>
      </c>
      <c r="D33" s="106"/>
      <c r="E33" s="108">
        <f t="shared" si="2"/>
        <v>0</v>
      </c>
    </row>
    <row r="34" spans="2:11" ht="51" customHeight="1" x14ac:dyDescent="0.25">
      <c r="B34" s="106" t="s">
        <v>228</v>
      </c>
      <c r="C34" s="110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229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230</v>
      </c>
      <c r="C36" s="110">
        <f>ROUND((C27+C32+C33+C34+C35+C29+C31+C30)*2.14%,2)</f>
        <v>289210.96000000002</v>
      </c>
      <c r="D36" s="106"/>
      <c r="E36" s="108">
        <f t="shared" si="2"/>
        <v>2.0301640351301123E-2</v>
      </c>
      <c r="K36" s="109"/>
    </row>
    <row r="37" spans="2:11" x14ac:dyDescent="0.25">
      <c r="B37" s="106" t="s">
        <v>231</v>
      </c>
      <c r="C37" s="110">
        <f>ROUND((C27+C32+C33+C34+C35+C29+C31+C30)*0.2%,2)</f>
        <v>27029.06</v>
      </c>
      <c r="D37" s="106"/>
      <c r="E37" s="108">
        <f t="shared" si="2"/>
        <v>1.8973494474543396E-3</v>
      </c>
      <c r="K37" s="109"/>
    </row>
    <row r="38" spans="2:11" ht="38.25" customHeight="1" x14ac:dyDescent="0.25">
      <c r="B38" s="106" t="s">
        <v>232</v>
      </c>
      <c r="C38" s="107">
        <f>C27+C32+C33+C34+C35+C29+C31+C30+C36+C37</f>
        <v>13830771.060000002</v>
      </c>
      <c r="D38" s="106"/>
      <c r="E38" s="108">
        <f t="shared" si="2"/>
        <v>0.97087378653044065</v>
      </c>
    </row>
    <row r="39" spans="2:11" ht="13.5" customHeight="1" x14ac:dyDescent="0.25">
      <c r="B39" s="106" t="s">
        <v>233</v>
      </c>
      <c r="C39" s="107">
        <f>ROUND(C38*3%,2)</f>
        <v>414923.13</v>
      </c>
      <c r="D39" s="106"/>
      <c r="E39" s="108">
        <f>C39/$C$38</f>
        <v>2.9999999869855406E-2</v>
      </c>
    </row>
    <row r="40" spans="2:11" x14ac:dyDescent="0.25">
      <c r="B40" s="106" t="s">
        <v>234</v>
      </c>
      <c r="C40" s="107">
        <f>C39+C38</f>
        <v>14245694.190000003</v>
      </c>
      <c r="D40" s="106"/>
      <c r="E40" s="108">
        <f>C40/$C$40</f>
        <v>1</v>
      </c>
    </row>
    <row r="41" spans="2:11" x14ac:dyDescent="0.25">
      <c r="B41" s="106" t="s">
        <v>235</v>
      </c>
      <c r="C41" s="107">
        <f>C40/'Прил.5 Расчет СМР и ОБ'!E71</f>
        <v>14245694.190000003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236</v>
      </c>
      <c r="C43" s="4"/>
      <c r="D43" s="4"/>
      <c r="E43" s="4"/>
    </row>
    <row r="44" spans="2:11" x14ac:dyDescent="0.25">
      <c r="B44" s="113" t="s">
        <v>237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238</v>
      </c>
      <c r="C46" s="4"/>
      <c r="D46" s="4"/>
      <c r="E46" s="4"/>
    </row>
    <row r="47" spans="2:11" x14ac:dyDescent="0.25">
      <c r="B47" s="224" t="s">
        <v>239</v>
      </c>
      <c r="C47" s="22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7"/>
  <sheetViews>
    <sheetView tabSelected="1" view="pageBreakPreview" zoomScale="55" zoomScaleSheetLayoutView="55" workbookViewId="0">
      <selection activeCell="AH42" sqref="AH4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5" t="s">
        <v>240</v>
      </c>
      <c r="I2" s="225"/>
      <c r="J2" s="22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3" t="s">
        <v>241</v>
      </c>
      <c r="B4" s="203"/>
      <c r="C4" s="203"/>
      <c r="D4" s="203"/>
      <c r="E4" s="203"/>
      <c r="F4" s="203"/>
      <c r="G4" s="203"/>
      <c r="H4" s="203"/>
      <c r="I4" s="203"/>
      <c r="J4" s="203"/>
    </row>
    <row r="5" spans="1:14" s="4" customFormat="1" ht="12.75" customHeight="1" x14ac:dyDescent="0.2">
      <c r="A5" s="187"/>
      <c r="B5" s="187"/>
      <c r="C5" s="29"/>
      <c r="D5" s="187"/>
      <c r="E5" s="187"/>
      <c r="F5" s="187"/>
      <c r="G5" s="187"/>
      <c r="H5" s="187"/>
      <c r="I5" s="187"/>
      <c r="J5" s="187"/>
    </row>
    <row r="6" spans="1:14" s="4" customFormat="1" ht="25.5" customHeight="1" x14ac:dyDescent="0.2">
      <c r="A6" s="149" t="s">
        <v>242</v>
      </c>
      <c r="B6" s="150"/>
      <c r="C6" s="150"/>
      <c r="D6" s="231" t="s">
        <v>243</v>
      </c>
      <c r="E6" s="231"/>
      <c r="F6" s="231"/>
      <c r="G6" s="231"/>
      <c r="H6" s="231"/>
      <c r="I6" s="231"/>
      <c r="J6" s="231"/>
    </row>
    <row r="7" spans="1:14" s="4" customFormat="1" ht="12.75" customHeight="1" x14ac:dyDescent="0.2">
      <c r="A7" s="206" t="s">
        <v>49</v>
      </c>
      <c r="B7" s="223"/>
      <c r="C7" s="223"/>
      <c r="D7" s="223"/>
      <c r="E7" s="223"/>
      <c r="F7" s="223"/>
      <c r="G7" s="223"/>
      <c r="H7" s="223"/>
      <c r="I7" s="43"/>
      <c r="J7" s="43"/>
    </row>
    <row r="8" spans="1:14" s="4" customFormat="1" ht="13.5" customHeight="1" x14ac:dyDescent="0.2">
      <c r="A8" s="206"/>
      <c r="B8" s="223"/>
      <c r="C8" s="223"/>
      <c r="D8" s="223"/>
      <c r="E8" s="223"/>
      <c r="F8" s="223"/>
      <c r="G8" s="223"/>
      <c r="H8" s="223"/>
    </row>
    <row r="9" spans="1:14" ht="27" customHeight="1" x14ac:dyDescent="0.25">
      <c r="A9" s="228" t="s">
        <v>13</v>
      </c>
      <c r="B9" s="228" t="s">
        <v>97</v>
      </c>
      <c r="C9" s="228" t="s">
        <v>201</v>
      </c>
      <c r="D9" s="228" t="s">
        <v>99</v>
      </c>
      <c r="E9" s="229" t="s">
        <v>244</v>
      </c>
      <c r="F9" s="226" t="s">
        <v>101</v>
      </c>
      <c r="G9" s="227"/>
      <c r="H9" s="229" t="s">
        <v>245</v>
      </c>
      <c r="I9" s="226" t="s">
        <v>246</v>
      </c>
      <c r="J9" s="227"/>
      <c r="M9" s="12"/>
      <c r="N9" s="12"/>
    </row>
    <row r="10" spans="1:14" ht="28.5" customHeight="1" x14ac:dyDescent="0.25">
      <c r="A10" s="228"/>
      <c r="B10" s="228"/>
      <c r="C10" s="228"/>
      <c r="D10" s="228"/>
      <c r="E10" s="230"/>
      <c r="F10" s="2" t="s">
        <v>247</v>
      </c>
      <c r="G10" s="2" t="s">
        <v>103</v>
      </c>
      <c r="H10" s="230"/>
      <c r="I10" s="2" t="s">
        <v>247</v>
      </c>
      <c r="J10" s="2" t="s">
        <v>103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6">
        <v>9</v>
      </c>
      <c r="J11" s="186">
        <v>10</v>
      </c>
      <c r="M11" s="12"/>
      <c r="N11" s="12"/>
    </row>
    <row r="12" spans="1:14" x14ac:dyDescent="0.25">
      <c r="A12" s="2"/>
      <c r="B12" s="236" t="s">
        <v>248</v>
      </c>
      <c r="C12" s="237"/>
      <c r="D12" s="228"/>
      <c r="E12" s="238"/>
      <c r="F12" s="239"/>
      <c r="G12" s="239"/>
      <c r="H12" s="240"/>
      <c r="I12" s="151"/>
      <c r="J12" s="151"/>
    </row>
    <row r="13" spans="1:14" ht="25.5" customHeight="1" x14ac:dyDescent="0.25">
      <c r="A13" s="2">
        <v>1</v>
      </c>
      <c r="B13" s="152" t="s">
        <v>249</v>
      </c>
      <c r="C13" s="8" t="s">
        <v>250</v>
      </c>
      <c r="D13" s="2" t="s">
        <v>251</v>
      </c>
      <c r="E13" s="153">
        <f>G13/F13</f>
        <v>412.86577868852464</v>
      </c>
      <c r="F13" s="27">
        <v>9.76</v>
      </c>
      <c r="G13" s="27">
        <v>4029.57</v>
      </c>
      <c r="H13" s="154">
        <f>G13/$G$14</f>
        <v>1</v>
      </c>
      <c r="I13" s="27">
        <f>ФОТр.тек.!E13</f>
        <v>450.69987855412</v>
      </c>
      <c r="J13" s="27">
        <f>ROUND(I13*E13,2)</f>
        <v>186078.56</v>
      </c>
    </row>
    <row r="14" spans="1:14" s="12" customFormat="1" ht="25.5" customHeight="1" x14ac:dyDescent="0.2">
      <c r="A14" s="2"/>
      <c r="B14" s="2"/>
      <c r="C14" s="145" t="s">
        <v>252</v>
      </c>
      <c r="D14" s="2" t="s">
        <v>251</v>
      </c>
      <c r="E14" s="153">
        <f>SUM(E13:E13)</f>
        <v>412.86577868852464</v>
      </c>
      <c r="F14" s="27"/>
      <c r="G14" s="27">
        <f>SUM(G13:G13)</f>
        <v>4029.57</v>
      </c>
      <c r="H14" s="183">
        <v>1</v>
      </c>
      <c r="I14" s="151"/>
      <c r="J14" s="27">
        <f>SUM(J13:J13)</f>
        <v>186078.56</v>
      </c>
    </row>
    <row r="15" spans="1:14" s="12" customFormat="1" ht="14.25" customHeight="1" x14ac:dyDescent="0.2">
      <c r="A15" s="2"/>
      <c r="B15" s="237" t="s">
        <v>120</v>
      </c>
      <c r="C15" s="237"/>
      <c r="D15" s="228"/>
      <c r="E15" s="238"/>
      <c r="F15" s="239"/>
      <c r="G15" s="239"/>
      <c r="H15" s="240"/>
      <c r="I15" s="151"/>
      <c r="J15" s="151"/>
    </row>
    <row r="16" spans="1:14" s="12" customFormat="1" ht="14.25" customHeight="1" x14ac:dyDescent="0.2">
      <c r="A16" s="2">
        <v>2</v>
      </c>
      <c r="B16" s="2">
        <v>2</v>
      </c>
      <c r="C16" s="8" t="s">
        <v>120</v>
      </c>
      <c r="D16" s="2" t="s">
        <v>251</v>
      </c>
      <c r="E16" s="153">
        <f>Прил.3!F20</f>
        <v>5.8179999999999996</v>
      </c>
      <c r="F16" s="27">
        <f>G16/E16</f>
        <v>10.183911997249915</v>
      </c>
      <c r="G16" s="27">
        <f>Прил.3!H19</f>
        <v>59.25</v>
      </c>
      <c r="H16" s="183">
        <v>1</v>
      </c>
      <c r="I16" s="27">
        <f>ROUND(F16*Прил.10!D11,2)</f>
        <v>451.05</v>
      </c>
      <c r="J16" s="27">
        <f>ROUND(I16*E16,2)</f>
        <v>2624.21</v>
      </c>
    </row>
    <row r="17" spans="1:11" s="12" customFormat="1" ht="14.25" customHeight="1" x14ac:dyDescent="0.2">
      <c r="A17" s="2"/>
      <c r="B17" s="236" t="s">
        <v>121</v>
      </c>
      <c r="C17" s="237"/>
      <c r="D17" s="228"/>
      <c r="E17" s="238"/>
      <c r="F17" s="239"/>
      <c r="G17" s="239"/>
      <c r="H17" s="240"/>
      <c r="I17" s="151"/>
      <c r="J17" s="151"/>
    </row>
    <row r="18" spans="1:11" s="12" customFormat="1" ht="14.25" customHeight="1" x14ac:dyDescent="0.2">
      <c r="A18" s="2"/>
      <c r="B18" s="237" t="s">
        <v>253</v>
      </c>
      <c r="C18" s="237"/>
      <c r="D18" s="228"/>
      <c r="E18" s="238"/>
      <c r="F18" s="239"/>
      <c r="G18" s="239"/>
      <c r="H18" s="240"/>
      <c r="I18" s="151"/>
      <c r="J18" s="151"/>
    </row>
    <row r="19" spans="1:11" s="12" customFormat="1" ht="14.25" customHeight="1" x14ac:dyDescent="0.2">
      <c r="A19" s="2">
        <v>3</v>
      </c>
      <c r="B19" s="152" t="s">
        <v>122</v>
      </c>
      <c r="C19" s="8" t="s">
        <v>123</v>
      </c>
      <c r="D19" s="2" t="s">
        <v>124</v>
      </c>
      <c r="E19" s="153">
        <v>5.4</v>
      </c>
      <c r="F19" s="155">
        <v>89.99</v>
      </c>
      <c r="G19" s="27">
        <f>ROUND(E19*F19,2)</f>
        <v>485.95</v>
      </c>
      <c r="H19" s="154">
        <f>G19/$G$25</f>
        <v>0.93263602341425977</v>
      </c>
      <c r="I19" s="27">
        <f>ROUND(F19*Прил.10!$D$12,2)</f>
        <v>1212.17</v>
      </c>
      <c r="J19" s="27">
        <f>ROUND(I19*E19,2)</f>
        <v>6545.72</v>
      </c>
    </row>
    <row r="20" spans="1:11" s="12" customFormat="1" ht="14.25" customHeight="1" x14ac:dyDescent="0.2">
      <c r="A20" s="2"/>
      <c r="B20" s="2"/>
      <c r="C20" s="8" t="s">
        <v>254</v>
      </c>
      <c r="D20" s="2"/>
      <c r="E20" s="153"/>
      <c r="F20" s="27"/>
      <c r="G20" s="27">
        <f>SUM(G19:G19)</f>
        <v>485.95</v>
      </c>
      <c r="H20" s="183">
        <f>G20/G25</f>
        <v>0.93263602341425977</v>
      </c>
      <c r="I20" s="176"/>
      <c r="J20" s="27">
        <f>SUM(J19:J19)</f>
        <v>6545.72</v>
      </c>
      <c r="K20" s="24"/>
    </row>
    <row r="21" spans="1:11" s="12" customFormat="1" ht="25.5" hidden="1" customHeight="1" outlineLevel="1" x14ac:dyDescent="0.2">
      <c r="A21" s="2">
        <v>4</v>
      </c>
      <c r="B21" s="152" t="s">
        <v>125</v>
      </c>
      <c r="C21" s="8" t="s">
        <v>126</v>
      </c>
      <c r="D21" s="2" t="s">
        <v>124</v>
      </c>
      <c r="E21" s="153">
        <v>0.374</v>
      </c>
      <c r="F21" s="155">
        <v>65.709999999999994</v>
      </c>
      <c r="G21" s="27">
        <f>ROUND(E21*F21,2)</f>
        <v>24.58</v>
      </c>
      <c r="H21" s="154">
        <f>G21/$G$25</f>
        <v>4.7173975626139529E-2</v>
      </c>
      <c r="I21" s="27">
        <f>ROUND(F21*Прил.10!$D$12,2)</f>
        <v>885.11</v>
      </c>
      <c r="J21" s="27">
        <f>ROUND(I21*E21,2)</f>
        <v>331.03</v>
      </c>
    </row>
    <row r="22" spans="1:11" s="12" customFormat="1" ht="25.5" hidden="1" customHeight="1" outlineLevel="1" x14ac:dyDescent="0.2">
      <c r="A22" s="2">
        <v>5</v>
      </c>
      <c r="B22" s="152" t="s">
        <v>127</v>
      </c>
      <c r="C22" s="8" t="s">
        <v>128</v>
      </c>
      <c r="D22" s="2" t="s">
        <v>124</v>
      </c>
      <c r="E22" s="153">
        <v>3.2</v>
      </c>
      <c r="F22" s="155">
        <v>1.7</v>
      </c>
      <c r="G22" s="27">
        <f>ROUND(E22*F22,2)</f>
        <v>5.44</v>
      </c>
      <c r="H22" s="154">
        <f>G22/$G$25</f>
        <v>1.0440456769983689E-2</v>
      </c>
      <c r="I22" s="27">
        <f>ROUND(F22*Прил.10!$D$12,2)</f>
        <v>22.9</v>
      </c>
      <c r="J22" s="27">
        <f>ROUND(I22*E22,2)</f>
        <v>73.28</v>
      </c>
    </row>
    <row r="23" spans="1:11" s="12" customFormat="1" ht="25.5" hidden="1" customHeight="1" outlineLevel="1" x14ac:dyDescent="0.2">
      <c r="A23" s="2">
        <v>6</v>
      </c>
      <c r="B23" s="152" t="s">
        <v>129</v>
      </c>
      <c r="C23" s="8" t="s">
        <v>130</v>
      </c>
      <c r="D23" s="2" t="s">
        <v>124</v>
      </c>
      <c r="E23" s="153">
        <v>4.3999999999999997E-2</v>
      </c>
      <c r="F23" s="155">
        <v>115.4</v>
      </c>
      <c r="G23" s="27">
        <f>ROUND(E23*F23,2)</f>
        <v>5.08</v>
      </c>
      <c r="H23" s="154">
        <f>G23/$G$25</f>
        <v>9.7495441896171195E-3</v>
      </c>
      <c r="I23" s="27">
        <f>ROUND(F23*Прил.10!$D$12,2)</f>
        <v>1554.44</v>
      </c>
      <c r="J23" s="27">
        <f>ROUND(I23*E23,2)</f>
        <v>68.400000000000006</v>
      </c>
    </row>
    <row r="24" spans="1:11" s="12" customFormat="1" ht="14.25" customHeight="1" collapsed="1" x14ac:dyDescent="0.2">
      <c r="A24" s="2"/>
      <c r="B24" s="2"/>
      <c r="C24" s="8" t="s">
        <v>255</v>
      </c>
      <c r="D24" s="2"/>
      <c r="E24" s="184"/>
      <c r="F24" s="27"/>
      <c r="G24" s="176">
        <f>SUM(G21:G23)</f>
        <v>35.1</v>
      </c>
      <c r="H24" s="154">
        <f>G24/G25</f>
        <v>6.7363976585740337E-2</v>
      </c>
      <c r="I24" s="27"/>
      <c r="J24" s="176">
        <f>SUM(J21:J23)</f>
        <v>472.70999999999992</v>
      </c>
    </row>
    <row r="25" spans="1:11" s="12" customFormat="1" ht="25.5" customHeight="1" x14ac:dyDescent="0.2">
      <c r="A25" s="2"/>
      <c r="B25" s="2"/>
      <c r="C25" s="145" t="s">
        <v>256</v>
      </c>
      <c r="D25" s="2"/>
      <c r="E25" s="184"/>
      <c r="F25" s="27"/>
      <c r="G25" s="27">
        <f>G24+G20</f>
        <v>521.04999999999995</v>
      </c>
      <c r="H25" s="177">
        <f>H24+H20</f>
        <v>1</v>
      </c>
      <c r="I25" s="178"/>
      <c r="J25" s="160">
        <f>J24+J20</f>
        <v>7018.43</v>
      </c>
    </row>
    <row r="26" spans="1:11" s="12" customFormat="1" ht="14.25" customHeight="1" x14ac:dyDescent="0.2">
      <c r="A26" s="2"/>
      <c r="B26" s="236" t="s">
        <v>43</v>
      </c>
      <c r="C26" s="236"/>
      <c r="D26" s="241"/>
      <c r="E26" s="242"/>
      <c r="F26" s="243"/>
      <c r="G26" s="243"/>
      <c r="H26" s="244"/>
      <c r="I26" s="151"/>
      <c r="J26" s="151"/>
    </row>
    <row r="27" spans="1:11" x14ac:dyDescent="0.25">
      <c r="A27" s="2"/>
      <c r="B27" s="237" t="s">
        <v>257</v>
      </c>
      <c r="C27" s="237"/>
      <c r="D27" s="228"/>
      <c r="E27" s="238"/>
      <c r="F27" s="239"/>
      <c r="G27" s="239"/>
      <c r="H27" s="240"/>
      <c r="I27" s="151"/>
      <c r="J27" s="151"/>
    </row>
    <row r="28" spans="1:11" s="12" customFormat="1" ht="25.5" customHeight="1" x14ac:dyDescent="0.2">
      <c r="A28" s="2">
        <v>7</v>
      </c>
      <c r="B28" s="197" t="s">
        <v>258</v>
      </c>
      <c r="C28" s="198" t="s">
        <v>259</v>
      </c>
      <c r="D28" s="2" t="s">
        <v>133</v>
      </c>
      <c r="E28" s="147">
        <v>1</v>
      </c>
      <c r="F28" s="155">
        <f>ROUND(I28/Прил.10!$D$14,2)</f>
        <v>2020059.15</v>
      </c>
      <c r="G28" s="27">
        <f>ROUND(E28*F28,2)</f>
        <v>2020059.15</v>
      </c>
      <c r="H28" s="154">
        <f t="shared" ref="H28:H33" si="0">G28/$G$34</f>
        <v>0.99712130130905163</v>
      </c>
      <c r="I28" s="27">
        <v>12645570.300000001</v>
      </c>
      <c r="J28" s="27">
        <f>ROUND(I28*E28,2)</f>
        <v>12645570.300000001</v>
      </c>
    </row>
    <row r="29" spans="1:11" x14ac:dyDescent="0.25">
      <c r="A29" s="2"/>
      <c r="B29" s="2"/>
      <c r="C29" s="8" t="s">
        <v>260</v>
      </c>
      <c r="D29" s="2"/>
      <c r="E29" s="153"/>
      <c r="F29" s="155"/>
      <c r="G29" s="27">
        <f>SUM(G28:G28)</f>
        <v>2020059.15</v>
      </c>
      <c r="H29" s="154">
        <f t="shared" si="0"/>
        <v>0.99712130130905163</v>
      </c>
      <c r="I29" s="176"/>
      <c r="J29" s="27">
        <f>SUM(J28:J28)</f>
        <v>12645570.300000001</v>
      </c>
    </row>
    <row r="30" spans="1:11" s="12" customFormat="1" ht="38.25" hidden="1" customHeight="1" outlineLevel="1" x14ac:dyDescent="0.2">
      <c r="A30" s="2">
        <v>8</v>
      </c>
      <c r="B30" s="2" t="s">
        <v>134</v>
      </c>
      <c r="C30" s="8" t="s">
        <v>135</v>
      </c>
      <c r="D30" s="2" t="s">
        <v>136</v>
      </c>
      <c r="E30" s="147">
        <v>10</v>
      </c>
      <c r="F30" s="155">
        <v>415.4</v>
      </c>
      <c r="G30" s="27">
        <f>ROUND(E30*F30,2)</f>
        <v>4154</v>
      </c>
      <c r="H30" s="154">
        <f t="shared" si="0"/>
        <v>2.0504557431587096E-3</v>
      </c>
      <c r="I30" s="27">
        <f>ROUND(F30*Прил.10!$D$14,2)</f>
        <v>2600.4</v>
      </c>
      <c r="J30" s="27">
        <f>ROUND(I30*E30,2)</f>
        <v>26004</v>
      </c>
    </row>
    <row r="31" spans="1:11" s="12" customFormat="1" ht="25.5" hidden="1" customHeight="1" outlineLevel="1" x14ac:dyDescent="0.2">
      <c r="A31" s="2">
        <v>9</v>
      </c>
      <c r="B31" s="2" t="s">
        <v>137</v>
      </c>
      <c r="C31" s="8" t="s">
        <v>138</v>
      </c>
      <c r="D31" s="2" t="s">
        <v>136</v>
      </c>
      <c r="E31" s="147">
        <v>1</v>
      </c>
      <c r="F31" s="155">
        <v>1161.69</v>
      </c>
      <c r="G31" s="27">
        <f>ROUND(E31*F31,2)</f>
        <v>1161.69</v>
      </c>
      <c r="H31" s="154">
        <f t="shared" si="0"/>
        <v>5.734217458522006E-4</v>
      </c>
      <c r="I31" s="27">
        <f>ROUND(F31*Прил.10!$D$14,2)</f>
        <v>7272.18</v>
      </c>
      <c r="J31" s="27">
        <f>ROUND(I31*E31,2)</f>
        <v>7272.18</v>
      </c>
    </row>
    <row r="32" spans="1:11" s="12" customFormat="1" ht="51" hidden="1" customHeight="1" outlineLevel="1" x14ac:dyDescent="0.2">
      <c r="A32" s="2">
        <v>10</v>
      </c>
      <c r="B32" s="2" t="s">
        <v>139</v>
      </c>
      <c r="C32" s="8" t="s">
        <v>140</v>
      </c>
      <c r="D32" s="2" t="s">
        <v>136</v>
      </c>
      <c r="E32" s="147">
        <v>1</v>
      </c>
      <c r="F32" s="155">
        <v>516.24</v>
      </c>
      <c r="G32" s="27">
        <f>ROUND(E32*F32,2)</f>
        <v>516.24</v>
      </c>
      <c r="H32" s="154">
        <f t="shared" si="0"/>
        <v>2.548212019374704E-4</v>
      </c>
      <c r="I32" s="27">
        <f>ROUND(F32*Прил.10!$D$14,2)</f>
        <v>3231.66</v>
      </c>
      <c r="J32" s="27">
        <f>ROUND(I32*E32,2)</f>
        <v>3231.66</v>
      </c>
    </row>
    <row r="33" spans="1:12" collapsed="1" x14ac:dyDescent="0.25">
      <c r="A33" s="2"/>
      <c r="B33" s="2"/>
      <c r="C33" s="8" t="s">
        <v>261</v>
      </c>
      <c r="D33" s="2"/>
      <c r="E33" s="153"/>
      <c r="F33" s="155"/>
      <c r="G33" s="27">
        <f>SUM(G30:G32)</f>
        <v>5831.93</v>
      </c>
      <c r="H33" s="154">
        <f t="shared" si="0"/>
        <v>2.8786986909483804E-3</v>
      </c>
      <c r="I33" s="176"/>
      <c r="J33" s="27">
        <f>SUM(J30:J32)</f>
        <v>36507.839999999997</v>
      </c>
    </row>
    <row r="34" spans="1:12" x14ac:dyDescent="0.25">
      <c r="A34" s="2"/>
      <c r="B34" s="2"/>
      <c r="C34" s="145" t="s">
        <v>262</v>
      </c>
      <c r="D34" s="2"/>
      <c r="E34" s="184"/>
      <c r="F34" s="155"/>
      <c r="G34" s="27">
        <f>G29+G33</f>
        <v>2025891.0799999998</v>
      </c>
      <c r="H34" s="183">
        <f>H33+H29</f>
        <v>1</v>
      </c>
      <c r="I34" s="176"/>
      <c r="J34" s="27">
        <f>J33+J29</f>
        <v>12682078.140000001</v>
      </c>
    </row>
    <row r="35" spans="1:12" ht="25.5" customHeight="1" x14ac:dyDescent="0.25">
      <c r="A35" s="2"/>
      <c r="B35" s="2"/>
      <c r="C35" s="8" t="s">
        <v>263</v>
      </c>
      <c r="D35" s="2"/>
      <c r="E35" s="147"/>
      <c r="F35" s="155"/>
      <c r="G35" s="27">
        <f>'Прил.6 Расчет ОБ'!G16</f>
        <v>2025891.0799999998</v>
      </c>
      <c r="H35" s="183"/>
      <c r="I35" s="176"/>
      <c r="J35" s="27">
        <f>J34</f>
        <v>12682078.140000001</v>
      </c>
    </row>
    <row r="36" spans="1:12" s="12" customFormat="1" ht="14.25" customHeight="1" x14ac:dyDescent="0.2">
      <c r="A36" s="2"/>
      <c r="B36" s="236" t="s">
        <v>141</v>
      </c>
      <c r="C36" s="236"/>
      <c r="D36" s="241"/>
      <c r="E36" s="242"/>
      <c r="F36" s="243"/>
      <c r="G36" s="243"/>
      <c r="H36" s="244"/>
      <c r="I36" s="151"/>
      <c r="J36" s="151"/>
    </row>
    <row r="37" spans="1:12" s="12" customFormat="1" ht="14.25" customHeight="1" x14ac:dyDescent="0.2">
      <c r="A37" s="186"/>
      <c r="B37" s="232" t="s">
        <v>264</v>
      </c>
      <c r="C37" s="232"/>
      <c r="D37" s="229"/>
      <c r="E37" s="233"/>
      <c r="F37" s="234"/>
      <c r="G37" s="234"/>
      <c r="H37" s="235"/>
      <c r="I37" s="179"/>
      <c r="J37" s="179"/>
    </row>
    <row r="38" spans="1:12" s="12" customFormat="1" ht="14.25" customHeight="1" x14ac:dyDescent="0.2">
      <c r="A38" s="2">
        <v>11</v>
      </c>
      <c r="B38" s="2" t="s">
        <v>142</v>
      </c>
      <c r="C38" s="8" t="s">
        <v>143</v>
      </c>
      <c r="D38" s="2" t="s">
        <v>144</v>
      </c>
      <c r="E38" s="147">
        <v>0.06</v>
      </c>
      <c r="F38" s="155">
        <v>25707</v>
      </c>
      <c r="G38" s="27">
        <f t="shared" ref="G38:G43" si="1">ROUND(E38*F38,2)</f>
        <v>1542.42</v>
      </c>
      <c r="H38" s="154">
        <f t="shared" ref="H38:H65" si="2">G38/$G$65</f>
        <v>0.33538889734501731</v>
      </c>
      <c r="I38" s="27">
        <f>ROUND(F38*Прил.10!$D$13,2)</f>
        <v>206684.28</v>
      </c>
      <c r="J38" s="27">
        <f t="shared" ref="J38:J43" si="3">ROUND(I38*E38,2)</f>
        <v>12401.06</v>
      </c>
    </row>
    <row r="39" spans="1:12" s="12" customFormat="1" ht="25.5" customHeight="1" x14ac:dyDescent="0.2">
      <c r="A39" s="2">
        <v>12</v>
      </c>
      <c r="B39" s="2" t="s">
        <v>145</v>
      </c>
      <c r="C39" s="8" t="s">
        <v>146</v>
      </c>
      <c r="D39" s="2" t="s">
        <v>147</v>
      </c>
      <c r="E39" s="147">
        <v>8.2000000000000003E-2</v>
      </c>
      <c r="F39" s="155">
        <v>9233.2000000000007</v>
      </c>
      <c r="G39" s="27">
        <f t="shared" si="1"/>
        <v>757.12</v>
      </c>
      <c r="H39" s="154">
        <f t="shared" si="2"/>
        <v>0.16463067255213204</v>
      </c>
      <c r="I39" s="27">
        <f>ROUND(F39*Прил.10!$D$13,2)</f>
        <v>74234.929999999993</v>
      </c>
      <c r="J39" s="27">
        <f t="shared" si="3"/>
        <v>6087.26</v>
      </c>
    </row>
    <row r="40" spans="1:12" s="12" customFormat="1" ht="25.5" customHeight="1" x14ac:dyDescent="0.2">
      <c r="A40" s="2">
        <v>13</v>
      </c>
      <c r="B40" s="2" t="s">
        <v>145</v>
      </c>
      <c r="C40" s="8" t="s">
        <v>146</v>
      </c>
      <c r="D40" s="2" t="s">
        <v>147</v>
      </c>
      <c r="E40" s="147">
        <v>8.2000000000000003E-2</v>
      </c>
      <c r="F40" s="155">
        <v>9233.2000000000007</v>
      </c>
      <c r="G40" s="27">
        <f t="shared" si="1"/>
        <v>757.12</v>
      </c>
      <c r="H40" s="154">
        <f t="shared" si="2"/>
        <v>0.16463067255213204</v>
      </c>
      <c r="I40" s="27">
        <f>ROUND(F40*Прил.10!$D$13,2)</f>
        <v>74234.929999999993</v>
      </c>
      <c r="J40" s="27">
        <f t="shared" si="3"/>
        <v>6087.26</v>
      </c>
    </row>
    <row r="41" spans="1:12" s="12" customFormat="1" ht="63.75" customHeight="1" x14ac:dyDescent="0.2">
      <c r="A41" s="2">
        <v>14</v>
      </c>
      <c r="B41" s="2" t="s">
        <v>148</v>
      </c>
      <c r="C41" s="8" t="s">
        <v>149</v>
      </c>
      <c r="D41" s="2" t="s">
        <v>147</v>
      </c>
      <c r="E41" s="147">
        <v>1.03</v>
      </c>
      <c r="F41" s="155">
        <v>500</v>
      </c>
      <c r="G41" s="27">
        <f t="shared" si="1"/>
        <v>515</v>
      </c>
      <c r="H41" s="154">
        <f t="shared" si="2"/>
        <v>0.11198330035443259</v>
      </c>
      <c r="I41" s="27">
        <f>ROUND(F41*Прил.10!$D$13,2)</f>
        <v>4020</v>
      </c>
      <c r="J41" s="27">
        <f t="shared" si="3"/>
        <v>4140.6000000000004</v>
      </c>
    </row>
    <row r="42" spans="1:12" s="12" customFormat="1" ht="63.75" customHeight="1" x14ac:dyDescent="0.2">
      <c r="A42" s="2">
        <v>15</v>
      </c>
      <c r="B42" s="2" t="s">
        <v>150</v>
      </c>
      <c r="C42" s="8" t="s">
        <v>151</v>
      </c>
      <c r="D42" s="2" t="s">
        <v>152</v>
      </c>
      <c r="E42" s="147">
        <v>9.6</v>
      </c>
      <c r="F42" s="155">
        <v>22.61</v>
      </c>
      <c r="G42" s="27">
        <f t="shared" si="1"/>
        <v>217.06</v>
      </c>
      <c r="H42" s="154">
        <f t="shared" si="2"/>
        <v>4.7198243058122598E-2</v>
      </c>
      <c r="I42" s="27">
        <f>ROUND(F42*Прил.10!$D$13,2)</f>
        <v>181.78</v>
      </c>
      <c r="J42" s="27">
        <f t="shared" si="3"/>
        <v>1745.09</v>
      </c>
    </row>
    <row r="43" spans="1:12" s="12" customFormat="1" ht="25.5" customHeight="1" x14ac:dyDescent="0.2">
      <c r="A43" s="2">
        <v>16</v>
      </c>
      <c r="B43" s="2" t="s">
        <v>153</v>
      </c>
      <c r="C43" s="8" t="s">
        <v>154</v>
      </c>
      <c r="D43" s="2" t="s">
        <v>147</v>
      </c>
      <c r="E43" s="147">
        <v>6.0999999999999999E-2</v>
      </c>
      <c r="F43" s="155">
        <v>2719.53</v>
      </c>
      <c r="G43" s="27">
        <f t="shared" si="1"/>
        <v>165.89</v>
      </c>
      <c r="H43" s="154">
        <f t="shared" si="2"/>
        <v>3.6071669312226835E-2</v>
      </c>
      <c r="I43" s="27">
        <f>ROUND(F43*Прил.10!$D$13,2)</f>
        <v>21865.02</v>
      </c>
      <c r="J43" s="27">
        <f t="shared" si="3"/>
        <v>1333.77</v>
      </c>
    </row>
    <row r="44" spans="1:12" s="12" customFormat="1" ht="14.25" customHeight="1" x14ac:dyDescent="0.2">
      <c r="A44" s="2"/>
      <c r="B44" s="156"/>
      <c r="C44" s="157" t="s">
        <v>265</v>
      </c>
      <c r="D44" s="158"/>
      <c r="E44" s="159"/>
      <c r="F44" s="160"/>
      <c r="G44" s="160">
        <f>SUM(G38:G43)</f>
        <v>3954.6099999999997</v>
      </c>
      <c r="H44" s="154">
        <f t="shared" si="2"/>
        <v>0.85990345517406341</v>
      </c>
      <c r="I44" s="27"/>
      <c r="J44" s="160">
        <f>SUM(J38:J43)</f>
        <v>31795.040000000001</v>
      </c>
      <c r="K44" s="24"/>
      <c r="L44" s="24"/>
    </row>
    <row r="45" spans="1:12" s="12" customFormat="1" ht="25.5" hidden="1" customHeight="1" outlineLevel="1" x14ac:dyDescent="0.2">
      <c r="A45" s="2">
        <v>17</v>
      </c>
      <c r="B45" s="2" t="s">
        <v>155</v>
      </c>
      <c r="C45" s="8" t="s">
        <v>156</v>
      </c>
      <c r="D45" s="2" t="s">
        <v>157</v>
      </c>
      <c r="E45" s="147">
        <v>1.1299999999999999E-3</v>
      </c>
      <c r="F45" s="155">
        <v>114220</v>
      </c>
      <c r="G45" s="27">
        <f t="shared" ref="G45:G63" si="4">ROUND(E45*F45,2)</f>
        <v>129.07</v>
      </c>
      <c r="H45" s="154">
        <f t="shared" si="2"/>
        <v>2.8065406945139055E-2</v>
      </c>
      <c r="I45" s="27">
        <f>ROUND(F45*Прил.10!$D$13,2)</f>
        <v>918328.8</v>
      </c>
      <c r="J45" s="27">
        <f t="shared" ref="J45:J63" si="5">ROUND(I45*E45,2)</f>
        <v>1037.71</v>
      </c>
    </row>
    <row r="46" spans="1:12" s="12" customFormat="1" ht="14.25" hidden="1" customHeight="1" outlineLevel="1" x14ac:dyDescent="0.2">
      <c r="A46" s="2">
        <v>18</v>
      </c>
      <c r="B46" s="2" t="s">
        <v>158</v>
      </c>
      <c r="C46" s="8" t="s">
        <v>159</v>
      </c>
      <c r="D46" s="2" t="s">
        <v>144</v>
      </c>
      <c r="E46" s="147">
        <v>0.48</v>
      </c>
      <c r="F46" s="155">
        <v>216</v>
      </c>
      <c r="G46" s="27">
        <f t="shared" si="4"/>
        <v>103.68</v>
      </c>
      <c r="H46" s="154">
        <f t="shared" si="2"/>
        <v>2.2544521516014701E-2</v>
      </c>
      <c r="I46" s="27">
        <f>ROUND(F46*Прил.10!$D$13,2)</f>
        <v>1736.64</v>
      </c>
      <c r="J46" s="27">
        <f t="shared" si="5"/>
        <v>833.59</v>
      </c>
    </row>
    <row r="47" spans="1:12" s="12" customFormat="1" ht="25.5" hidden="1" customHeight="1" outlineLevel="1" x14ac:dyDescent="0.2">
      <c r="A47" s="2">
        <v>19</v>
      </c>
      <c r="B47" s="2" t="s">
        <v>160</v>
      </c>
      <c r="C47" s="8" t="s">
        <v>161</v>
      </c>
      <c r="D47" s="2" t="s">
        <v>162</v>
      </c>
      <c r="E47" s="147">
        <v>80.183800000000005</v>
      </c>
      <c r="F47" s="155">
        <v>1</v>
      </c>
      <c r="G47" s="27">
        <f t="shared" si="4"/>
        <v>80.180000000000007</v>
      </c>
      <c r="H47" s="154">
        <f t="shared" si="2"/>
        <v>1.7434603927026032E-2</v>
      </c>
      <c r="I47" s="27">
        <f>ROUND(F47*Прил.10!$D$13,2)</f>
        <v>8.0399999999999991</v>
      </c>
      <c r="J47" s="27">
        <f t="shared" si="5"/>
        <v>644.67999999999995</v>
      </c>
    </row>
    <row r="48" spans="1:12" s="12" customFormat="1" ht="25.5" hidden="1" customHeight="1" outlineLevel="1" x14ac:dyDescent="0.2">
      <c r="A48" s="2">
        <v>20</v>
      </c>
      <c r="B48" s="2" t="s">
        <v>163</v>
      </c>
      <c r="C48" s="8" t="s">
        <v>164</v>
      </c>
      <c r="D48" s="2" t="s">
        <v>144</v>
      </c>
      <c r="E48" s="147">
        <v>0.96</v>
      </c>
      <c r="F48" s="155">
        <v>83</v>
      </c>
      <c r="G48" s="27">
        <f t="shared" si="4"/>
        <v>79.680000000000007</v>
      </c>
      <c r="H48" s="154">
        <f t="shared" si="2"/>
        <v>1.7325882276196483E-2</v>
      </c>
      <c r="I48" s="27">
        <f>ROUND(F48*Прил.10!$D$13,2)</f>
        <v>667.32</v>
      </c>
      <c r="J48" s="27">
        <f t="shared" si="5"/>
        <v>640.63</v>
      </c>
    </row>
    <row r="49" spans="1:10" s="12" customFormat="1" ht="25.5" hidden="1" customHeight="1" outlineLevel="1" x14ac:dyDescent="0.2">
      <c r="A49" s="2">
        <v>21</v>
      </c>
      <c r="B49" s="2" t="s">
        <v>165</v>
      </c>
      <c r="C49" s="8" t="s">
        <v>166</v>
      </c>
      <c r="D49" s="2" t="s">
        <v>167</v>
      </c>
      <c r="E49" s="147">
        <v>1.6E-2</v>
      </c>
      <c r="F49" s="155">
        <v>4949.3999999999996</v>
      </c>
      <c r="G49" s="27">
        <f t="shared" si="4"/>
        <v>79.19</v>
      </c>
      <c r="H49" s="154">
        <f t="shared" si="2"/>
        <v>1.7219335058383526E-2</v>
      </c>
      <c r="I49" s="27">
        <f>ROUND(F49*Прил.10!$D$13,2)</f>
        <v>39793.18</v>
      </c>
      <c r="J49" s="27">
        <f t="shared" si="5"/>
        <v>636.69000000000005</v>
      </c>
    </row>
    <row r="50" spans="1:10" s="12" customFormat="1" ht="38.25" hidden="1" customHeight="1" outlineLevel="1" x14ac:dyDescent="0.2">
      <c r="A50" s="2">
        <v>22</v>
      </c>
      <c r="B50" s="2" t="s">
        <v>168</v>
      </c>
      <c r="C50" s="8" t="s">
        <v>169</v>
      </c>
      <c r="D50" s="2" t="s">
        <v>167</v>
      </c>
      <c r="E50" s="147">
        <v>4.8000000000000001E-2</v>
      </c>
      <c r="F50" s="155">
        <v>832.7</v>
      </c>
      <c r="G50" s="27">
        <f t="shared" si="4"/>
        <v>39.97</v>
      </c>
      <c r="H50" s="154">
        <f t="shared" si="2"/>
        <v>8.6912087673139231E-3</v>
      </c>
      <c r="I50" s="27">
        <f>ROUND(F50*Прил.10!$D$13,2)</f>
        <v>6694.91</v>
      </c>
      <c r="J50" s="27">
        <f t="shared" si="5"/>
        <v>321.36</v>
      </c>
    </row>
    <row r="51" spans="1:10" s="12" customFormat="1" ht="25.5" hidden="1" customHeight="1" outlineLevel="1" x14ac:dyDescent="0.2">
      <c r="A51" s="2">
        <v>23</v>
      </c>
      <c r="B51" s="2" t="s">
        <v>170</v>
      </c>
      <c r="C51" s="8" t="s">
        <v>171</v>
      </c>
      <c r="D51" s="2" t="s">
        <v>157</v>
      </c>
      <c r="E51" s="147">
        <v>4.8000000000000001E-4</v>
      </c>
      <c r="F51" s="155">
        <v>65750</v>
      </c>
      <c r="G51" s="27">
        <f t="shared" si="4"/>
        <v>31.56</v>
      </c>
      <c r="H51" s="154">
        <f t="shared" si="2"/>
        <v>6.8625106003609559E-3</v>
      </c>
      <c r="I51" s="27">
        <f>ROUND(F51*Прил.10!$D$13,2)</f>
        <v>528630</v>
      </c>
      <c r="J51" s="27">
        <f t="shared" si="5"/>
        <v>253.74</v>
      </c>
    </row>
    <row r="52" spans="1:10" s="12" customFormat="1" ht="14.25" hidden="1" customHeight="1" outlineLevel="1" x14ac:dyDescent="0.2">
      <c r="A52" s="2">
        <v>24</v>
      </c>
      <c r="B52" s="2" t="s">
        <v>172</v>
      </c>
      <c r="C52" s="8" t="s">
        <v>173</v>
      </c>
      <c r="D52" s="2" t="s">
        <v>144</v>
      </c>
      <c r="E52" s="147">
        <v>0.06</v>
      </c>
      <c r="F52" s="155">
        <v>514.25</v>
      </c>
      <c r="G52" s="27">
        <f t="shared" si="4"/>
        <v>30.86</v>
      </c>
      <c r="H52" s="154">
        <f t="shared" si="2"/>
        <v>6.710300289199592E-3</v>
      </c>
      <c r="I52" s="27">
        <f>ROUND(F52*Прил.10!$D$13,2)</f>
        <v>4134.57</v>
      </c>
      <c r="J52" s="27">
        <f t="shared" si="5"/>
        <v>248.07</v>
      </c>
    </row>
    <row r="53" spans="1:10" s="12" customFormat="1" ht="25.5" hidden="1" customHeight="1" outlineLevel="1" x14ac:dyDescent="0.2">
      <c r="A53" s="2">
        <v>25</v>
      </c>
      <c r="B53" s="2" t="s">
        <v>174</v>
      </c>
      <c r="C53" s="8" t="s">
        <v>175</v>
      </c>
      <c r="D53" s="2" t="s">
        <v>176</v>
      </c>
      <c r="E53" s="147">
        <v>0.48</v>
      </c>
      <c r="F53" s="155">
        <v>39.020000000000003</v>
      </c>
      <c r="G53" s="27">
        <f t="shared" si="4"/>
        <v>18.73</v>
      </c>
      <c r="H53" s="154">
        <f t="shared" si="2"/>
        <v>4.0727130400748006E-3</v>
      </c>
      <c r="I53" s="27">
        <f>ROUND(F53*Прил.10!$D$13,2)</f>
        <v>313.72000000000003</v>
      </c>
      <c r="J53" s="27">
        <f t="shared" si="5"/>
        <v>150.59</v>
      </c>
    </row>
    <row r="54" spans="1:10" s="12" customFormat="1" ht="14.25" hidden="1" customHeight="1" outlineLevel="1" x14ac:dyDescent="0.2">
      <c r="A54" s="2">
        <v>26</v>
      </c>
      <c r="B54" s="2" t="s">
        <v>177</v>
      </c>
      <c r="C54" s="8" t="s">
        <v>178</v>
      </c>
      <c r="D54" s="2" t="s">
        <v>176</v>
      </c>
      <c r="E54" s="147">
        <v>0.48</v>
      </c>
      <c r="F54" s="155">
        <v>27.74</v>
      </c>
      <c r="G54" s="27">
        <f t="shared" si="4"/>
        <v>13.32</v>
      </c>
      <c r="H54" s="154">
        <f t="shared" si="2"/>
        <v>2.8963447780991111E-3</v>
      </c>
      <c r="I54" s="27">
        <f>ROUND(F54*Прил.10!$D$13,2)</f>
        <v>223.03</v>
      </c>
      <c r="J54" s="27">
        <f t="shared" si="5"/>
        <v>107.05</v>
      </c>
    </row>
    <row r="55" spans="1:10" s="12" customFormat="1" ht="14.25" hidden="1" customHeight="1" outlineLevel="1" x14ac:dyDescent="0.2">
      <c r="A55" s="2">
        <v>27</v>
      </c>
      <c r="B55" s="2" t="s">
        <v>179</v>
      </c>
      <c r="C55" s="8" t="s">
        <v>180</v>
      </c>
      <c r="D55" s="2" t="s">
        <v>144</v>
      </c>
      <c r="E55" s="147">
        <v>0.11</v>
      </c>
      <c r="F55" s="155">
        <v>110</v>
      </c>
      <c r="G55" s="27">
        <f t="shared" si="4"/>
        <v>12.1</v>
      </c>
      <c r="H55" s="154">
        <f t="shared" si="2"/>
        <v>2.6310639500750181E-3</v>
      </c>
      <c r="I55" s="27">
        <f>ROUND(F55*Прил.10!$D$13,2)</f>
        <v>884.4</v>
      </c>
      <c r="J55" s="27">
        <f t="shared" si="5"/>
        <v>97.28</v>
      </c>
    </row>
    <row r="56" spans="1:10" s="12" customFormat="1" ht="38.25" hidden="1" customHeight="1" outlineLevel="1" x14ac:dyDescent="0.2">
      <c r="A56" s="2">
        <v>28</v>
      </c>
      <c r="B56" s="2" t="s">
        <v>181</v>
      </c>
      <c r="C56" s="8" t="s">
        <v>182</v>
      </c>
      <c r="D56" s="2" t="s">
        <v>176</v>
      </c>
      <c r="E56" s="147">
        <v>0.35199999999999998</v>
      </c>
      <c r="F56" s="155">
        <v>30.4</v>
      </c>
      <c r="G56" s="27">
        <f t="shared" si="4"/>
        <v>10.7</v>
      </c>
      <c r="H56" s="154">
        <f t="shared" si="2"/>
        <v>2.3266433277522886E-3</v>
      </c>
      <c r="I56" s="27">
        <f>ROUND(F56*Прил.10!$D$13,2)</f>
        <v>244.42</v>
      </c>
      <c r="J56" s="27">
        <f t="shared" si="5"/>
        <v>86.04</v>
      </c>
    </row>
    <row r="57" spans="1:10" s="12" customFormat="1" ht="14.25" hidden="1" customHeight="1" outlineLevel="1" x14ac:dyDescent="0.2">
      <c r="A57" s="2">
        <v>29</v>
      </c>
      <c r="B57" s="2" t="s">
        <v>183</v>
      </c>
      <c r="C57" s="8" t="s">
        <v>184</v>
      </c>
      <c r="D57" s="2" t="s">
        <v>185</v>
      </c>
      <c r="E57" s="147">
        <v>0.9</v>
      </c>
      <c r="F57" s="155">
        <v>8.33</v>
      </c>
      <c r="G57" s="27">
        <f t="shared" si="4"/>
        <v>7.5</v>
      </c>
      <c r="H57" s="154">
        <f t="shared" si="2"/>
        <v>1.6308247624431931E-3</v>
      </c>
      <c r="I57" s="27">
        <f>ROUND(F57*Прил.10!$D$13,2)</f>
        <v>66.97</v>
      </c>
      <c r="J57" s="27">
        <f t="shared" si="5"/>
        <v>60.27</v>
      </c>
    </row>
    <row r="58" spans="1:10" s="12" customFormat="1" ht="14.25" hidden="1" customHeight="1" outlineLevel="1" x14ac:dyDescent="0.2">
      <c r="A58" s="2">
        <v>30</v>
      </c>
      <c r="B58" s="2" t="s">
        <v>186</v>
      </c>
      <c r="C58" s="8" t="s">
        <v>187</v>
      </c>
      <c r="D58" s="2" t="s">
        <v>188</v>
      </c>
      <c r="E58" s="147">
        <v>2.6839999999999999E-2</v>
      </c>
      <c r="F58" s="155">
        <v>119</v>
      </c>
      <c r="G58" s="27">
        <f t="shared" si="4"/>
        <v>3.19</v>
      </c>
      <c r="H58" s="154">
        <f t="shared" si="2"/>
        <v>6.9364413229250474E-4</v>
      </c>
      <c r="I58" s="27">
        <f>ROUND(F58*Прил.10!$D$13,2)</f>
        <v>956.76</v>
      </c>
      <c r="J58" s="27">
        <f t="shared" si="5"/>
        <v>25.68</v>
      </c>
    </row>
    <row r="59" spans="1:10" s="12" customFormat="1" ht="14.25" hidden="1" customHeight="1" outlineLevel="1" x14ac:dyDescent="0.2">
      <c r="A59" s="2">
        <v>31</v>
      </c>
      <c r="B59" s="2" t="s">
        <v>189</v>
      </c>
      <c r="C59" s="8" t="s">
        <v>190</v>
      </c>
      <c r="D59" s="2" t="s">
        <v>157</v>
      </c>
      <c r="E59" s="147">
        <v>1.32E-3</v>
      </c>
      <c r="F59" s="155">
        <v>1820</v>
      </c>
      <c r="G59" s="27">
        <f t="shared" si="4"/>
        <v>2.4</v>
      </c>
      <c r="H59" s="154">
        <f t="shared" si="2"/>
        <v>5.2186392398182173E-4</v>
      </c>
      <c r="I59" s="27">
        <f>ROUND(F59*Прил.10!$D$13,2)</f>
        <v>14632.8</v>
      </c>
      <c r="J59" s="27">
        <f t="shared" si="5"/>
        <v>19.32</v>
      </c>
    </row>
    <row r="60" spans="1:10" s="12" customFormat="1" ht="14.25" hidden="1" customHeight="1" outlineLevel="1" x14ac:dyDescent="0.2">
      <c r="A60" s="2">
        <v>32</v>
      </c>
      <c r="B60" s="2" t="s">
        <v>191</v>
      </c>
      <c r="C60" s="8" t="s">
        <v>192</v>
      </c>
      <c r="D60" s="2" t="s">
        <v>176</v>
      </c>
      <c r="E60" s="147">
        <v>4.3999999999999997E-2</v>
      </c>
      <c r="F60" s="155">
        <v>28.6</v>
      </c>
      <c r="G60" s="27">
        <f t="shared" si="4"/>
        <v>1.26</v>
      </c>
      <c r="H60" s="154">
        <f t="shared" si="2"/>
        <v>2.7397856009045646E-4</v>
      </c>
      <c r="I60" s="27">
        <f>ROUND(F60*Прил.10!$D$13,2)</f>
        <v>229.94</v>
      </c>
      <c r="J60" s="27">
        <f t="shared" si="5"/>
        <v>10.119999999999999</v>
      </c>
    </row>
    <row r="61" spans="1:10" s="12" customFormat="1" ht="14.25" hidden="1" customHeight="1" outlineLevel="1" x14ac:dyDescent="0.2">
      <c r="A61" s="2">
        <v>33</v>
      </c>
      <c r="B61" s="2" t="s">
        <v>193</v>
      </c>
      <c r="C61" s="8" t="s">
        <v>194</v>
      </c>
      <c r="D61" s="2" t="s">
        <v>176</v>
      </c>
      <c r="E61" s="147">
        <v>0.05</v>
      </c>
      <c r="F61" s="155">
        <v>16.95</v>
      </c>
      <c r="G61" s="27">
        <f t="shared" si="4"/>
        <v>0.85</v>
      </c>
      <c r="H61" s="154">
        <f t="shared" si="2"/>
        <v>1.8482680641022855E-4</v>
      </c>
      <c r="I61" s="27">
        <f>ROUND(F61*Прил.10!$D$13,2)</f>
        <v>136.28</v>
      </c>
      <c r="J61" s="27">
        <f t="shared" si="5"/>
        <v>6.81</v>
      </c>
    </row>
    <row r="62" spans="1:10" s="12" customFormat="1" ht="25.5" hidden="1" customHeight="1" outlineLevel="1" x14ac:dyDescent="0.2">
      <c r="A62" s="2">
        <v>34</v>
      </c>
      <c r="B62" s="2" t="s">
        <v>195</v>
      </c>
      <c r="C62" s="8" t="s">
        <v>196</v>
      </c>
      <c r="D62" s="2" t="s">
        <v>157</v>
      </c>
      <c r="E62" s="147">
        <v>3.9999999999999998E-6</v>
      </c>
      <c r="F62" s="155">
        <v>12430</v>
      </c>
      <c r="G62" s="27">
        <f t="shared" si="4"/>
        <v>0.05</v>
      </c>
      <c r="H62" s="154">
        <f t="shared" si="2"/>
        <v>1.0872165082954621E-5</v>
      </c>
      <c r="I62" s="27">
        <f>ROUND(F62*Прил.10!$D$13,2)</f>
        <v>99937.2</v>
      </c>
      <c r="J62" s="27">
        <f t="shared" si="5"/>
        <v>0.4</v>
      </c>
    </row>
    <row r="63" spans="1:10" s="12" customFormat="1" ht="14.25" hidden="1" customHeight="1" outlineLevel="1" x14ac:dyDescent="0.2">
      <c r="A63" s="2">
        <v>35</v>
      </c>
      <c r="B63" s="2" t="s">
        <v>197</v>
      </c>
      <c r="C63" s="8" t="s">
        <v>198</v>
      </c>
      <c r="D63" s="2" t="s">
        <v>157</v>
      </c>
      <c r="E63" s="147">
        <v>4.82E-2</v>
      </c>
      <c r="F63" s="155"/>
      <c r="G63" s="27">
        <f t="shared" si="4"/>
        <v>0</v>
      </c>
      <c r="H63" s="154">
        <f t="shared" si="2"/>
        <v>0</v>
      </c>
      <c r="I63" s="27">
        <f>ROUND(F63*Прил.10!$D$13,2)</f>
        <v>0</v>
      </c>
      <c r="J63" s="27">
        <f t="shared" si="5"/>
        <v>0</v>
      </c>
    </row>
    <row r="64" spans="1:10" s="12" customFormat="1" ht="14.25" customHeight="1" collapsed="1" x14ac:dyDescent="0.2">
      <c r="A64" s="2"/>
      <c r="B64" s="2"/>
      <c r="C64" s="8" t="s">
        <v>266</v>
      </c>
      <c r="D64" s="2"/>
      <c r="E64" s="184"/>
      <c r="F64" s="155"/>
      <c r="G64" s="27">
        <f>SUM(G45:G63)</f>
        <v>644.29000000000008</v>
      </c>
      <c r="H64" s="154">
        <f t="shared" si="2"/>
        <v>0.14009654482593667</v>
      </c>
      <c r="I64" s="27"/>
      <c r="J64" s="27">
        <f>SUM(J45:J63)</f>
        <v>5180.03</v>
      </c>
    </row>
    <row r="65" spans="1:10" s="12" customFormat="1" ht="14.25" customHeight="1" x14ac:dyDescent="0.2">
      <c r="A65" s="2"/>
      <c r="B65" s="2"/>
      <c r="C65" s="145" t="s">
        <v>267</v>
      </c>
      <c r="D65" s="2"/>
      <c r="E65" s="184"/>
      <c r="F65" s="155"/>
      <c r="G65" s="27">
        <f>G44+G64</f>
        <v>4598.8999999999996</v>
      </c>
      <c r="H65" s="183">
        <f t="shared" si="2"/>
        <v>1</v>
      </c>
      <c r="I65" s="27"/>
      <c r="J65" s="27">
        <f>J44+J64</f>
        <v>36975.07</v>
      </c>
    </row>
    <row r="66" spans="1:10" s="12" customFormat="1" ht="14.25" customHeight="1" x14ac:dyDescent="0.2">
      <c r="A66" s="2"/>
      <c r="B66" s="2"/>
      <c r="C66" s="8" t="s">
        <v>268</v>
      </c>
      <c r="D66" s="2"/>
      <c r="E66" s="184"/>
      <c r="F66" s="155"/>
      <c r="G66" s="27">
        <f>G14+G25+G65</f>
        <v>9149.52</v>
      </c>
      <c r="H66" s="183"/>
      <c r="I66" s="27"/>
      <c r="J66" s="27">
        <f>J14+J25+J65</f>
        <v>230072.06</v>
      </c>
    </row>
    <row r="67" spans="1:10" s="12" customFormat="1" ht="14.25" customHeight="1" x14ac:dyDescent="0.2">
      <c r="A67" s="2"/>
      <c r="B67" s="2"/>
      <c r="C67" s="8" t="s">
        <v>269</v>
      </c>
      <c r="D67" s="161">
        <f>ROUND(G67/(G$16+$G$14),2)</f>
        <v>0.9</v>
      </c>
      <c r="E67" s="184"/>
      <c r="F67" s="155"/>
      <c r="G67" s="27">
        <v>3687.71</v>
      </c>
      <c r="H67" s="183"/>
      <c r="I67" s="27"/>
      <c r="J67" s="27">
        <f>ROUND(D67*(J14+J16),2)</f>
        <v>169832.49</v>
      </c>
    </row>
    <row r="68" spans="1:10" s="12" customFormat="1" ht="14.25" customHeight="1" x14ac:dyDescent="0.2">
      <c r="A68" s="2"/>
      <c r="B68" s="2"/>
      <c r="C68" s="8" t="s">
        <v>270</v>
      </c>
      <c r="D68" s="161">
        <f>ROUND(G68/(G$14+G$16),2)</f>
        <v>0.46</v>
      </c>
      <c r="E68" s="184"/>
      <c r="F68" s="155"/>
      <c r="G68" s="27">
        <v>1886.45</v>
      </c>
      <c r="H68" s="183"/>
      <c r="I68" s="27"/>
      <c r="J68" s="27">
        <f>ROUND(D68*(J14+J16),2)</f>
        <v>86803.27</v>
      </c>
    </row>
    <row r="69" spans="1:10" s="12" customFormat="1" ht="14.25" customHeight="1" x14ac:dyDescent="0.2">
      <c r="A69" s="2"/>
      <c r="B69" s="2"/>
      <c r="C69" s="8" t="s">
        <v>271</v>
      </c>
      <c r="D69" s="2"/>
      <c r="E69" s="184"/>
      <c r="F69" s="155"/>
      <c r="G69" s="27">
        <f>G14+G25+G65+G67+G68</f>
        <v>14723.68</v>
      </c>
      <c r="H69" s="183"/>
      <c r="I69" s="27"/>
      <c r="J69" s="27">
        <f>J14+J25+J65+J67+J68</f>
        <v>486707.82</v>
      </c>
    </row>
    <row r="70" spans="1:10" s="12" customFormat="1" ht="14.25" customHeight="1" x14ac:dyDescent="0.2">
      <c r="A70" s="2"/>
      <c r="B70" s="2"/>
      <c r="C70" s="8" t="s">
        <v>272</v>
      </c>
      <c r="D70" s="2"/>
      <c r="E70" s="184"/>
      <c r="F70" s="155"/>
      <c r="G70" s="27">
        <f>G69+G34</f>
        <v>2040614.7599999998</v>
      </c>
      <c r="H70" s="183"/>
      <c r="I70" s="27"/>
      <c r="J70" s="27">
        <f>J69+J34</f>
        <v>13168785.960000001</v>
      </c>
    </row>
    <row r="71" spans="1:10" s="12" customFormat="1" ht="34.5" customHeight="1" x14ac:dyDescent="0.2">
      <c r="A71" s="2"/>
      <c r="B71" s="2"/>
      <c r="C71" s="8" t="s">
        <v>235</v>
      </c>
      <c r="D71" s="2" t="s">
        <v>273</v>
      </c>
      <c r="E71" s="189">
        <v>1</v>
      </c>
      <c r="F71" s="155"/>
      <c r="G71" s="27">
        <f>G70/E71</f>
        <v>2040614.7599999998</v>
      </c>
      <c r="H71" s="183"/>
      <c r="I71" s="27"/>
      <c r="J71" s="27">
        <f>J70/E71</f>
        <v>13168785.960000001</v>
      </c>
    </row>
    <row r="73" spans="1:10" s="12" customFormat="1" ht="14.25" customHeight="1" x14ac:dyDescent="0.2">
      <c r="A73" s="4" t="s">
        <v>274</v>
      </c>
    </row>
    <row r="74" spans="1:10" s="12" customFormat="1" ht="14.25" customHeight="1" x14ac:dyDescent="0.2">
      <c r="A74" s="144" t="s">
        <v>76</v>
      </c>
    </row>
    <row r="75" spans="1:10" s="12" customFormat="1" ht="14.25" customHeight="1" x14ac:dyDescent="0.2">
      <c r="A75" s="4"/>
    </row>
    <row r="76" spans="1:10" s="12" customFormat="1" ht="14.25" customHeight="1" x14ac:dyDescent="0.2">
      <c r="A76" s="4" t="s">
        <v>275</v>
      </c>
    </row>
    <row r="77" spans="1:10" s="12" customFormat="1" ht="14.25" customHeight="1" x14ac:dyDescent="0.2">
      <c r="A77" s="144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27:H27"/>
    <mergeCell ref="B26:H26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3"/>
  <sheetViews>
    <sheetView view="pageBreakPreview" topLeftCell="A4" workbookViewId="0">
      <selection activeCell="D19" sqref="D1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45" t="s">
        <v>276</v>
      </c>
      <c r="B1" s="245"/>
      <c r="C1" s="245"/>
      <c r="D1" s="245"/>
      <c r="E1" s="245"/>
      <c r="F1" s="245"/>
      <c r="G1" s="245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3" t="s">
        <v>277</v>
      </c>
      <c r="B3" s="203"/>
      <c r="C3" s="203"/>
      <c r="D3" s="203"/>
      <c r="E3" s="203"/>
      <c r="F3" s="203"/>
      <c r="G3" s="203"/>
    </row>
    <row r="4" spans="1:7" ht="25.5" customHeight="1" x14ac:dyDescent="0.25">
      <c r="A4" s="206" t="s">
        <v>47</v>
      </c>
      <c r="B4" s="206"/>
      <c r="C4" s="206"/>
      <c r="D4" s="206"/>
      <c r="E4" s="206"/>
      <c r="F4" s="206"/>
      <c r="G4" s="20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0" t="s">
        <v>13</v>
      </c>
      <c r="B6" s="250" t="s">
        <v>97</v>
      </c>
      <c r="C6" s="250" t="s">
        <v>201</v>
      </c>
      <c r="D6" s="250" t="s">
        <v>99</v>
      </c>
      <c r="E6" s="229" t="s">
        <v>244</v>
      </c>
      <c r="F6" s="250" t="s">
        <v>101</v>
      </c>
      <c r="G6" s="250"/>
    </row>
    <row r="7" spans="1:7" x14ac:dyDescent="0.25">
      <c r="A7" s="250"/>
      <c r="B7" s="250"/>
      <c r="C7" s="250"/>
      <c r="D7" s="250"/>
      <c r="E7" s="230"/>
      <c r="F7" s="2" t="s">
        <v>247</v>
      </c>
      <c r="G7" s="2" t="s">
        <v>103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6" t="s">
        <v>278</v>
      </c>
      <c r="C9" s="247"/>
      <c r="D9" s="247"/>
      <c r="E9" s="247"/>
      <c r="F9" s="247"/>
      <c r="G9" s="248"/>
    </row>
    <row r="10" spans="1:7" ht="27" customHeight="1" x14ac:dyDescent="0.25">
      <c r="A10" s="2"/>
      <c r="B10" s="145"/>
      <c r="C10" s="8" t="s">
        <v>279</v>
      </c>
      <c r="D10" s="145"/>
      <c r="E10" s="146"/>
      <c r="F10" s="155"/>
      <c r="G10" s="27">
        <v>0</v>
      </c>
    </row>
    <row r="11" spans="1:7" x14ac:dyDescent="0.25">
      <c r="A11" s="2"/>
      <c r="B11" s="237" t="s">
        <v>280</v>
      </c>
      <c r="C11" s="237"/>
      <c r="D11" s="237"/>
      <c r="E11" s="249"/>
      <c r="F11" s="239"/>
      <c r="G11" s="239"/>
    </row>
    <row r="12" spans="1:7" s="116" customFormat="1" ht="25.5" customHeight="1" x14ac:dyDescent="0.25">
      <c r="A12" s="2">
        <v>1</v>
      </c>
      <c r="B12" s="8" t="str">
        <f>'Прил.5 Расчет СМР и ОБ'!B28</f>
        <v>БЦ.36.12</v>
      </c>
      <c r="C12" s="8" t="str">
        <f>'Прил.5 Расчет СМР и ОБ'!C28</f>
        <v>УПАТС, 150 номеров</v>
      </c>
      <c r="D12" s="2" t="str">
        <f>'Прил.5 Расчет СМР и ОБ'!D28</f>
        <v>компл.</v>
      </c>
      <c r="E12" s="147">
        <f>'Прил.5 Расчет СМР и ОБ'!E28</f>
        <v>1</v>
      </c>
      <c r="F12" s="147">
        <f>'Прил.5 Расчет СМР и ОБ'!F28</f>
        <v>2020059.15</v>
      </c>
      <c r="G12" s="27">
        <f>ROUND(E12*F12,2)</f>
        <v>2020059.15</v>
      </c>
    </row>
    <row r="13" spans="1:7" s="116" customFormat="1" ht="38.25" customHeight="1" x14ac:dyDescent="0.25">
      <c r="A13" s="2">
        <v>2</v>
      </c>
      <c r="B13" s="8" t="str">
        <f>'Прил.5 Расчет СМР и ОБ'!B30</f>
        <v>22.1.01.01-0046</v>
      </c>
      <c r="C13" s="8" t="str">
        <f>'Прил.5 Расчет СМР и ОБ'!C30</f>
        <v>Боксы кабельные междугородные, корпус из алюминия, тип БММ-2-1 с плинтом ПН-10</v>
      </c>
      <c r="D13" s="2" t="str">
        <f>'Прил.5 Расчет СМР и ОБ'!D30</f>
        <v>шт.</v>
      </c>
      <c r="E13" s="147">
        <f>'Прил.5 Расчет СМР и ОБ'!E30</f>
        <v>10</v>
      </c>
      <c r="F13" s="147">
        <f>'Прил.5 Расчет СМР и ОБ'!F30</f>
        <v>415.4</v>
      </c>
      <c r="G13" s="27">
        <f>ROUND(E13*F13,2)</f>
        <v>4154</v>
      </c>
    </row>
    <row r="14" spans="1:7" s="116" customFormat="1" ht="25.5" customHeight="1" x14ac:dyDescent="0.25">
      <c r="A14" s="2">
        <v>3</v>
      </c>
      <c r="B14" s="8" t="str">
        <f>'Прил.5 Расчет СМР и ОБ'!B31</f>
        <v>22.1.02.06-0051</v>
      </c>
      <c r="C14" s="8" t="str">
        <f>'Прил.5 Расчет СМР и ОБ'!C31</f>
        <v>Рама VX-2000PF (для 3 блоков питания VX-200PS)</v>
      </c>
      <c r="D14" s="2" t="str">
        <f>'Прил.5 Расчет СМР и ОБ'!D31</f>
        <v>шт.</v>
      </c>
      <c r="E14" s="147">
        <f>'Прил.5 Расчет СМР и ОБ'!E31</f>
        <v>1</v>
      </c>
      <c r="F14" s="147">
        <f>'Прил.5 Расчет СМР и ОБ'!F31</f>
        <v>1161.69</v>
      </c>
      <c r="G14" s="27">
        <f>ROUND(E14*F14,2)</f>
        <v>1161.69</v>
      </c>
    </row>
    <row r="15" spans="1:7" s="116" customFormat="1" ht="51" customHeight="1" x14ac:dyDescent="0.25">
      <c r="A15" s="2">
        <v>4</v>
      </c>
      <c r="B15" s="8" t="str">
        <f>'Прил.5 Расчет СМР и ОБ'!B32</f>
        <v>61.3.05.03-0011</v>
      </c>
      <c r="C15" s="8" t="str">
        <f>'Прил.5 Расчет СМР и ОБ'!C32</f>
        <v>Патч-панель RJ-45 110 типа, UTP, категория 5е, Dual IDC, на 48 портов для монтажа в стойки и шкафы 19", с органайзером</v>
      </c>
      <c r="D15" s="2" t="str">
        <f>'Прил.5 Расчет СМР и ОБ'!D32</f>
        <v>шт.</v>
      </c>
      <c r="E15" s="147">
        <f>'Прил.5 Расчет СМР и ОБ'!E32</f>
        <v>1</v>
      </c>
      <c r="F15" s="147">
        <f>'Прил.5 Расчет СМР и ОБ'!F32</f>
        <v>516.24</v>
      </c>
      <c r="G15" s="27">
        <f>ROUND(E15*F15,2)</f>
        <v>516.24</v>
      </c>
    </row>
    <row r="16" spans="1:7" ht="25.5" customHeight="1" x14ac:dyDescent="0.25">
      <c r="A16" s="2"/>
      <c r="B16" s="8"/>
      <c r="C16" s="8" t="s">
        <v>281</v>
      </c>
      <c r="D16" s="8"/>
      <c r="E16" s="41"/>
      <c r="F16" s="155"/>
      <c r="G16" s="27">
        <f>SUM(G12:G15)</f>
        <v>2025891.0799999998</v>
      </c>
    </row>
    <row r="17" spans="1:7" ht="19.5" customHeight="1" x14ac:dyDescent="0.25">
      <c r="A17" s="2"/>
      <c r="B17" s="8"/>
      <c r="C17" s="8" t="s">
        <v>282</v>
      </c>
      <c r="D17" s="8"/>
      <c r="E17" s="41"/>
      <c r="F17" s="155"/>
      <c r="G17" s="27">
        <f>G10+G16</f>
        <v>2025891.0799999998</v>
      </c>
    </row>
    <row r="18" spans="1:7" x14ac:dyDescent="0.25">
      <c r="A18" s="25"/>
      <c r="B18" s="148"/>
      <c r="C18" s="25"/>
      <c r="D18" s="25"/>
      <c r="E18" s="25"/>
      <c r="F18" s="25"/>
      <c r="G18" s="25"/>
    </row>
    <row r="19" spans="1:7" x14ac:dyDescent="0.25">
      <c r="A19" s="4" t="s">
        <v>274</v>
      </c>
      <c r="B19" s="12"/>
      <c r="C19" s="12"/>
      <c r="D19" s="25"/>
      <c r="E19" s="25"/>
      <c r="F19" s="25"/>
      <c r="G19" s="25"/>
    </row>
    <row r="20" spans="1:7" x14ac:dyDescent="0.25">
      <c r="A20" s="144" t="s">
        <v>76</v>
      </c>
      <c r="B20" s="12"/>
      <c r="C20" s="12"/>
      <c r="D20" s="25"/>
      <c r="E20" s="25"/>
      <c r="F20" s="25"/>
      <c r="G20" s="25"/>
    </row>
    <row r="21" spans="1:7" x14ac:dyDescent="0.25">
      <c r="A21" s="4"/>
      <c r="B21" s="12"/>
      <c r="C21" s="12"/>
      <c r="D21" s="25"/>
      <c r="E21" s="25"/>
      <c r="F21" s="25"/>
      <c r="G21" s="25"/>
    </row>
    <row r="22" spans="1:7" x14ac:dyDescent="0.25">
      <c r="A22" s="4" t="s">
        <v>275</v>
      </c>
      <c r="B22" s="12"/>
      <c r="C22" s="12"/>
      <c r="D22" s="25"/>
      <c r="E22" s="25"/>
      <c r="F22" s="25"/>
      <c r="G22" s="25"/>
    </row>
    <row r="23" spans="1:7" x14ac:dyDescent="0.25">
      <c r="A23" s="144" t="s">
        <v>78</v>
      </c>
      <c r="B23" s="12"/>
      <c r="C23" s="12"/>
      <c r="D23" s="25"/>
      <c r="E23" s="25"/>
      <c r="F23" s="25"/>
      <c r="G23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2023-11-26T05:59:20Z</cp:lastPrinted>
  <dcterms:created xsi:type="dcterms:W3CDTF">2020-09-30T08:50:27Z</dcterms:created>
  <dcterms:modified xsi:type="dcterms:W3CDTF">2023-11-26T05:59:32Z</dcterms:modified>
  <cp:category/>
</cp:coreProperties>
</file>