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529E9005-5301-4539-8A69-A96402A8214E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ОБ'!$A$1:$J$80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G12" i="9"/>
  <c r="F12" i="9"/>
  <c r="E12" i="9"/>
  <c r="D12" i="9"/>
  <c r="C12" i="9"/>
  <c r="B12" i="9"/>
  <c r="I63" i="8"/>
  <c r="J63" i="8" s="1"/>
  <c r="G63" i="8"/>
  <c r="I62" i="8"/>
  <c r="J62" i="8" s="1"/>
  <c r="G62" i="8"/>
  <c r="J61" i="8"/>
  <c r="I61" i="8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G44" i="8"/>
  <c r="J43" i="8"/>
  <c r="I43" i="8"/>
  <c r="G43" i="8"/>
  <c r="J42" i="8"/>
  <c r="I42" i="8"/>
  <c r="G42" i="8"/>
  <c r="J41" i="8"/>
  <c r="I41" i="8"/>
  <c r="G41" i="8"/>
  <c r="J40" i="8"/>
  <c r="J44" i="8" s="1"/>
  <c r="I40" i="8"/>
  <c r="G40" i="8"/>
  <c r="J39" i="8"/>
  <c r="I39" i="8"/>
  <c r="G39" i="8"/>
  <c r="J38" i="8"/>
  <c r="I38" i="8"/>
  <c r="G38" i="8"/>
  <c r="I32" i="8"/>
  <c r="J32" i="8" s="1"/>
  <c r="G32" i="8"/>
  <c r="I31" i="8"/>
  <c r="J31" i="8" s="1"/>
  <c r="G31" i="8"/>
  <c r="I30" i="8"/>
  <c r="J30" i="8" s="1"/>
  <c r="G30" i="8"/>
  <c r="G33" i="8" s="1"/>
  <c r="J29" i="8"/>
  <c r="G29" i="8"/>
  <c r="J28" i="8"/>
  <c r="G28" i="8"/>
  <c r="F28" i="8"/>
  <c r="I23" i="8"/>
  <c r="J23" i="8" s="1"/>
  <c r="G23" i="8"/>
  <c r="I22" i="8"/>
  <c r="J22" i="8" s="1"/>
  <c r="G22" i="8"/>
  <c r="I21" i="8"/>
  <c r="J21" i="8" s="1"/>
  <c r="G21" i="8"/>
  <c r="G24" i="8" s="1"/>
  <c r="G25" i="8" s="1"/>
  <c r="G20" i="8"/>
  <c r="J19" i="8"/>
  <c r="J20" i="8" s="1"/>
  <c r="C12" i="7" s="1"/>
  <c r="I19" i="8"/>
  <c r="G19" i="8"/>
  <c r="G16" i="8"/>
  <c r="D68" i="8" s="1"/>
  <c r="E16" i="8"/>
  <c r="G14" i="8"/>
  <c r="E14" i="8"/>
  <c r="J13" i="8"/>
  <c r="J14" i="8" s="1"/>
  <c r="I13" i="8"/>
  <c r="H13" i="8"/>
  <c r="E13" i="8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4" i="8" l="1"/>
  <c r="J33" i="8"/>
  <c r="J34" i="8" s="1"/>
  <c r="C25" i="7" s="1"/>
  <c r="G16" i="9"/>
  <c r="G34" i="8"/>
  <c r="H30" i="8" s="1"/>
  <c r="J64" i="8"/>
  <c r="C17" i="7" s="1"/>
  <c r="G64" i="8"/>
  <c r="C11" i="7"/>
  <c r="H32" i="8"/>
  <c r="H28" i="8"/>
  <c r="G17" i="9"/>
  <c r="G35" i="8"/>
  <c r="H19" i="8"/>
  <c r="H22" i="8"/>
  <c r="H20" i="8"/>
  <c r="H21" i="8"/>
  <c r="H23" i="8"/>
  <c r="H24" i="8"/>
  <c r="J65" i="8"/>
  <c r="C16" i="7"/>
  <c r="C18" i="7" s="1"/>
  <c r="C21" i="7"/>
  <c r="D67" i="8"/>
  <c r="F16" i="8"/>
  <c r="I16" i="8" s="1"/>
  <c r="J16" i="8" s="1"/>
  <c r="C15" i="7" s="1"/>
  <c r="J25" i="8" l="1"/>
  <c r="J66" i="8" s="1"/>
  <c r="C13" i="7"/>
  <c r="C14" i="7" s="1"/>
  <c r="C19" i="7" s="1"/>
  <c r="J35" i="8"/>
  <c r="C26" i="7" s="1"/>
  <c r="H33" i="8"/>
  <c r="H29" i="8"/>
  <c r="H34" i="8" s="1"/>
  <c r="H31" i="8"/>
  <c r="G65" i="8"/>
  <c r="H25" i="8"/>
  <c r="J67" i="8"/>
  <c r="C23" i="7"/>
  <c r="C22" i="7" s="1"/>
  <c r="J68" i="8"/>
  <c r="C20" i="7"/>
  <c r="H43" i="8" l="1"/>
  <c r="H54" i="8"/>
  <c r="H48" i="8"/>
  <c r="G66" i="8"/>
  <c r="H57" i="8"/>
  <c r="H51" i="8"/>
  <c r="H39" i="8"/>
  <c r="H56" i="8"/>
  <c r="H60" i="8"/>
  <c r="H42" i="8"/>
  <c r="H59" i="8"/>
  <c r="H52" i="8"/>
  <c r="H55" i="8"/>
  <c r="H40" i="8"/>
  <c r="H63" i="8"/>
  <c r="H44" i="8"/>
  <c r="G69" i="8"/>
  <c r="G70" i="8" s="1"/>
  <c r="G71" i="8" s="1"/>
  <c r="H65" i="8"/>
  <c r="H62" i="8"/>
  <c r="H47" i="8"/>
  <c r="H38" i="8"/>
  <c r="H58" i="8"/>
  <c r="H45" i="8"/>
  <c r="H50" i="8"/>
  <c r="H41" i="8"/>
  <c r="H61" i="8"/>
  <c r="H53" i="8"/>
  <c r="H46" i="8"/>
  <c r="H49" i="8"/>
  <c r="H64" i="8"/>
  <c r="C24" i="7"/>
  <c r="D20" i="7" s="1"/>
  <c r="J69" i="8"/>
  <c r="J70" i="8" s="1"/>
  <c r="J71" i="8" s="1"/>
  <c r="D22" i="7" l="1"/>
  <c r="C27" i="7"/>
  <c r="D24" i="7"/>
  <c r="D18" i="7"/>
  <c r="D16" i="7"/>
  <c r="D14" i="7"/>
  <c r="D12" i="7"/>
  <c r="D17" i="7"/>
  <c r="D13" i="7"/>
  <c r="D11" i="7"/>
  <c r="C29" i="7"/>
  <c r="D15" i="7"/>
  <c r="C30" i="7" l="1"/>
  <c r="C37" i="7"/>
  <c r="C36" i="7"/>
  <c r="C38" i="7" l="1"/>
  <c r="C39" i="7" l="1"/>
  <c r="C40" i="7" l="1"/>
  <c r="E39" i="7"/>
  <c r="E32" i="7" l="1"/>
  <c r="E18" i="7"/>
  <c r="E16" i="7"/>
  <c r="E14" i="7"/>
  <c r="E12" i="7"/>
  <c r="E31" i="7"/>
  <c r="E26" i="7"/>
  <c r="E35" i="7"/>
  <c r="E17" i="7"/>
  <c r="E13" i="7"/>
  <c r="E11" i="7"/>
  <c r="C41" i="7"/>
  <c r="D11" i="10" s="1"/>
  <c r="E34" i="7"/>
  <c r="E25" i="7"/>
  <c r="E40" i="7"/>
  <c r="E33" i="7"/>
  <c r="E15" i="7"/>
  <c r="E20" i="7"/>
  <c r="E22" i="7"/>
  <c r="E24" i="7"/>
  <c r="E29" i="7"/>
  <c r="E27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<sst xmlns="http://schemas.openxmlformats.org/spreadsheetml/2006/main" count="749" uniqueCount="443">
  <si>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</si>
  <si>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</si>
  <si>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</si>
  <si>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</si>
  <si>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</si>
  <si>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</si>
  <si>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</si>
  <si>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</si>
  <si>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</si>
  <si>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</si>
  <si>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</si>
  <si>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</si>
  <si>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</si>
  <si>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</si>
  <si>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</si>
  <si>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</si>
  <si>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</si>
  <si>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</si>
  <si>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</si>
  <si>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</si>
  <si>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</si>
  <si>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</si>
  <si>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</si>
  <si>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</si>
  <si>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</si>
  <si>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</si>
  <si>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</si>
  <si>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</si>
  <si>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</si>
  <si>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</si>
  <si>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</si>
  <si>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</si>
  <si>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</si>
  <si>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</si>
  <si>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</si>
  <si>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</si>
  <si>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</si>
  <si>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</si>
  <si>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</si>
  <si>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</si>
  <si>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</si>
  <si>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</si>
  <si>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</si>
  <si>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</si>
  <si>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</si>
  <si>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</si>
  <si>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</si>
  <si>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УПАТС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</si>
  <si>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</si>
  <si>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</si>
  <si>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</si>
  <si>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</si>
  <si>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</si>
  <si>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</si>
  <si>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</si>
  <si>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</si>
  <si>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</si>
  <si>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</si>
  <si>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</si>
  <si>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</si>
  <si>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</si>
  <si>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</si>
  <si>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</si>
  <si>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</si>
  <si>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</si>
  <si>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</si>
  <si>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</si>
  <si>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</si>
  <si>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</si>
  <si>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</si>
  <si>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</si>
  <si>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</si>
  <si>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</si>
  <si>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</si>
  <si>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</si>
  <si>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</si>
  <si>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</si>
  <si>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</si>
  <si>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</si>
  <si>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</si>
  <si>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</si>
  <si>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</si>
  <si>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</si>
  <si>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</si>
  <si>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</si>
  <si>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</si>
  <si>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</si>
  <si>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</si>
  <si>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</si>
  <si>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</si>
  <si>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</si>
  <si>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</si>
  <si>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</si>
  <si>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</si>
  <si>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</si>
  <si>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УПАТС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</si>
  <si>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</si>
  <si>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</si>
  <si>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</si>
  <si>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</si>
  <si>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</si>
  <si>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</si>
  <si>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</si>
  <si>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</si>
  <si>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</si>
  <si>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</si>
  <si>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</si>
  <si>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</si>
  <si>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</si>
  <si>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</si>
  <si>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</si>
  <si>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</si>
  <si>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</si>
  <si>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</si>
  <si>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</si>
  <si>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</si>
  <si>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</si>
  <si>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</si>
  <si>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</si>
  <si>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</si>
  <si>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</si>
  <si>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</si>
  <si>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</si>
  <si>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</si>
  <si>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</si>
  <si>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</si>
  <si>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</si>
  <si>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</si>
  <si>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</si>
  <si>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</si>
  <si>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</si>
  <si>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</si>
  <si>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</si>
  <si>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</si>
  <si>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</si>
  <si>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</si>
  <si>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</si>
  <si>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</si>
  <si>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</si>
  <si>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</si>
  <si>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</si>
  <si>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</si>
  <si>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</si>
  <si>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</si>
  <si>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</si>
  <si>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</si>
  <si>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</si>
  <si>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</si>
  <si>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</si>
  <si>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</si>
  <si>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</si>
  <si>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</si>
  <si>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</si>
  <si>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</si>
  <si>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</si>
  <si>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</si>
  <si>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</si>
  <si>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</si>
  <si>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</si>
  <si>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</si>
  <si>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</si>
  <si>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</si>
  <si>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</si>
  <si>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</si>
  <si>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</si>
  <si>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</si>
  <si>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</si>
  <si>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</si>
  <si>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</si>
  <si>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</si>
  <si>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</si>
  <si>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</si>
  <si>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</si>
  <si>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</si>
  <si>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</si>
  <si>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</si>
  <si>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</si>
  <si>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</si>
  <si>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</si>
  <si>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</si>
  <si>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</si>
  <si>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</si>
  <si>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</si>
  <si>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</si>
  <si>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</si>
  <si>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</si>
  <si>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</si>
  <si>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</si>
  <si>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</si>
  <si>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</si>
  <si>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</si>
  <si>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</si>
  <si>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</si>
  <si>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</si>
  <si>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</si>
  <si>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</si>
  <si>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</si>
  <si>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</si>
  <si>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</si>
  <si>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</si>
  <si>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</si>
  <si>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</si>
  <si>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</si>
  <si>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</si>
  <si>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</si>
  <si>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</si>
  <si>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</si>
  <si>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</si>
  <si>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</si>
  <si>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</si>
  <si>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</si>
  <si>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</si>
  <si>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</si>
  <si>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</si>
  <si>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</si>
  <si>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</si>
  <si>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</si>
  <si>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</si>
  <si>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</si>
  <si>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</si>
  <si>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</si>
  <si>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</si>
  <si>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</si>
  <si>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</si>
  <si>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</si>
  <si>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</si>
  <si>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</si>
  <si>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</si>
  <si>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</si>
  <si>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</si>
  <si>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</si>
  <si>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</si>
  <si>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</si>
  <si>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</si>
  <si>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</si>
  <si>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</si>
  <si>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</si>
  <si>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</si>
  <si>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</si>
  <si>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</si>
  <si>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</si>
  <si>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</si>
  <si>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</si>
  <si>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</si>
  <si>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УПАТС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</si>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</sst>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5" fontId="20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385535</xdr:colOff>
      <xdr:row>28</xdr:row>
      <xdr:rowOff>83911</xdr:rowOff>
    </xdr:from>
    <xdr:to>
      <xdr:col>2</xdr:col>
      <xdr:colOff>1330337</xdr:colOff>
      <xdr:row>30</xdr:row>
      <xdr:rowOff>199910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7E0B47-82B0-43C3-868F-58D2A08F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178" y="1594984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461736</xdr:colOff>
      <xdr:row>26</xdr:row>
      <xdr:rowOff>259443</xdr:rowOff>
    </xdr:from>
    <xdr:to>
      <xdr:col>2</xdr:col>
      <xdr:colOff>1299935</xdr:colOff>
      <xdr:row>28</xdr:row>
      <xdr:rowOff>34546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A55B342-A006-497A-A1F3-B967316BE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6379" y="15445014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564696</xdr:colOff>
      <xdr:row>22</xdr:row>
      <xdr:rowOff>53974</xdr:rowOff>
    </xdr:from>
    <xdr:to>
      <xdr:col>2</xdr:col>
      <xdr:colOff>1509498</xdr:colOff>
      <xdr:row>24</xdr:row>
      <xdr:rowOff>169974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9AE90B-CEB8-44A0-BA38-26E09215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10" y="10068831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640897</xdr:colOff>
      <xdr:row>19</xdr:row>
      <xdr:rowOff>161471</xdr:rowOff>
    </xdr:from>
    <xdr:to>
      <xdr:col>2</xdr:col>
      <xdr:colOff>1479096</xdr:colOff>
      <xdr:row>22</xdr:row>
      <xdr:rowOff>4609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0A21C64-0C5A-4952-BC0F-F905A633D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611" y="9564007"/>
          <a:ext cx="838199" cy="4554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341270</xdr:colOff>
      <xdr:row>59</xdr:row>
      <xdr:rowOff>125659</xdr:rowOff>
    </xdr:from>
    <xdr:to>
      <xdr:col>2</xdr:col>
      <xdr:colOff>1281590</xdr:colOff>
      <xdr:row>62</xdr:row>
      <xdr:rowOff>44754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3E1EE36-B206-4E20-AE0A-3F3709389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679" y="18327068"/>
          <a:ext cx="940320" cy="542550"/>
        </a:xfrm>
        <a:prstGeom prst="rect">
          <a:avLst/>
        </a:prstGeom>
      </xdr:spPr>
    </xdr:pic>
    <xdr:clientData/>
  </xdr:twoCellAnchor>
  <xdr:twoCellAnchor editAs="oneCell">
    <xdr:from>
      <xdr:col>2</xdr:col>
      <xdr:colOff>372647</xdr:colOff>
      <xdr:row>57</xdr:row>
      <xdr:rowOff>24246</xdr:rowOff>
    </xdr:from>
    <xdr:to>
      <xdr:col>2</xdr:col>
      <xdr:colOff>1206364</xdr:colOff>
      <xdr:row>59</xdr:row>
      <xdr:rowOff>65088</xdr:rowOff>
    </xdr:to>
    <xdr:pic>
      <xdr:nvPicPr>
        <xdr:cNvPr id="4" name="Рисунок 3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BC22774-1673-4B15-B28E-70A009DDF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056" y="17810019"/>
          <a:ext cx="833717" cy="456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648022-ED95-4F10-939D-C4ADD9DF1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CF4D748-0FA4-4CC1-9506-4E7A09847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1001806</xdr:colOff>
      <xdr:row>73</xdr:row>
      <xdr:rowOff>108137</xdr:rowOff>
    </xdr:from>
    <xdr:to>
      <xdr:col>2</xdr:col>
      <xdr:colOff>441658</xdr:colOff>
      <xdr:row>76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A395339-F6BE-48D7-8D43-EA3F62F9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06" y="201487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1078007</xdr:colOff>
      <xdr:row>70</xdr:row>
      <xdr:rowOff>441512</xdr:rowOff>
    </xdr:from>
    <xdr:to>
      <xdr:col>2</xdr:col>
      <xdr:colOff>392206</xdr:colOff>
      <xdr:row>73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9ED5B54-14DB-4548-9FD3-CD6673884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007" y="196439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19</xdr:row>
      <xdr:rowOff>76200</xdr:rowOff>
    </xdr:from>
    <xdr:to>
      <xdr:col>2</xdr:col>
      <xdr:colOff>316152</xdr:colOff>
      <xdr:row>22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CAEB72-78C7-415B-8C71-90F51E18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54673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619126</xdr:colOff>
      <xdr:row>16</xdr:row>
      <xdr:rowOff>200025</xdr:rowOff>
    </xdr:from>
    <xdr:to>
      <xdr:col>2</xdr:col>
      <xdr:colOff>285750</xdr:colOff>
      <xdr:row>19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6A800C0-F770-4157-869E-25E566970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49625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60C7B0-B95C-46DF-A87C-003E240D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67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09F515D-B611-4664-80E9-549DC8501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27</xdr:row>
      <xdr:rowOff>76200</xdr:rowOff>
    </xdr:from>
    <xdr:to>
      <xdr:col>1</xdr:col>
      <xdr:colOff>1770302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989875-6F37-41C2-BAAC-4B068EBFD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9378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901701</xdr:colOff>
      <xdr:row>24</xdr:row>
      <xdr:rowOff>142875</xdr:rowOff>
    </xdr:from>
    <xdr:to>
      <xdr:col>1</xdr:col>
      <xdr:colOff>1739900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DD20504-7B77-46A7-9064-571E1A27E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8" t="s">
        <v>0</v>
      </c>
      <c r="B2" s="318"/>
      <c r="C2" s="318"/>
    </row>
    <row r="3" spans="1:3" x14ac:dyDescent="0.25">
      <c r="A3" s="1"/>
      <c r="B3" s="1"/>
      <c r="C3" s="1"/>
    </row>
    <row r="4" spans="1:3" x14ac:dyDescent="0.25">
      <c r="A4" s="319" t="s">
        <v>1</v>
      </c>
      <c r="B4" s="319"/>
      <c r="C4" s="31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0" t="s">
        <v>3</v>
      </c>
      <c r="C6" s="320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H35" sqref="H35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283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284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15.75" customHeight="1" x14ac:dyDescent="0.25">
      <c r="A5" s="366" t="s">
        <v>285</v>
      </c>
      <c r="B5" s="366"/>
      <c r="C5" s="366"/>
      <c r="D5" s="304" t="str">
        <f>'Прил.5 Расчет СМР и ОБ'!D6:J6</f>
        <v>Постоянная часть ПС, УПАТС ПС 750 кВ</v>
      </c>
    </row>
    <row r="6" spans="1:4" ht="15.75" customHeight="1" x14ac:dyDescent="0.25">
      <c r="A6" s="301" t="s">
        <v>49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30" t="s">
        <v>5</v>
      </c>
      <c r="B8" s="330" t="s">
        <v>6</v>
      </c>
      <c r="C8" s="330" t="s">
        <v>286</v>
      </c>
      <c r="D8" s="330" t="s">
        <v>287</v>
      </c>
    </row>
    <row r="9" spans="1:4" x14ac:dyDescent="0.25">
      <c r="A9" s="330"/>
      <c r="B9" s="330"/>
      <c r="C9" s="330"/>
      <c r="D9" s="330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3" customHeight="1" x14ac:dyDescent="0.25">
      <c r="A11" s="313" t="s">
        <v>288</v>
      </c>
      <c r="B11" s="313" t="s">
        <v>289</v>
      </c>
      <c r="C11" s="312" t="str">
        <f>D5</f>
        <v>Постоянная часть ПС, УПАТС ПС 750 кВ</v>
      </c>
      <c r="D11" s="306">
        <f>'Прил.4 РМ'!C41/1000</f>
        <v>14245.694190000004</v>
      </c>
    </row>
    <row r="13" spans="1:4" x14ac:dyDescent="0.25">
      <c r="A13" s="307" t="s">
        <v>290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5" t="s">
        <v>291</v>
      </c>
      <c r="C4" s="325"/>
      <c r="D4" s="325"/>
    </row>
    <row r="5" spans="2:5" ht="18.75" customHeight="1" x14ac:dyDescent="0.25">
      <c r="B5" s="198"/>
    </row>
    <row r="6" spans="2:5" ht="15.75" customHeight="1" x14ac:dyDescent="0.25">
      <c r="B6" s="326" t="s">
        <v>292</v>
      </c>
      <c r="C6" s="326"/>
      <c r="D6" s="326"/>
    </row>
    <row r="7" spans="2:5" x14ac:dyDescent="0.25">
      <c r="B7" s="367"/>
      <c r="C7" s="367"/>
      <c r="D7" s="367"/>
      <c r="E7" s="367"/>
    </row>
    <row r="8" spans="2:5" x14ac:dyDescent="0.25">
      <c r="B8" s="286"/>
      <c r="C8" s="286"/>
      <c r="D8" s="286"/>
      <c r="E8" s="286"/>
    </row>
    <row r="9" spans="2:5" ht="47.25" customHeight="1" x14ac:dyDescent="0.25">
      <c r="B9" s="278" t="s">
        <v>293</v>
      </c>
      <c r="C9" s="278" t="s">
        <v>294</v>
      </c>
      <c r="D9" s="278" t="s">
        <v>295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296</v>
      </c>
      <c r="C11" s="278" t="s">
        <v>297</v>
      </c>
      <c r="D11" s="278">
        <v>44.29</v>
      </c>
    </row>
    <row r="12" spans="2:5" ht="29.25" customHeight="1" x14ac:dyDescent="0.25">
      <c r="B12" s="278" t="s">
        <v>298</v>
      </c>
      <c r="C12" s="278" t="s">
        <v>297</v>
      </c>
      <c r="D12" s="278">
        <v>13.47</v>
      </c>
    </row>
    <row r="13" spans="2:5" ht="29.25" customHeight="1" x14ac:dyDescent="0.25">
      <c r="B13" s="278" t="s">
        <v>299</v>
      </c>
      <c r="C13" s="278" t="s">
        <v>297</v>
      </c>
      <c r="D13" s="278">
        <v>8.0399999999999991</v>
      </c>
    </row>
    <row r="14" spans="2:5" ht="30.75" customHeight="1" x14ac:dyDescent="0.25">
      <c r="B14" s="278" t="s">
        <v>300</v>
      </c>
      <c r="C14" s="171" t="s">
        <v>301</v>
      </c>
      <c r="D14" s="278">
        <v>6.26</v>
      </c>
    </row>
    <row r="15" spans="2:5" ht="89.25" customHeight="1" x14ac:dyDescent="0.25">
      <c r="B15" s="278" t="s">
        <v>302</v>
      </c>
      <c r="C15" s="278" t="s">
        <v>303</v>
      </c>
      <c r="D15" s="199">
        <v>3.9E-2</v>
      </c>
    </row>
    <row r="16" spans="2:5" ht="78.75" customHeight="1" x14ac:dyDescent="0.25">
      <c r="B16" s="278" t="s">
        <v>304</v>
      </c>
      <c r="C16" s="278" t="s">
        <v>305</v>
      </c>
      <c r="D16" s="199">
        <v>2.1000000000000001E-2</v>
      </c>
    </row>
    <row r="17" spans="2:4" ht="34.5" customHeight="1" x14ac:dyDescent="0.25">
      <c r="B17" s="278"/>
      <c r="C17" s="278"/>
      <c r="D17" s="278"/>
    </row>
    <row r="18" spans="2:4" ht="31.5" customHeight="1" x14ac:dyDescent="0.25">
      <c r="B18" s="278" t="s">
        <v>306</v>
      </c>
      <c r="C18" s="278" t="s">
        <v>307</v>
      </c>
      <c r="D18" s="199">
        <v>2.1399999999999999E-2</v>
      </c>
    </row>
    <row r="19" spans="2:4" ht="31.5" customHeight="1" x14ac:dyDescent="0.25">
      <c r="B19" s="278" t="s">
        <v>232</v>
      </c>
      <c r="C19" s="278" t="s">
        <v>308</v>
      </c>
      <c r="D19" s="199">
        <v>2E-3</v>
      </c>
    </row>
    <row r="20" spans="2:4" ht="24" customHeight="1" x14ac:dyDescent="0.25">
      <c r="B20" s="278" t="s">
        <v>234</v>
      </c>
      <c r="C20" s="278" t="s">
        <v>309</v>
      </c>
      <c r="D20" s="199">
        <v>0.03</v>
      </c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4" spans="2:4" ht="18.75" customHeight="1" x14ac:dyDescent="0.25">
      <c r="B24" s="200"/>
    </row>
    <row r="27" spans="2:4" x14ac:dyDescent="0.25">
      <c r="B27" s="4" t="s">
        <v>310</v>
      </c>
      <c r="C27" s="14"/>
    </row>
    <row r="28" spans="2:4" x14ac:dyDescent="0.25">
      <c r="B28" s="201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275</v>
      </c>
      <c r="C30" s="14"/>
    </row>
    <row r="31" spans="2:4" x14ac:dyDescent="0.25">
      <c r="B31" s="201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5" sqref="J15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6" t="s">
        <v>311</v>
      </c>
      <c r="B2" s="326"/>
      <c r="C2" s="326"/>
      <c r="D2" s="326"/>
      <c r="E2" s="326"/>
      <c r="F2" s="326"/>
    </row>
    <row r="4" spans="1:7" ht="18" customHeight="1" x14ac:dyDescent="0.25">
      <c r="A4" s="184" t="s">
        <v>312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313</v>
      </c>
      <c r="C5" s="186" t="s">
        <v>314</v>
      </c>
      <c r="D5" s="186" t="s">
        <v>315</v>
      </c>
      <c r="E5" s="186" t="s">
        <v>316</v>
      </c>
      <c r="F5" s="186" t="s">
        <v>317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318</v>
      </c>
      <c r="B7" s="188" t="s">
        <v>319</v>
      </c>
      <c r="C7" s="189" t="s">
        <v>320</v>
      </c>
      <c r="D7" s="189" t="s">
        <v>321</v>
      </c>
      <c r="E7" s="190">
        <v>47872.94</v>
      </c>
      <c r="F7" s="188" t="s">
        <v>322</v>
      </c>
      <c r="G7" s="185"/>
    </row>
    <row r="8" spans="1:7" ht="31.5" customHeight="1" x14ac:dyDescent="0.25">
      <c r="A8" s="187" t="s">
        <v>323</v>
      </c>
      <c r="B8" s="188" t="s">
        <v>324</v>
      </c>
      <c r="C8" s="189" t="s">
        <v>325</v>
      </c>
      <c r="D8" s="189" t="s">
        <v>326</v>
      </c>
      <c r="E8" s="190">
        <f>1973/12</f>
        <v>164.41666666667001</v>
      </c>
      <c r="F8" s="164" t="s">
        <v>327</v>
      </c>
      <c r="G8" s="165"/>
    </row>
    <row r="9" spans="1:7" ht="15.75" customHeight="1" x14ac:dyDescent="0.25">
      <c r="A9" s="187" t="s">
        <v>328</v>
      </c>
      <c r="B9" s="188" t="s">
        <v>329</v>
      </c>
      <c r="C9" s="189" t="s">
        <v>330</v>
      </c>
      <c r="D9" s="189" t="s">
        <v>321</v>
      </c>
      <c r="E9" s="190">
        <v>1</v>
      </c>
      <c r="F9" s="164"/>
      <c r="G9" s="166"/>
    </row>
    <row r="10" spans="1:7" ht="15.75" customHeight="1" x14ac:dyDescent="0.25">
      <c r="A10" s="187" t="s">
        <v>331</v>
      </c>
      <c r="B10" s="188" t="s">
        <v>332</v>
      </c>
      <c r="C10" s="189"/>
      <c r="D10" s="189"/>
      <c r="E10" s="191">
        <v>4.0999999999999996</v>
      </c>
      <c r="F10" s="164" t="s">
        <v>333</v>
      </c>
      <c r="G10" s="166"/>
    </row>
    <row r="11" spans="1:7" ht="78.75" customHeight="1" x14ac:dyDescent="0.25">
      <c r="A11" s="187" t="s">
        <v>334</v>
      </c>
      <c r="B11" s="188" t="s">
        <v>335</v>
      </c>
      <c r="C11" s="189" t="s">
        <v>336</v>
      </c>
      <c r="D11" s="189" t="s">
        <v>321</v>
      </c>
      <c r="E11" s="192">
        <v>1.359</v>
      </c>
      <c r="F11" s="188" t="s">
        <v>337</v>
      </c>
      <c r="G11" s="185"/>
    </row>
    <row r="12" spans="1:7" ht="78.75" customHeight="1" x14ac:dyDescent="0.25">
      <c r="A12" s="187" t="s">
        <v>338</v>
      </c>
      <c r="B12" s="193" t="s">
        <v>339</v>
      </c>
      <c r="C12" s="189" t="s">
        <v>340</v>
      </c>
      <c r="D12" s="189" t="s">
        <v>321</v>
      </c>
      <c r="E12" s="194">
        <v>1.139</v>
      </c>
      <c r="F12" s="195" t="s">
        <v>341</v>
      </c>
      <c r="G12" s="166"/>
    </row>
    <row r="13" spans="1:7" ht="63" customHeight="1" x14ac:dyDescent="0.25">
      <c r="A13" s="187" t="s">
        <v>342</v>
      </c>
      <c r="B13" s="196" t="s">
        <v>343</v>
      </c>
      <c r="C13" s="189" t="s">
        <v>344</v>
      </c>
      <c r="D13" s="189" t="s">
        <v>345</v>
      </c>
      <c r="E13" s="197">
        <f>((E7*E9/E8)*E11)*E12</f>
        <v>450.69987855412</v>
      </c>
      <c r="F13" s="188" t="s">
        <v>346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8" t="s">
        <v>347</v>
      </c>
      <c r="B1" s="368"/>
      <c r="C1" s="368"/>
      <c r="D1" s="368"/>
      <c r="E1" s="368"/>
      <c r="F1" s="368"/>
      <c r="G1" s="368"/>
      <c r="H1" s="368"/>
      <c r="I1" s="36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1" t="e">
        <f>#REF!</f>
        <v>#REF!</v>
      </c>
      <c r="B3" s="321"/>
      <c r="C3" s="321"/>
      <c r="D3" s="321"/>
      <c r="E3" s="321"/>
      <c r="F3" s="321"/>
      <c r="G3" s="321"/>
      <c r="H3" s="321"/>
      <c r="I3" s="321"/>
    </row>
    <row r="4" spans="1:13" s="4" customFormat="1" ht="15.75" customHeight="1" x14ac:dyDescent="0.2">
      <c r="A4" s="369"/>
      <c r="B4" s="369"/>
      <c r="C4" s="369"/>
      <c r="D4" s="369"/>
      <c r="E4" s="369"/>
      <c r="F4" s="369"/>
      <c r="G4" s="369"/>
      <c r="H4" s="369"/>
      <c r="I4" s="369"/>
    </row>
    <row r="5" spans="1:13" s="32" customFormat="1" ht="36.6" customHeight="1" x14ac:dyDescent="0.35">
      <c r="A5" s="370" t="s">
        <v>13</v>
      </c>
      <c r="B5" s="370" t="s">
        <v>348</v>
      </c>
      <c r="C5" s="370" t="s">
        <v>349</v>
      </c>
      <c r="D5" s="370" t="s">
        <v>350</v>
      </c>
      <c r="E5" s="365" t="s">
        <v>351</v>
      </c>
      <c r="F5" s="365"/>
      <c r="G5" s="365"/>
      <c r="H5" s="365"/>
      <c r="I5" s="365"/>
    </row>
    <row r="6" spans="1:13" s="27" customFormat="1" ht="31.5" customHeight="1" x14ac:dyDescent="0.2">
      <c r="A6" s="370"/>
      <c r="B6" s="370"/>
      <c r="C6" s="370"/>
      <c r="D6" s="370"/>
      <c r="E6" s="33" t="s">
        <v>85</v>
      </c>
      <c r="F6" s="33" t="s">
        <v>86</v>
      </c>
      <c r="G6" s="33" t="s">
        <v>43</v>
      </c>
      <c r="H6" s="33" t="s">
        <v>352</v>
      </c>
      <c r="I6" s="33" t="s">
        <v>353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222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354</v>
      </c>
      <c r="C9" s="9" t="s">
        <v>355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356</v>
      </c>
      <c r="C11" s="9" t="s">
        <v>304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107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357</v>
      </c>
      <c r="C12" s="9" t="s">
        <v>358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359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307</v>
      </c>
      <c r="C14" s="9" t="s">
        <v>360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361</v>
      </c>
      <c r="C16" s="9" t="s">
        <v>362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363</v>
      </c>
    </row>
    <row r="17" spans="1:10" s="27" customFormat="1" ht="81.75" customHeight="1" x14ac:dyDescent="0.2">
      <c r="A17" s="34">
        <v>7</v>
      </c>
      <c r="B17" s="9" t="s">
        <v>361</v>
      </c>
      <c r="C17" s="137" t="s">
        <v>364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365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366</v>
      </c>
      <c r="C20" s="9" t="s">
        <v>234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367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368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369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370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371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5" t="s">
        <v>372</v>
      </c>
      <c r="O2" s="375"/>
    </row>
    <row r="3" spans="1:16" x14ac:dyDescent="0.25">
      <c r="A3" s="376" t="s">
        <v>373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</row>
    <row r="5" spans="1:16" s="50" customFormat="1" ht="37.5" customHeight="1" x14ac:dyDescent="0.25">
      <c r="A5" s="377" t="s">
        <v>374</v>
      </c>
      <c r="B5" s="380" t="s">
        <v>375</v>
      </c>
      <c r="C5" s="383" t="s">
        <v>376</v>
      </c>
      <c r="D5" s="386" t="s">
        <v>377</v>
      </c>
      <c r="E5" s="387"/>
      <c r="F5" s="387"/>
      <c r="G5" s="387"/>
      <c r="H5" s="387"/>
      <c r="I5" s="386" t="s">
        <v>378</v>
      </c>
      <c r="J5" s="387"/>
      <c r="K5" s="387"/>
      <c r="L5" s="387"/>
      <c r="M5" s="387"/>
      <c r="N5" s="387"/>
      <c r="O5" s="53" t="s">
        <v>379</v>
      </c>
    </row>
    <row r="6" spans="1:16" s="56" customFormat="1" ht="150" customHeight="1" x14ac:dyDescent="0.25">
      <c r="A6" s="378"/>
      <c r="B6" s="381"/>
      <c r="C6" s="384"/>
      <c r="D6" s="383" t="s">
        <v>380</v>
      </c>
      <c r="E6" s="388" t="s">
        <v>381</v>
      </c>
      <c r="F6" s="389"/>
      <c r="G6" s="390"/>
      <c r="H6" s="54" t="s">
        <v>382</v>
      </c>
      <c r="I6" s="391" t="s">
        <v>383</v>
      </c>
      <c r="J6" s="391" t="s">
        <v>380</v>
      </c>
      <c r="K6" s="392" t="s">
        <v>381</v>
      </c>
      <c r="L6" s="392"/>
      <c r="M6" s="392"/>
      <c r="N6" s="54" t="s">
        <v>382</v>
      </c>
      <c r="O6" s="55" t="s">
        <v>384</v>
      </c>
    </row>
    <row r="7" spans="1:16" s="56" customFormat="1" ht="30.75" customHeight="1" x14ac:dyDescent="0.25">
      <c r="A7" s="379"/>
      <c r="B7" s="382"/>
      <c r="C7" s="385"/>
      <c r="D7" s="385"/>
      <c r="E7" s="53" t="s">
        <v>85</v>
      </c>
      <c r="F7" s="53" t="s">
        <v>86</v>
      </c>
      <c r="G7" s="53" t="s">
        <v>43</v>
      </c>
      <c r="H7" s="57" t="s">
        <v>385</v>
      </c>
      <c r="I7" s="391"/>
      <c r="J7" s="391"/>
      <c r="K7" s="53" t="s">
        <v>85</v>
      </c>
      <c r="L7" s="53" t="s">
        <v>86</v>
      </c>
      <c r="M7" s="53" t="s">
        <v>43</v>
      </c>
      <c r="N7" s="57" t="s">
        <v>385</v>
      </c>
      <c r="O7" s="53" t="s">
        <v>386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7" t="s">
        <v>387</v>
      </c>
      <c r="C9" s="59" t="s">
        <v>388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9"/>
      <c r="C10" s="63" t="s">
        <v>389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7" t="s">
        <v>390</v>
      </c>
      <c r="C11" s="63" t="s">
        <v>391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9"/>
      <c r="C12" s="63" t="s">
        <v>392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7" t="s">
        <v>393</v>
      </c>
      <c r="C13" s="59" t="s">
        <v>394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9"/>
      <c r="C14" s="63" t="s">
        <v>395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396</v>
      </c>
      <c r="C15" s="63" t="s">
        <v>397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399</v>
      </c>
    </row>
    <row r="19" spans="1:15" ht="30.75" customHeight="1" x14ac:dyDescent="0.25">
      <c r="L19" s="75"/>
    </row>
    <row r="20" spans="1:15" ht="15" customHeight="1" outlineLevel="1" x14ac:dyDescent="0.25">
      <c r="G20" s="374" t="s">
        <v>400</v>
      </c>
      <c r="H20" s="374"/>
      <c r="I20" s="374"/>
      <c r="J20" s="374"/>
      <c r="K20" s="374"/>
      <c r="L20" s="374"/>
      <c r="M20" s="374"/>
      <c r="N20" s="374"/>
      <c r="O20" s="52"/>
    </row>
    <row r="21" spans="1:15" ht="15.75" customHeight="1" outlineLevel="1" x14ac:dyDescent="0.25">
      <c r="G21" s="76"/>
      <c r="H21" s="76" t="s">
        <v>401</v>
      </c>
      <c r="I21" s="76" t="s">
        <v>402</v>
      </c>
      <c r="J21" s="77" t="s">
        <v>403</v>
      </c>
      <c r="K21" s="78" t="s">
        <v>404</v>
      </c>
      <c r="L21" s="76" t="s">
        <v>405</v>
      </c>
      <c r="M21" s="76" t="s">
        <v>406</v>
      </c>
      <c r="N21" s="77" t="s">
        <v>407</v>
      </c>
      <c r="O21" s="79"/>
    </row>
    <row r="22" spans="1:15" ht="15.75" customHeight="1" outlineLevel="1" x14ac:dyDescent="0.25">
      <c r="G22" s="372" t="s">
        <v>408</v>
      </c>
      <c r="H22" s="371">
        <v>6.09</v>
      </c>
      <c r="I22" s="373">
        <v>6.44</v>
      </c>
      <c r="J22" s="371">
        <v>5.77</v>
      </c>
      <c r="K22" s="373">
        <v>5.77</v>
      </c>
      <c r="L22" s="371">
        <v>5.23</v>
      </c>
      <c r="M22" s="371">
        <v>5.77</v>
      </c>
      <c r="N22" s="80">
        <v>6.29</v>
      </c>
      <c r="O22" s="51" t="s">
        <v>409</v>
      </c>
    </row>
    <row r="23" spans="1:15" ht="15.75" customHeight="1" outlineLevel="1" x14ac:dyDescent="0.25">
      <c r="G23" s="372"/>
      <c r="H23" s="371"/>
      <c r="I23" s="373"/>
      <c r="J23" s="371"/>
      <c r="K23" s="373"/>
      <c r="L23" s="371"/>
      <c r="M23" s="371"/>
      <c r="N23" s="80">
        <v>6.56</v>
      </c>
      <c r="O23" s="51" t="s">
        <v>410</v>
      </c>
    </row>
    <row r="24" spans="1:15" ht="15.75" customHeight="1" outlineLevel="1" x14ac:dyDescent="0.25">
      <c r="G24" s="81" t="s">
        <v>411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385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412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413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352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3" t="s">
        <v>414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</row>
    <row r="4" spans="1:18" ht="36.75" customHeight="1" x14ac:dyDescent="0.25">
      <c r="A4" s="377" t="s">
        <v>374</v>
      </c>
      <c r="B4" s="380" t="s">
        <v>375</v>
      </c>
      <c r="C4" s="383" t="s">
        <v>415</v>
      </c>
      <c r="D4" s="383" t="s">
        <v>416</v>
      </c>
      <c r="E4" s="386" t="s">
        <v>417</v>
      </c>
      <c r="F4" s="387"/>
      <c r="G4" s="387"/>
      <c r="H4" s="387"/>
      <c r="I4" s="387"/>
      <c r="J4" s="387"/>
      <c r="K4" s="387"/>
      <c r="L4" s="387"/>
      <c r="M4" s="387"/>
      <c r="N4" s="394" t="s">
        <v>418</v>
      </c>
      <c r="O4" s="395"/>
      <c r="P4" s="395"/>
      <c r="Q4" s="395"/>
      <c r="R4" s="396"/>
    </row>
    <row r="5" spans="1:18" ht="60" customHeight="1" x14ac:dyDescent="0.25">
      <c r="A5" s="378"/>
      <c r="B5" s="381"/>
      <c r="C5" s="384"/>
      <c r="D5" s="384"/>
      <c r="E5" s="391" t="s">
        <v>419</v>
      </c>
      <c r="F5" s="391" t="s">
        <v>420</v>
      </c>
      <c r="G5" s="388" t="s">
        <v>381</v>
      </c>
      <c r="H5" s="389"/>
      <c r="I5" s="389"/>
      <c r="J5" s="390"/>
      <c r="K5" s="391" t="s">
        <v>421</v>
      </c>
      <c r="L5" s="391"/>
      <c r="M5" s="391"/>
      <c r="N5" s="89" t="s">
        <v>422</v>
      </c>
      <c r="O5" s="89" t="s">
        <v>423</v>
      </c>
      <c r="P5" s="90" t="s">
        <v>424</v>
      </c>
      <c r="Q5" s="91" t="s">
        <v>425</v>
      </c>
      <c r="R5" s="90" t="s">
        <v>426</v>
      </c>
    </row>
    <row r="6" spans="1:18" ht="49.5" customHeight="1" x14ac:dyDescent="0.25">
      <c r="A6" s="379"/>
      <c r="B6" s="382"/>
      <c r="C6" s="385"/>
      <c r="D6" s="385"/>
      <c r="E6" s="391"/>
      <c r="F6" s="391"/>
      <c r="G6" s="53" t="s">
        <v>85</v>
      </c>
      <c r="H6" s="53" t="s">
        <v>86</v>
      </c>
      <c r="I6" s="92" t="s">
        <v>43</v>
      </c>
      <c r="J6" s="92" t="s">
        <v>352</v>
      </c>
      <c r="K6" s="53" t="s">
        <v>422</v>
      </c>
      <c r="L6" s="53" t="s">
        <v>423</v>
      </c>
      <c r="M6" s="53" t="s">
        <v>424</v>
      </c>
      <c r="N6" s="92" t="s">
        <v>427</v>
      </c>
      <c r="O6" s="92" t="s">
        <v>428</v>
      </c>
      <c r="P6" s="92" t="s">
        <v>429</v>
      </c>
      <c r="Q6" s="93" t="s">
        <v>430</v>
      </c>
      <c r="R6" s="94" t="s">
        <v>431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7">
        <v>1</v>
      </c>
      <c r="B9" s="377" t="s">
        <v>432</v>
      </c>
      <c r="C9" s="397" t="s">
        <v>388</v>
      </c>
      <c r="D9" s="99" t="s">
        <v>433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9"/>
      <c r="B10" s="378"/>
      <c r="C10" s="398"/>
      <c r="D10" s="99" t="s">
        <v>434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7">
        <v>2</v>
      </c>
      <c r="B11" s="378"/>
      <c r="C11" s="397" t="s">
        <v>435</v>
      </c>
      <c r="D11" s="104" t="s">
        <v>433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9"/>
      <c r="B12" s="379"/>
      <c r="C12" s="398"/>
      <c r="D12" s="104" t="s">
        <v>434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7">
        <v>3</v>
      </c>
      <c r="B13" s="377" t="s">
        <v>390</v>
      </c>
      <c r="C13" s="399" t="s">
        <v>391</v>
      </c>
      <c r="D13" s="99" t="s">
        <v>436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9"/>
      <c r="B14" s="378"/>
      <c r="C14" s="400"/>
      <c r="D14" s="99" t="s">
        <v>434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7">
        <v>4</v>
      </c>
      <c r="B15" s="378"/>
      <c r="C15" s="401" t="s">
        <v>392</v>
      </c>
      <c r="D15" s="105" t="s">
        <v>436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9"/>
      <c r="B16" s="379"/>
      <c r="C16" s="402"/>
      <c r="D16" s="105" t="s">
        <v>434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7">
        <v>5</v>
      </c>
      <c r="B17" s="392" t="s">
        <v>393</v>
      </c>
      <c r="C17" s="397" t="s">
        <v>437</v>
      </c>
      <c r="D17" s="99" t="s">
        <v>438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9"/>
      <c r="B18" s="392"/>
      <c r="C18" s="398"/>
      <c r="D18" s="99" t="s">
        <v>434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7">
        <v>6</v>
      </c>
      <c r="B19" s="392"/>
      <c r="C19" s="397" t="s">
        <v>395</v>
      </c>
      <c r="D19" s="105" t="s">
        <v>436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9"/>
      <c r="B20" s="392"/>
      <c r="C20" s="398"/>
      <c r="D20" s="105" t="s">
        <v>434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7">
        <v>7</v>
      </c>
      <c r="B21" s="377" t="s">
        <v>396</v>
      </c>
      <c r="C21" s="397" t="s">
        <v>397</v>
      </c>
      <c r="D21" s="105" t="s">
        <v>439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9"/>
      <c r="B22" s="379"/>
      <c r="C22" s="398"/>
      <c r="D22" s="106" t="s">
        <v>434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440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3" t="s">
        <v>441</v>
      </c>
      <c r="E26" s="403"/>
      <c r="F26" s="403"/>
      <c r="G26" s="403"/>
      <c r="H26" s="403"/>
      <c r="I26" s="403"/>
      <c r="J26" s="403"/>
      <c r="K26" s="403"/>
      <c r="L26" s="121"/>
      <c r="R26" s="122"/>
    </row>
    <row r="27" spans="1:18" outlineLevel="1" x14ac:dyDescent="0.25">
      <c r="D27" s="123"/>
      <c r="E27" s="123" t="s">
        <v>401</v>
      </c>
      <c r="F27" s="123" t="s">
        <v>402</v>
      </c>
      <c r="G27" s="123" t="s">
        <v>403</v>
      </c>
      <c r="H27" s="124" t="s">
        <v>404</v>
      </c>
      <c r="I27" s="124" t="s">
        <v>405</v>
      </c>
      <c r="J27" s="124" t="s">
        <v>406</v>
      </c>
      <c r="K27" s="111" t="s">
        <v>407</v>
      </c>
      <c r="L27" s="52"/>
    </row>
    <row r="28" spans="1:18" outlineLevel="1" x14ac:dyDescent="0.25">
      <c r="D28" s="404" t="s">
        <v>408</v>
      </c>
      <c r="E28" s="406">
        <v>6.09</v>
      </c>
      <c r="F28" s="408">
        <v>6.63</v>
      </c>
      <c r="G28" s="406">
        <v>5.77</v>
      </c>
      <c r="H28" s="410">
        <v>5.77</v>
      </c>
      <c r="I28" s="410">
        <v>6.35</v>
      </c>
      <c r="J28" s="406">
        <v>5.77</v>
      </c>
      <c r="K28" s="125">
        <v>6.29</v>
      </c>
      <c r="L28" s="87" t="s">
        <v>409</v>
      </c>
      <c r="M28" s="52"/>
    </row>
    <row r="29" spans="1:18" outlineLevel="1" x14ac:dyDescent="0.25">
      <c r="D29" s="405"/>
      <c r="E29" s="407"/>
      <c r="F29" s="409"/>
      <c r="G29" s="407"/>
      <c r="H29" s="411"/>
      <c r="I29" s="411"/>
      <c r="J29" s="407"/>
      <c r="K29" s="125">
        <v>6.56</v>
      </c>
      <c r="L29" s="87" t="s">
        <v>410</v>
      </c>
      <c r="M29" s="52"/>
    </row>
    <row r="30" spans="1:18" outlineLevel="1" x14ac:dyDescent="0.25">
      <c r="D30" s="126" t="s">
        <v>411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4" t="s">
        <v>385</v>
      </c>
      <c r="E31" s="406">
        <v>11.37</v>
      </c>
      <c r="F31" s="408">
        <v>13.56</v>
      </c>
      <c r="G31" s="406">
        <v>15.91</v>
      </c>
      <c r="H31" s="410">
        <v>15.91</v>
      </c>
      <c r="I31" s="410">
        <v>14.03</v>
      </c>
      <c r="J31" s="406">
        <v>15.91</v>
      </c>
      <c r="K31" s="125">
        <v>8.2899999999999991</v>
      </c>
      <c r="L31" s="87" t="s">
        <v>409</v>
      </c>
      <c r="R31" s="116"/>
    </row>
    <row r="32" spans="1:18" s="87" customFormat="1" outlineLevel="1" x14ac:dyDescent="0.25">
      <c r="D32" s="405"/>
      <c r="E32" s="407"/>
      <c r="F32" s="409"/>
      <c r="G32" s="407"/>
      <c r="H32" s="411"/>
      <c r="I32" s="411"/>
      <c r="J32" s="407"/>
      <c r="K32" s="125">
        <v>11.84</v>
      </c>
      <c r="L32" s="87" t="s">
        <v>410</v>
      </c>
      <c r="R32" s="116"/>
    </row>
    <row r="33" spans="4:18" s="87" customFormat="1" ht="15" customHeight="1" outlineLevel="1" x14ac:dyDescent="0.25">
      <c r="D33" s="129" t="s">
        <v>412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442</v>
      </c>
      <c r="R33" s="116"/>
    </row>
    <row r="34" spans="4:18" s="87" customFormat="1" outlineLevel="1" x14ac:dyDescent="0.25">
      <c r="D34" s="129" t="s">
        <v>413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442</v>
      </c>
      <c r="R34" s="116"/>
    </row>
    <row r="35" spans="4:18" s="87" customFormat="1" outlineLevel="1" x14ac:dyDescent="0.25">
      <c r="D35" s="126" t="s">
        <v>352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8" t="s">
        <v>10</v>
      </c>
      <c r="B2" s="318"/>
      <c r="C2" s="318"/>
      <c r="D2" s="31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1"/>
    </row>
    <row r="5" spans="1:4" x14ac:dyDescent="0.25">
      <c r="A5" s="6"/>
      <c r="B5" s="1"/>
      <c r="C5" s="1"/>
    </row>
    <row r="6" spans="1:4" x14ac:dyDescent="0.25">
      <c r="A6" s="318" t="s">
        <v>12</v>
      </c>
      <c r="B6" s="318"/>
      <c r="C6" s="318"/>
      <c r="D6" s="31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2" t="s">
        <v>5</v>
      </c>
      <c r="B15" s="323" t="s">
        <v>15</v>
      </c>
      <c r="C15" s="323"/>
      <c r="D15" s="323"/>
    </row>
    <row r="16" spans="1:4" x14ac:dyDescent="0.25">
      <c r="A16" s="322"/>
      <c r="B16" s="322" t="s">
        <v>17</v>
      </c>
      <c r="C16" s="323" t="s">
        <v>28</v>
      </c>
      <c r="D16" s="323"/>
    </row>
    <row r="17" spans="1:4" ht="39" customHeight="1" x14ac:dyDescent="0.25">
      <c r="A17" s="322"/>
      <c r="B17" s="322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4" t="s">
        <v>29</v>
      </c>
      <c r="B2" s="324"/>
      <c r="C2" s="324"/>
      <c r="D2" s="324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5" t="s">
        <v>45</v>
      </c>
      <c r="C3" s="325"/>
      <c r="D3" s="325"/>
      <c r="E3" s="325"/>
      <c r="F3" s="325"/>
    </row>
    <row r="4" spans="2:6" x14ac:dyDescent="0.25">
      <c r="B4" s="326" t="s">
        <v>46</v>
      </c>
      <c r="C4" s="326"/>
      <c r="D4" s="326"/>
      <c r="E4" s="326"/>
      <c r="F4" s="326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7" t="s">
        <v>47</v>
      </c>
      <c r="C7" s="327"/>
      <c r="D7" s="327"/>
      <c r="E7" s="327"/>
      <c r="F7" s="327"/>
    </row>
    <row r="8" spans="2:6" ht="31.5" customHeight="1" x14ac:dyDescent="0.25">
      <c r="B8" s="327" t="s">
        <v>48</v>
      </c>
      <c r="C8" s="327"/>
      <c r="D8" s="327"/>
      <c r="E8" s="327"/>
      <c r="F8" s="327"/>
    </row>
    <row r="9" spans="2:6" x14ac:dyDescent="0.25">
      <c r="B9" s="327" t="s">
        <v>49</v>
      </c>
      <c r="C9" s="327"/>
      <c r="D9" s="327"/>
      <c r="E9" s="327"/>
      <c r="F9" s="327"/>
    </row>
    <row r="10" spans="2:6" x14ac:dyDescent="0.25">
      <c r="B10" s="270"/>
    </row>
    <row r="11" spans="2:6" x14ac:dyDescent="0.25">
      <c r="B11" s="278" t="s">
        <v>33</v>
      </c>
      <c r="C11" s="278" t="s">
        <v>50</v>
      </c>
      <c r="D11" s="311" t="s">
        <v>51</v>
      </c>
      <c r="E11" s="169"/>
      <c r="F11" s="169"/>
    </row>
    <row r="12" spans="2:6" ht="47.25" customHeight="1" x14ac:dyDescent="0.25">
      <c r="B12" s="278">
        <v>1</v>
      </c>
      <c r="C12" s="169" t="s">
        <v>52</v>
      </c>
      <c r="D12" s="314" t="s">
        <v>53</v>
      </c>
      <c r="E12" s="169"/>
      <c r="F12" s="169"/>
    </row>
    <row r="13" spans="2:6" ht="31.5" customHeight="1" x14ac:dyDescent="0.25">
      <c r="B13" s="278">
        <v>2</v>
      </c>
      <c r="C13" s="169" t="s">
        <v>54</v>
      </c>
      <c r="D13" s="314" t="s">
        <v>55</v>
      </c>
      <c r="E13" s="169"/>
      <c r="F13" s="169"/>
    </row>
    <row r="14" spans="2:6" x14ac:dyDescent="0.25">
      <c r="B14" s="278">
        <v>3</v>
      </c>
      <c r="C14" s="169" t="s">
        <v>56</v>
      </c>
      <c r="D14" s="314" t="s">
        <v>57</v>
      </c>
      <c r="E14" s="169"/>
      <c r="F14" s="169"/>
    </row>
    <row r="15" spans="2:6" x14ac:dyDescent="0.25">
      <c r="B15" s="278">
        <v>4</v>
      </c>
      <c r="C15" s="169" t="s">
        <v>58</v>
      </c>
      <c r="D15" s="314">
        <v>1</v>
      </c>
      <c r="E15" s="170"/>
      <c r="F15" s="170"/>
    </row>
    <row r="16" spans="2:6" ht="409.5" customHeight="1" x14ac:dyDescent="0.25">
      <c r="B16" s="278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78">
        <v>6</v>
      </c>
      <c r="C17" s="171" t="s">
        <v>61</v>
      </c>
      <c r="D17" s="172">
        <f>D18+D19</f>
        <v>9350.7779031999999</v>
      </c>
      <c r="E17" s="172"/>
      <c r="F17" s="172"/>
    </row>
    <row r="18" spans="2:12" x14ac:dyDescent="0.25">
      <c r="B18" s="173" t="s">
        <v>62</v>
      </c>
      <c r="C18" s="169" t="s">
        <v>63</v>
      </c>
      <c r="D18" s="172">
        <f>'Прил.2 Расч стоим'!F12</f>
        <v>72.196756800000003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172">
        <f>'Прил.2 Расч стоим'!H12</f>
        <v>9278.5811463999999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172"/>
      <c r="E20" s="172"/>
      <c r="F20" s="172"/>
      <c r="L20" s="250"/>
    </row>
    <row r="21" spans="2:12" ht="35.25" customHeight="1" x14ac:dyDescent="0.25">
      <c r="B21" s="173" t="s">
        <v>68</v>
      </c>
      <c r="C21" s="174" t="s">
        <v>69</v>
      </c>
      <c r="D21" s="172"/>
      <c r="E21" s="172"/>
      <c r="F21" s="172"/>
    </row>
    <row r="22" spans="2:12" x14ac:dyDescent="0.25">
      <c r="B22" s="278">
        <v>7</v>
      </c>
      <c r="C22" s="174" t="s">
        <v>70</v>
      </c>
      <c r="D22" s="278" t="s">
        <v>71</v>
      </c>
      <c r="E22" s="278"/>
      <c r="F22" s="172"/>
      <c r="G22" s="247"/>
    </row>
    <row r="23" spans="2:12" ht="123" customHeight="1" x14ac:dyDescent="0.25">
      <c r="B23" s="278">
        <v>8</v>
      </c>
      <c r="C23" s="175" t="s">
        <v>72</v>
      </c>
      <c r="D23" s="172">
        <f>D17</f>
        <v>9350.7779031999999</v>
      </c>
      <c r="E23" s="172"/>
      <c r="F23" s="176"/>
    </row>
    <row r="24" spans="2:12" ht="60.75" customHeight="1" x14ac:dyDescent="0.25">
      <c r="B24" s="278">
        <v>9</v>
      </c>
      <c r="C24" s="171" t="s">
        <v>73</v>
      </c>
      <c r="D24" s="172">
        <f>D23/D15</f>
        <v>9350.7779031999999</v>
      </c>
      <c r="E24" s="172"/>
      <c r="F24" s="172"/>
    </row>
    <row r="25" spans="2:12" ht="71.25" customHeight="1" x14ac:dyDescent="0.25">
      <c r="B25" s="278">
        <v>10</v>
      </c>
      <c r="C25" s="169" t="s">
        <v>74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75</v>
      </c>
    </row>
    <row r="29" spans="2:12" x14ac:dyDescent="0.25">
      <c r="B29" s="179" t="s">
        <v>76</v>
      </c>
    </row>
    <row r="31" spans="2:12" x14ac:dyDescent="0.25">
      <c r="B31" s="167" t="s">
        <v>77</v>
      </c>
    </row>
    <row r="32" spans="2:12" x14ac:dyDescent="0.25">
      <c r="B32" s="179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topLeftCell="A7" zoomScale="70" zoomScaleNormal="70" workbookViewId="0">
      <selection activeCell="E22" sqref="E22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5" t="s">
        <v>79</v>
      </c>
      <c r="C3" s="325"/>
      <c r="D3" s="325"/>
      <c r="E3" s="325"/>
      <c r="F3" s="325"/>
      <c r="G3" s="325"/>
      <c r="H3" s="325"/>
      <c r="I3" s="325"/>
      <c r="J3" s="325"/>
    </row>
    <row r="4" spans="2:10" x14ac:dyDescent="0.25">
      <c r="B4" s="326" t="s">
        <v>80</v>
      </c>
      <c r="C4" s="326"/>
      <c r="D4" s="326"/>
      <c r="E4" s="326"/>
      <c r="F4" s="326"/>
      <c r="G4" s="326"/>
      <c r="H4" s="326"/>
      <c r="I4" s="326"/>
      <c r="J4" s="326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9" t="s">
        <v>47</v>
      </c>
      <c r="C6" s="329"/>
      <c r="D6" s="329"/>
      <c r="E6" s="329"/>
      <c r="F6" s="329"/>
      <c r="G6" s="329"/>
      <c r="H6" s="329"/>
      <c r="I6" s="329"/>
      <c r="J6" s="329"/>
    </row>
    <row r="7" spans="2:10" x14ac:dyDescent="0.25">
      <c r="B7" s="327" t="s">
        <v>49</v>
      </c>
      <c r="C7" s="327"/>
      <c r="D7" s="327"/>
      <c r="E7" s="327"/>
      <c r="F7" s="327"/>
      <c r="G7" s="327"/>
      <c r="H7" s="327"/>
      <c r="I7" s="327"/>
      <c r="J7" s="327"/>
    </row>
    <row r="8" spans="2:10" x14ac:dyDescent="0.25">
      <c r="B8" s="270"/>
    </row>
    <row r="9" spans="2:10" ht="15.75" customHeight="1" x14ac:dyDescent="0.25">
      <c r="B9" s="330" t="s">
        <v>33</v>
      </c>
      <c r="C9" s="330" t="s">
        <v>81</v>
      </c>
      <c r="D9" s="330" t="s">
        <v>51</v>
      </c>
      <c r="E9" s="330"/>
      <c r="F9" s="330"/>
      <c r="G9" s="330"/>
      <c r="H9" s="330"/>
      <c r="I9" s="330"/>
      <c r="J9" s="330"/>
    </row>
    <row r="10" spans="2:10" ht="15.75" customHeight="1" x14ac:dyDescent="0.25">
      <c r="B10" s="330"/>
      <c r="C10" s="330"/>
      <c r="D10" s="330" t="s">
        <v>82</v>
      </c>
      <c r="E10" s="330" t="s">
        <v>83</v>
      </c>
      <c r="F10" s="330" t="s">
        <v>84</v>
      </c>
      <c r="G10" s="330"/>
      <c r="H10" s="330"/>
      <c r="I10" s="330"/>
      <c r="J10" s="330"/>
    </row>
    <row r="11" spans="2:10" ht="31.5" customHeight="1" x14ac:dyDescent="0.25">
      <c r="B11" s="330"/>
      <c r="C11" s="330"/>
      <c r="D11" s="330"/>
      <c r="E11" s="330"/>
      <c r="F11" s="278" t="s">
        <v>85</v>
      </c>
      <c r="G11" s="278" t="s">
        <v>86</v>
      </c>
      <c r="H11" s="278" t="s">
        <v>43</v>
      </c>
      <c r="I11" s="278" t="s">
        <v>87</v>
      </c>
      <c r="J11" s="278" t="s">
        <v>88</v>
      </c>
    </row>
    <row r="12" spans="2:10" ht="409.5" customHeight="1" x14ac:dyDescent="0.25">
      <c r="B12" s="180">
        <v>1</v>
      </c>
      <c r="C12" s="288" t="s">
        <v>60</v>
      </c>
      <c r="D12" s="289"/>
      <c r="E12" s="169"/>
      <c r="F12" s="331">
        <v>72.196756800000003</v>
      </c>
      <c r="G12" s="332"/>
      <c r="H12" s="290">
        <v>9278.5811463999999</v>
      </c>
      <c r="I12" s="291"/>
      <c r="J12" s="292">
        <v>9350.7779031999999</v>
      </c>
    </row>
    <row r="13" spans="2:10" ht="15.75" customHeight="1" x14ac:dyDescent="0.25">
      <c r="B13" s="328" t="s">
        <v>89</v>
      </c>
      <c r="C13" s="328"/>
      <c r="D13" s="328"/>
      <c r="E13" s="328"/>
      <c r="F13" s="293"/>
      <c r="G13" s="293"/>
      <c r="H13" s="293"/>
      <c r="I13" s="294"/>
      <c r="J13" s="295"/>
    </row>
    <row r="14" spans="2:10" ht="28.5" customHeight="1" x14ac:dyDescent="0.25">
      <c r="B14" s="328" t="s">
        <v>90</v>
      </c>
      <c r="C14" s="328"/>
      <c r="D14" s="328"/>
      <c r="E14" s="328"/>
      <c r="F14" s="333">
        <v>72.196756800000003</v>
      </c>
      <c r="G14" s="334"/>
      <c r="H14" s="315">
        <v>9278.5811463999999</v>
      </c>
      <c r="I14" s="316"/>
      <c r="J14" s="317">
        <v>9350.7779031999999</v>
      </c>
    </row>
    <row r="15" spans="2:10" x14ac:dyDescent="0.25">
      <c r="B15" s="270"/>
    </row>
    <row r="18" spans="2:10" x14ac:dyDescent="0.25">
      <c r="B18" s="266" t="s">
        <v>91</v>
      </c>
      <c r="C18" s="167" t="s">
        <v>92</v>
      </c>
    </row>
    <row r="22" spans="2:10" x14ac:dyDescent="0.25">
      <c r="B22" s="167" t="s">
        <v>75</v>
      </c>
    </row>
    <row r="23" spans="2:10" x14ac:dyDescent="0.25">
      <c r="B23" s="179" t="s">
        <v>76</v>
      </c>
    </row>
    <row r="25" spans="2:10" x14ac:dyDescent="0.25">
      <c r="B25" s="167" t="s">
        <v>77</v>
      </c>
    </row>
    <row r="26" spans="2:10" x14ac:dyDescent="0.25">
      <c r="B26" s="179" t="s">
        <v>78</v>
      </c>
    </row>
    <row r="28" spans="2:10" x14ac:dyDescent="0.25">
      <c r="G28" s="250"/>
      <c r="H28" s="250"/>
      <c r="I28" s="250"/>
      <c r="J28" s="277"/>
    </row>
    <row r="41" spans="9:9" x14ac:dyDescent="0.25">
      <c r="I41" s="248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3"/>
  <sheetViews>
    <sheetView view="pageBreakPreview" topLeftCell="A41" zoomScale="55" zoomScaleSheetLayoutView="55" workbookViewId="0">
      <selection activeCell="G98" sqref="G98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  <col min="9" max="10" width="9.140625" style="167"/>
  </cols>
  <sheetData>
    <row r="2" spans="1:10" s="302" customFormat="1" x14ac:dyDescent="0.25">
      <c r="A2" s="301"/>
      <c r="B2" s="301"/>
      <c r="C2" s="301"/>
      <c r="D2" s="301"/>
      <c r="E2" s="237"/>
      <c r="F2" s="301"/>
      <c r="G2" s="301"/>
      <c r="H2" s="301"/>
      <c r="I2" s="301"/>
      <c r="J2" s="301"/>
    </row>
    <row r="3" spans="1:10" s="302" customFormat="1" x14ac:dyDescent="0.25">
      <c r="A3" s="301"/>
      <c r="B3" s="301"/>
      <c r="C3" s="301"/>
      <c r="D3" s="301"/>
      <c r="E3" s="237"/>
      <c r="F3" s="301"/>
      <c r="G3" s="301"/>
      <c r="H3" s="301"/>
      <c r="I3" s="301"/>
      <c r="J3" s="301"/>
    </row>
    <row r="4" spans="1:10" x14ac:dyDescent="0.25">
      <c r="A4" s="325" t="s">
        <v>93</v>
      </c>
      <c r="B4" s="325"/>
      <c r="C4" s="325"/>
      <c r="D4" s="325"/>
      <c r="E4" s="325"/>
      <c r="F4" s="325"/>
      <c r="G4" s="325"/>
      <c r="H4" s="325"/>
    </row>
    <row r="5" spans="1:10" x14ac:dyDescent="0.25">
      <c r="A5" s="326" t="s">
        <v>94</v>
      </c>
      <c r="B5" s="326"/>
      <c r="C5" s="326"/>
      <c r="D5" s="326"/>
      <c r="E5" s="326"/>
      <c r="F5" s="326"/>
      <c r="G5" s="326"/>
      <c r="H5" s="326"/>
    </row>
    <row r="6" spans="1:10" x14ac:dyDescent="0.25">
      <c r="A6" s="270"/>
    </row>
    <row r="7" spans="1:10" ht="41.25" customHeight="1" x14ac:dyDescent="0.25">
      <c r="A7" s="329" t="s">
        <v>95</v>
      </c>
      <c r="B7" s="329"/>
      <c r="C7" s="329"/>
      <c r="D7" s="329"/>
      <c r="E7" s="329"/>
      <c r="F7" s="329"/>
      <c r="G7" s="329"/>
      <c r="H7" s="329"/>
    </row>
    <row r="8" spans="1:10" x14ac:dyDescent="0.25">
      <c r="A8" s="238"/>
      <c r="B8" s="238"/>
      <c r="C8" s="238"/>
      <c r="D8" s="238"/>
      <c r="E8" s="168"/>
      <c r="F8" s="238"/>
      <c r="G8" s="238"/>
      <c r="H8" s="238"/>
    </row>
    <row r="9" spans="1:10" ht="38.25" customHeight="1" x14ac:dyDescent="0.25">
      <c r="A9" s="330" t="s">
        <v>96</v>
      </c>
      <c r="B9" s="330" t="s">
        <v>97</v>
      </c>
      <c r="C9" s="330" t="s">
        <v>98</v>
      </c>
      <c r="D9" s="330" t="s">
        <v>99</v>
      </c>
      <c r="E9" s="330" t="s">
        <v>100</v>
      </c>
      <c r="F9" s="330" t="s">
        <v>101</v>
      </c>
      <c r="G9" s="330" t="s">
        <v>102</v>
      </c>
      <c r="H9" s="330"/>
    </row>
    <row r="10" spans="1:10" ht="40.5" customHeight="1" x14ac:dyDescent="0.25">
      <c r="A10" s="330"/>
      <c r="B10" s="330"/>
      <c r="C10" s="330"/>
      <c r="D10" s="330"/>
      <c r="E10" s="330"/>
      <c r="F10" s="330"/>
      <c r="G10" s="278" t="s">
        <v>103</v>
      </c>
      <c r="H10" s="278" t="s">
        <v>104</v>
      </c>
    </row>
    <row r="11" spans="1:10" x14ac:dyDescent="0.25">
      <c r="A11" s="239">
        <v>1</v>
      </c>
      <c r="B11" s="239"/>
      <c r="C11" s="239">
        <v>2</v>
      </c>
      <c r="D11" s="239" t="s">
        <v>105</v>
      </c>
      <c r="E11" s="239">
        <v>4</v>
      </c>
      <c r="F11" s="239">
        <v>5</v>
      </c>
      <c r="G11" s="239">
        <v>6</v>
      </c>
      <c r="H11" s="239">
        <v>7</v>
      </c>
    </row>
    <row r="12" spans="1:10" s="241" customFormat="1" x14ac:dyDescent="0.25">
      <c r="A12" s="335" t="s">
        <v>106</v>
      </c>
      <c r="B12" s="336"/>
      <c r="C12" s="337"/>
      <c r="D12" s="337"/>
      <c r="E12" s="336"/>
      <c r="F12" s="240">
        <f>SUM(F13:F18)</f>
        <v>405.82799999999997</v>
      </c>
      <c r="G12" s="240"/>
      <c r="H12" s="240">
        <f>SUM(H13:H18)</f>
        <v>4029.57</v>
      </c>
      <c r="I12" s="167"/>
    </row>
    <row r="13" spans="1:10" x14ac:dyDescent="0.25">
      <c r="A13" s="242">
        <v>1</v>
      </c>
      <c r="B13" s="243" t="s">
        <v>107</v>
      </c>
      <c r="C13" s="244" t="s">
        <v>108</v>
      </c>
      <c r="D13" s="245" t="s">
        <v>109</v>
      </c>
      <c r="E13" s="246" t="s">
        <v>110</v>
      </c>
      <c r="F13" s="242">
        <v>203</v>
      </c>
      <c r="G13" s="181">
        <v>11.09</v>
      </c>
      <c r="H13" s="181">
        <f t="shared" ref="H13:H18" si="0">ROUND(F13*G13,2)</f>
        <v>2251.27</v>
      </c>
      <c r="J13" s="249"/>
    </row>
    <row r="14" spans="1:10" x14ac:dyDescent="0.25">
      <c r="A14" s="242">
        <v>2</v>
      </c>
      <c r="B14" s="243" t="s">
        <v>107</v>
      </c>
      <c r="C14" s="244" t="s">
        <v>111</v>
      </c>
      <c r="D14" s="245" t="s">
        <v>112</v>
      </c>
      <c r="E14" s="246" t="s">
        <v>110</v>
      </c>
      <c r="F14" s="242">
        <v>155.26</v>
      </c>
      <c r="G14" s="181">
        <v>8.5299999999999994</v>
      </c>
      <c r="H14" s="181">
        <f t="shared" si="0"/>
        <v>1324.37</v>
      </c>
      <c r="J14" s="249"/>
    </row>
    <row r="15" spans="1:10" x14ac:dyDescent="0.25">
      <c r="A15" s="242">
        <v>3</v>
      </c>
      <c r="B15" s="243" t="s">
        <v>107</v>
      </c>
      <c r="C15" s="244" t="s">
        <v>113</v>
      </c>
      <c r="D15" s="245" t="s">
        <v>114</v>
      </c>
      <c r="E15" s="246" t="s">
        <v>110</v>
      </c>
      <c r="F15" s="242">
        <v>34.56</v>
      </c>
      <c r="G15" s="181">
        <v>9.6199999999999992</v>
      </c>
      <c r="H15" s="181">
        <f t="shared" si="0"/>
        <v>332.47</v>
      </c>
      <c r="J15" s="249"/>
    </row>
    <row r="16" spans="1:10" x14ac:dyDescent="0.25">
      <c r="A16" s="242">
        <v>4</v>
      </c>
      <c r="B16" s="243" t="s">
        <v>107</v>
      </c>
      <c r="C16" s="244" t="s">
        <v>115</v>
      </c>
      <c r="D16" s="245" t="s">
        <v>116</v>
      </c>
      <c r="E16" s="246" t="s">
        <v>110</v>
      </c>
      <c r="F16" s="242">
        <v>11.858000000000001</v>
      </c>
      <c r="G16" s="181">
        <v>9.4</v>
      </c>
      <c r="H16" s="181">
        <f t="shared" si="0"/>
        <v>111.47</v>
      </c>
      <c r="J16" s="249"/>
    </row>
    <row r="17" spans="1:12" x14ac:dyDescent="0.25">
      <c r="A17" s="242">
        <v>5</v>
      </c>
      <c r="B17" s="243" t="s">
        <v>107</v>
      </c>
      <c r="C17" s="244" t="s">
        <v>117</v>
      </c>
      <c r="D17" s="245" t="s">
        <v>118</v>
      </c>
      <c r="E17" s="246" t="s">
        <v>110</v>
      </c>
      <c r="F17" s="242">
        <v>1.03</v>
      </c>
      <c r="G17" s="181">
        <v>8.64</v>
      </c>
      <c r="H17" s="181">
        <f t="shared" si="0"/>
        <v>8.9</v>
      </c>
      <c r="J17" s="249"/>
    </row>
    <row r="18" spans="1:12" x14ac:dyDescent="0.25">
      <c r="A18" s="242">
        <v>6</v>
      </c>
      <c r="B18" s="243" t="s">
        <v>107</v>
      </c>
      <c r="C18" s="244" t="s">
        <v>119</v>
      </c>
      <c r="D18" s="245" t="s">
        <v>120</v>
      </c>
      <c r="E18" s="246" t="s">
        <v>110</v>
      </c>
      <c r="F18" s="242">
        <v>0.12</v>
      </c>
      <c r="G18" s="181">
        <v>9.07</v>
      </c>
      <c r="H18" s="181">
        <f t="shared" si="0"/>
        <v>1.0900000000000001</v>
      </c>
      <c r="J18" s="249"/>
    </row>
    <row r="19" spans="1:12" x14ac:dyDescent="0.25">
      <c r="A19" s="335" t="s">
        <v>121</v>
      </c>
      <c r="B19" s="336"/>
      <c r="C19" s="337"/>
      <c r="D19" s="337"/>
      <c r="E19" s="336"/>
      <c r="F19" s="296">
        <f>F20</f>
        <v>5.8179999999999996</v>
      </c>
      <c r="G19" s="240"/>
      <c r="H19" s="240">
        <f>H20</f>
        <v>59.25</v>
      </c>
      <c r="L19" s="158"/>
    </row>
    <row r="20" spans="1:12" x14ac:dyDescent="0.25">
      <c r="A20" s="242">
        <v>7</v>
      </c>
      <c r="B20" s="242" t="s">
        <v>107</v>
      </c>
      <c r="C20" s="245">
        <v>2</v>
      </c>
      <c r="D20" s="245" t="s">
        <v>121</v>
      </c>
      <c r="E20" s="246" t="s">
        <v>110</v>
      </c>
      <c r="F20" s="242">
        <v>5.8179999999999996</v>
      </c>
      <c r="G20" s="181"/>
      <c r="H20" s="181">
        <v>59.25</v>
      </c>
    </row>
    <row r="21" spans="1:12" s="241" customFormat="1" x14ac:dyDescent="0.25">
      <c r="A21" s="335" t="s">
        <v>122</v>
      </c>
      <c r="B21" s="336"/>
      <c r="C21" s="337"/>
      <c r="D21" s="337"/>
      <c r="E21" s="336"/>
      <c r="F21" s="296"/>
      <c r="G21" s="240"/>
      <c r="H21" s="240">
        <f>SUM(H22:H25)</f>
        <v>521.04999999999995</v>
      </c>
      <c r="I21" s="167"/>
    </row>
    <row r="22" spans="1:12" x14ac:dyDescent="0.25">
      <c r="A22" s="242">
        <v>8</v>
      </c>
      <c r="B22" s="242" t="s">
        <v>107</v>
      </c>
      <c r="C22" s="245" t="s">
        <v>123</v>
      </c>
      <c r="D22" s="245" t="s">
        <v>124</v>
      </c>
      <c r="E22" s="246" t="s">
        <v>125</v>
      </c>
      <c r="F22" s="242">
        <v>5.4</v>
      </c>
      <c r="G22" s="181">
        <v>89.99</v>
      </c>
      <c r="H22" s="181">
        <f>ROUND(F22*G22,2)</f>
        <v>485.95</v>
      </c>
    </row>
    <row r="23" spans="1:12" x14ac:dyDescent="0.25">
      <c r="A23" s="242">
        <v>9</v>
      </c>
      <c r="B23" s="242" t="s">
        <v>107</v>
      </c>
      <c r="C23" s="245" t="s">
        <v>126</v>
      </c>
      <c r="D23" s="245" t="s">
        <v>127</v>
      </c>
      <c r="E23" s="246" t="s">
        <v>125</v>
      </c>
      <c r="F23" s="242">
        <v>0.374</v>
      </c>
      <c r="G23" s="181">
        <v>65.709999999999994</v>
      </c>
      <c r="H23" s="181">
        <f>ROUND(F23*G23,2)</f>
        <v>24.58</v>
      </c>
    </row>
    <row r="24" spans="1:12" ht="31.5" customHeight="1" x14ac:dyDescent="0.25">
      <c r="A24" s="242">
        <v>10</v>
      </c>
      <c r="B24" s="242" t="s">
        <v>107</v>
      </c>
      <c r="C24" s="245" t="s">
        <v>128</v>
      </c>
      <c r="D24" s="245" t="s">
        <v>129</v>
      </c>
      <c r="E24" s="246" t="s">
        <v>125</v>
      </c>
      <c r="F24" s="242">
        <v>3.2</v>
      </c>
      <c r="G24" s="181">
        <v>1.7</v>
      </c>
      <c r="H24" s="181">
        <f>ROUND(F24*G24,2)</f>
        <v>5.44</v>
      </c>
    </row>
    <row r="25" spans="1:12" ht="31.5" customHeight="1" x14ac:dyDescent="0.25">
      <c r="A25" s="242">
        <v>11</v>
      </c>
      <c r="B25" s="242" t="s">
        <v>107</v>
      </c>
      <c r="C25" s="245" t="s">
        <v>130</v>
      </c>
      <c r="D25" s="245" t="s">
        <v>131</v>
      </c>
      <c r="E25" s="246" t="s">
        <v>125</v>
      </c>
      <c r="F25" s="242">
        <v>4.3999999999999997E-2</v>
      </c>
      <c r="G25" s="181">
        <v>115.4</v>
      </c>
      <c r="H25" s="181">
        <f>ROUND(F25*G25,2)</f>
        <v>5.08</v>
      </c>
    </row>
    <row r="26" spans="1:12" x14ac:dyDescent="0.25">
      <c r="A26" s="335" t="s">
        <v>43</v>
      </c>
      <c r="B26" s="336"/>
      <c r="C26" s="337"/>
      <c r="D26" s="337"/>
      <c r="E26" s="336"/>
      <c r="F26" s="296"/>
      <c r="G26" s="240"/>
      <c r="H26" s="240">
        <f>SUM(H27:H30)</f>
        <v>2025891.08</v>
      </c>
    </row>
    <row r="27" spans="1:12" s="241" customFormat="1" ht="31.5" customHeight="1" x14ac:dyDescent="0.25">
      <c r="A27" s="242">
        <v>12</v>
      </c>
      <c r="B27" s="242" t="s">
        <v>107</v>
      </c>
      <c r="C27" s="245" t="s">
        <v>132</v>
      </c>
      <c r="D27" s="245" t="s">
        <v>133</v>
      </c>
      <c r="E27" s="246" t="s">
        <v>134</v>
      </c>
      <c r="F27" s="242">
        <v>1</v>
      </c>
      <c r="G27" s="181">
        <v>2020059.15</v>
      </c>
      <c r="H27" s="181">
        <f>ROUND(F27*G27,2)</f>
        <v>2020059.15</v>
      </c>
      <c r="I27" s="167"/>
    </row>
    <row r="28" spans="1:12" s="241" customFormat="1" ht="31.5" customHeight="1" x14ac:dyDescent="0.25">
      <c r="A28" s="242">
        <v>13</v>
      </c>
      <c r="B28" s="242" t="s">
        <v>107</v>
      </c>
      <c r="C28" s="245" t="s">
        <v>135</v>
      </c>
      <c r="D28" s="245" t="s">
        <v>136</v>
      </c>
      <c r="E28" s="246" t="s">
        <v>137</v>
      </c>
      <c r="F28" s="242">
        <v>10</v>
      </c>
      <c r="G28" s="181">
        <v>415.4</v>
      </c>
      <c r="H28" s="181">
        <f>ROUND(F28*G28,2)</f>
        <v>4154</v>
      </c>
      <c r="I28" s="167"/>
    </row>
    <row r="29" spans="1:12" s="241" customFormat="1" ht="31.5" customHeight="1" x14ac:dyDescent="0.25">
      <c r="A29" s="242">
        <v>14</v>
      </c>
      <c r="B29" s="242" t="s">
        <v>107</v>
      </c>
      <c r="C29" s="245" t="s">
        <v>138</v>
      </c>
      <c r="D29" s="245" t="s">
        <v>139</v>
      </c>
      <c r="E29" s="246" t="s">
        <v>137</v>
      </c>
      <c r="F29" s="242">
        <v>1</v>
      </c>
      <c r="G29" s="181">
        <v>1161.69</v>
      </c>
      <c r="H29" s="181">
        <f>ROUND(F29*G29,2)</f>
        <v>1161.69</v>
      </c>
      <c r="I29" s="167"/>
    </row>
    <row r="30" spans="1:12" s="241" customFormat="1" ht="47.25" customHeight="1" x14ac:dyDescent="0.25">
      <c r="A30" s="242">
        <v>15</v>
      </c>
      <c r="B30" s="242" t="s">
        <v>107</v>
      </c>
      <c r="C30" s="245" t="s">
        <v>140</v>
      </c>
      <c r="D30" s="245" t="s">
        <v>141</v>
      </c>
      <c r="E30" s="246" t="s">
        <v>137</v>
      </c>
      <c r="F30" s="242">
        <v>1</v>
      </c>
      <c r="G30" s="181">
        <v>516.24</v>
      </c>
      <c r="H30" s="181">
        <f>ROUND(F30*G30,2)</f>
        <v>516.24</v>
      </c>
      <c r="I30" s="167"/>
    </row>
    <row r="31" spans="1:12" x14ac:dyDescent="0.25">
      <c r="A31" s="335" t="s">
        <v>142</v>
      </c>
      <c r="B31" s="336"/>
      <c r="C31" s="337"/>
      <c r="D31" s="337"/>
      <c r="E31" s="336"/>
      <c r="F31" s="296"/>
      <c r="G31" s="240"/>
      <c r="H31" s="240">
        <f>SUM(H32:H56)</f>
        <v>4598.8999999999996</v>
      </c>
    </row>
    <row r="32" spans="1:12" x14ac:dyDescent="0.25">
      <c r="A32" s="242">
        <v>16</v>
      </c>
      <c r="B32" s="242" t="s">
        <v>107</v>
      </c>
      <c r="C32" s="245" t="s">
        <v>143</v>
      </c>
      <c r="D32" s="245" t="s">
        <v>144</v>
      </c>
      <c r="E32" s="246" t="s">
        <v>145</v>
      </c>
      <c r="F32" s="242">
        <f>6/100</f>
        <v>0.06</v>
      </c>
      <c r="G32" s="181">
        <v>25707</v>
      </c>
      <c r="H32" s="181">
        <f t="shared" ref="H32:H56" si="1">ROUND(F32*G32,2)</f>
        <v>1542.42</v>
      </c>
    </row>
    <row r="33" spans="1:8" ht="31.5" customHeight="1" x14ac:dyDescent="0.25">
      <c r="A33" s="242">
        <v>17</v>
      </c>
      <c r="B33" s="242" t="s">
        <v>107</v>
      </c>
      <c r="C33" s="245" t="s">
        <v>146</v>
      </c>
      <c r="D33" s="245" t="s">
        <v>147</v>
      </c>
      <c r="E33" s="246" t="s">
        <v>148</v>
      </c>
      <c r="F33" s="242">
        <v>8.2000000000000003E-2</v>
      </c>
      <c r="G33" s="181">
        <v>9233.2000000000007</v>
      </c>
      <c r="H33" s="181">
        <f t="shared" si="1"/>
        <v>757.12</v>
      </c>
    </row>
    <row r="34" spans="1:8" ht="31.5" customHeight="1" x14ac:dyDescent="0.25">
      <c r="A34" s="242">
        <v>18</v>
      </c>
      <c r="B34" s="242" t="s">
        <v>107</v>
      </c>
      <c r="C34" s="245" t="s">
        <v>146</v>
      </c>
      <c r="D34" s="245" t="s">
        <v>147</v>
      </c>
      <c r="E34" s="246" t="s">
        <v>148</v>
      </c>
      <c r="F34" s="242">
        <v>8.2000000000000003E-2</v>
      </c>
      <c r="G34" s="181">
        <v>9233.2000000000007</v>
      </c>
      <c r="H34" s="181">
        <f t="shared" si="1"/>
        <v>757.12</v>
      </c>
    </row>
    <row r="35" spans="1:8" ht="63" customHeight="1" x14ac:dyDescent="0.25">
      <c r="A35" s="242">
        <v>19</v>
      </c>
      <c r="B35" s="242" t="s">
        <v>107</v>
      </c>
      <c r="C35" s="245" t="s">
        <v>149</v>
      </c>
      <c r="D35" s="245" t="s">
        <v>150</v>
      </c>
      <c r="E35" s="246" t="s">
        <v>148</v>
      </c>
      <c r="F35" s="242">
        <v>1.03</v>
      </c>
      <c r="G35" s="181">
        <v>500</v>
      </c>
      <c r="H35" s="181">
        <f t="shared" si="1"/>
        <v>515</v>
      </c>
    </row>
    <row r="36" spans="1:8" ht="78.75" customHeight="1" x14ac:dyDescent="0.25">
      <c r="A36" s="242">
        <v>20</v>
      </c>
      <c r="B36" s="242" t="s">
        <v>107</v>
      </c>
      <c r="C36" s="245" t="s">
        <v>151</v>
      </c>
      <c r="D36" s="245" t="s">
        <v>152</v>
      </c>
      <c r="E36" s="246" t="s">
        <v>153</v>
      </c>
      <c r="F36" s="242">
        <v>9.6</v>
      </c>
      <c r="G36" s="181">
        <v>22.61</v>
      </c>
      <c r="H36" s="181">
        <f t="shared" si="1"/>
        <v>217.06</v>
      </c>
    </row>
    <row r="37" spans="1:8" ht="31.5" customHeight="1" x14ac:dyDescent="0.25">
      <c r="A37" s="242">
        <v>21</v>
      </c>
      <c r="B37" s="242" t="s">
        <v>107</v>
      </c>
      <c r="C37" s="245" t="s">
        <v>154</v>
      </c>
      <c r="D37" s="245" t="s">
        <v>155</v>
      </c>
      <c r="E37" s="246" t="s">
        <v>148</v>
      </c>
      <c r="F37" s="242">
        <v>6.0999999999999999E-2</v>
      </c>
      <c r="G37" s="181">
        <v>2719.53</v>
      </c>
      <c r="H37" s="181">
        <f t="shared" si="1"/>
        <v>165.89</v>
      </c>
    </row>
    <row r="38" spans="1:8" ht="31.5" customHeight="1" x14ac:dyDescent="0.25">
      <c r="A38" s="242">
        <v>22</v>
      </c>
      <c r="B38" s="242" t="s">
        <v>107</v>
      </c>
      <c r="C38" s="245" t="s">
        <v>156</v>
      </c>
      <c r="D38" s="245" t="s">
        <v>157</v>
      </c>
      <c r="E38" s="246" t="s">
        <v>158</v>
      </c>
      <c r="F38" s="242">
        <v>1.1299999999999999E-3</v>
      </c>
      <c r="G38" s="181">
        <v>114220</v>
      </c>
      <c r="H38" s="181">
        <f t="shared" si="1"/>
        <v>129.07</v>
      </c>
    </row>
    <row r="39" spans="1:8" x14ac:dyDescent="0.25">
      <c r="A39" s="242">
        <v>23</v>
      </c>
      <c r="B39" s="242" t="s">
        <v>107</v>
      </c>
      <c r="C39" s="245" t="s">
        <v>159</v>
      </c>
      <c r="D39" s="245" t="s">
        <v>160</v>
      </c>
      <c r="E39" s="246" t="s">
        <v>145</v>
      </c>
      <c r="F39" s="242">
        <v>0.48</v>
      </c>
      <c r="G39" s="181">
        <v>216</v>
      </c>
      <c r="H39" s="181">
        <f t="shared" si="1"/>
        <v>103.68</v>
      </c>
    </row>
    <row r="40" spans="1:8" ht="31.5" customHeight="1" x14ac:dyDescent="0.25">
      <c r="A40" s="242">
        <v>24</v>
      </c>
      <c r="B40" s="242" t="s">
        <v>107</v>
      </c>
      <c r="C40" s="245" t="s">
        <v>161</v>
      </c>
      <c r="D40" s="245" t="s">
        <v>162</v>
      </c>
      <c r="E40" s="246" t="s">
        <v>163</v>
      </c>
      <c r="F40" s="242">
        <v>80.183800000000005</v>
      </c>
      <c r="G40" s="181">
        <v>1</v>
      </c>
      <c r="H40" s="181">
        <f t="shared" si="1"/>
        <v>80.180000000000007</v>
      </c>
    </row>
    <row r="41" spans="1:8" ht="31.5" customHeight="1" x14ac:dyDescent="0.25">
      <c r="A41" s="242">
        <v>25</v>
      </c>
      <c r="B41" s="242" t="s">
        <v>107</v>
      </c>
      <c r="C41" s="245" t="s">
        <v>164</v>
      </c>
      <c r="D41" s="245" t="s">
        <v>165</v>
      </c>
      <c r="E41" s="246" t="s">
        <v>145</v>
      </c>
      <c r="F41" s="242">
        <v>0.96</v>
      </c>
      <c r="G41" s="181">
        <v>83</v>
      </c>
      <c r="H41" s="181">
        <f t="shared" si="1"/>
        <v>79.680000000000007</v>
      </c>
    </row>
    <row r="42" spans="1:8" ht="31.5" customHeight="1" x14ac:dyDescent="0.25">
      <c r="A42" s="242">
        <v>26</v>
      </c>
      <c r="B42" s="242" t="s">
        <v>107</v>
      </c>
      <c r="C42" s="245" t="s">
        <v>166</v>
      </c>
      <c r="D42" s="245" t="s">
        <v>167</v>
      </c>
      <c r="E42" s="246" t="s">
        <v>168</v>
      </c>
      <c r="F42" s="242">
        <v>1.6E-2</v>
      </c>
      <c r="G42" s="181">
        <v>4949.3999999999996</v>
      </c>
      <c r="H42" s="181">
        <f t="shared" si="1"/>
        <v>79.19</v>
      </c>
    </row>
    <row r="43" spans="1:8" ht="31.5" customHeight="1" x14ac:dyDescent="0.25">
      <c r="A43" s="242">
        <v>27</v>
      </c>
      <c r="B43" s="242" t="s">
        <v>107</v>
      </c>
      <c r="C43" s="245" t="s">
        <v>169</v>
      </c>
      <c r="D43" s="245" t="s">
        <v>170</v>
      </c>
      <c r="E43" s="246" t="s">
        <v>168</v>
      </c>
      <c r="F43" s="242">
        <v>4.8000000000000001E-2</v>
      </c>
      <c r="G43" s="181">
        <v>832.7</v>
      </c>
      <c r="H43" s="181">
        <f t="shared" si="1"/>
        <v>39.97</v>
      </c>
    </row>
    <row r="44" spans="1:8" ht="31.5" customHeight="1" x14ac:dyDescent="0.25">
      <c r="A44" s="242">
        <v>28</v>
      </c>
      <c r="B44" s="242" t="s">
        <v>107</v>
      </c>
      <c r="C44" s="245" t="s">
        <v>171</v>
      </c>
      <c r="D44" s="245" t="s">
        <v>172</v>
      </c>
      <c r="E44" s="246" t="s">
        <v>158</v>
      </c>
      <c r="F44" s="242">
        <v>4.8000000000000001E-4</v>
      </c>
      <c r="G44" s="181">
        <v>65750</v>
      </c>
      <c r="H44" s="181">
        <f t="shared" si="1"/>
        <v>31.56</v>
      </c>
    </row>
    <row r="45" spans="1:8" x14ac:dyDescent="0.25">
      <c r="A45" s="242">
        <v>29</v>
      </c>
      <c r="B45" s="242" t="s">
        <v>107</v>
      </c>
      <c r="C45" s="245" t="s">
        <v>173</v>
      </c>
      <c r="D45" s="245" t="s">
        <v>174</v>
      </c>
      <c r="E45" s="246" t="s">
        <v>145</v>
      </c>
      <c r="F45" s="242">
        <f>6/100</f>
        <v>0.06</v>
      </c>
      <c r="G45" s="181">
        <v>514.25</v>
      </c>
      <c r="H45" s="181">
        <f t="shared" si="1"/>
        <v>30.86</v>
      </c>
    </row>
    <row r="46" spans="1:8" ht="31.5" x14ac:dyDescent="0.25">
      <c r="A46" s="242">
        <v>30</v>
      </c>
      <c r="B46" s="242" t="s">
        <v>107</v>
      </c>
      <c r="C46" s="245" t="s">
        <v>175</v>
      </c>
      <c r="D46" s="245" t="s">
        <v>176</v>
      </c>
      <c r="E46" s="246" t="s">
        <v>177</v>
      </c>
      <c r="F46" s="242">
        <v>0.48</v>
      </c>
      <c r="G46" s="181">
        <v>39.020000000000003</v>
      </c>
      <c r="H46" s="181">
        <f t="shared" si="1"/>
        <v>18.73</v>
      </c>
    </row>
    <row r="47" spans="1:8" x14ac:dyDescent="0.25">
      <c r="A47" s="242">
        <v>31</v>
      </c>
      <c r="B47" s="242" t="s">
        <v>107</v>
      </c>
      <c r="C47" s="245" t="s">
        <v>178</v>
      </c>
      <c r="D47" s="245" t="s">
        <v>179</v>
      </c>
      <c r="E47" s="246" t="s">
        <v>177</v>
      </c>
      <c r="F47" s="242">
        <v>0.48</v>
      </c>
      <c r="G47" s="181">
        <v>27.74</v>
      </c>
      <c r="H47" s="181">
        <f t="shared" si="1"/>
        <v>13.32</v>
      </c>
    </row>
    <row r="48" spans="1:8" x14ac:dyDescent="0.25">
      <c r="A48" s="242">
        <v>32</v>
      </c>
      <c r="B48" s="242" t="s">
        <v>107</v>
      </c>
      <c r="C48" s="245" t="s">
        <v>180</v>
      </c>
      <c r="D48" s="245" t="s">
        <v>181</v>
      </c>
      <c r="E48" s="246" t="s">
        <v>145</v>
      </c>
      <c r="F48" s="242">
        <v>0.11</v>
      </c>
      <c r="G48" s="181">
        <v>110</v>
      </c>
      <c r="H48" s="181">
        <f t="shared" si="1"/>
        <v>12.1</v>
      </c>
    </row>
    <row r="49" spans="1:8" ht="47.25" customHeight="1" x14ac:dyDescent="0.25">
      <c r="A49" s="242">
        <v>33</v>
      </c>
      <c r="B49" s="242" t="s">
        <v>107</v>
      </c>
      <c r="C49" s="245" t="s">
        <v>182</v>
      </c>
      <c r="D49" s="245" t="s">
        <v>183</v>
      </c>
      <c r="E49" s="246" t="s">
        <v>177</v>
      </c>
      <c r="F49" s="242">
        <v>0.35199999999999998</v>
      </c>
      <c r="G49" s="181">
        <v>30.4</v>
      </c>
      <c r="H49" s="181">
        <f t="shared" si="1"/>
        <v>10.7</v>
      </c>
    </row>
    <row r="50" spans="1:8" x14ac:dyDescent="0.25">
      <c r="A50" s="242">
        <v>34</v>
      </c>
      <c r="B50" s="242" t="s">
        <v>107</v>
      </c>
      <c r="C50" s="245" t="s">
        <v>184</v>
      </c>
      <c r="D50" s="245" t="s">
        <v>185</v>
      </c>
      <c r="E50" s="246" t="s">
        <v>186</v>
      </c>
      <c r="F50" s="242">
        <v>0.9</v>
      </c>
      <c r="G50" s="181">
        <v>8.33</v>
      </c>
      <c r="H50" s="181">
        <f t="shared" si="1"/>
        <v>7.5</v>
      </c>
    </row>
    <row r="51" spans="1:8" x14ac:dyDescent="0.25">
      <c r="A51" s="242">
        <v>35</v>
      </c>
      <c r="B51" s="242" t="s">
        <v>107</v>
      </c>
      <c r="C51" s="245" t="s">
        <v>187</v>
      </c>
      <c r="D51" s="245" t="s">
        <v>188</v>
      </c>
      <c r="E51" s="246" t="s">
        <v>189</v>
      </c>
      <c r="F51" s="242">
        <v>2.6839999999999999E-2</v>
      </c>
      <c r="G51" s="181">
        <v>119</v>
      </c>
      <c r="H51" s="181">
        <f t="shared" si="1"/>
        <v>3.19</v>
      </c>
    </row>
    <row r="52" spans="1:8" x14ac:dyDescent="0.25">
      <c r="A52" s="242">
        <v>36</v>
      </c>
      <c r="B52" s="242" t="s">
        <v>107</v>
      </c>
      <c r="C52" s="245" t="s">
        <v>190</v>
      </c>
      <c r="D52" s="245" t="s">
        <v>191</v>
      </c>
      <c r="E52" s="246" t="s">
        <v>158</v>
      </c>
      <c r="F52" s="242">
        <v>1.32E-3</v>
      </c>
      <c r="G52" s="181">
        <v>1820</v>
      </c>
      <c r="H52" s="181">
        <f t="shared" si="1"/>
        <v>2.4</v>
      </c>
    </row>
    <row r="53" spans="1:8" x14ac:dyDescent="0.25">
      <c r="A53" s="242">
        <v>37</v>
      </c>
      <c r="B53" s="242" t="s">
        <v>107</v>
      </c>
      <c r="C53" s="245" t="s">
        <v>192</v>
      </c>
      <c r="D53" s="245" t="s">
        <v>193</v>
      </c>
      <c r="E53" s="246" t="s">
        <v>177</v>
      </c>
      <c r="F53" s="242">
        <v>4.3999999999999997E-2</v>
      </c>
      <c r="G53" s="181">
        <v>28.6</v>
      </c>
      <c r="H53" s="181">
        <f t="shared" si="1"/>
        <v>1.26</v>
      </c>
    </row>
    <row r="54" spans="1:8" x14ac:dyDescent="0.25">
      <c r="A54" s="242">
        <v>38</v>
      </c>
      <c r="B54" s="242" t="s">
        <v>107</v>
      </c>
      <c r="C54" s="245" t="s">
        <v>194</v>
      </c>
      <c r="D54" s="245" t="s">
        <v>195</v>
      </c>
      <c r="E54" s="246" t="s">
        <v>177</v>
      </c>
      <c r="F54" s="242">
        <v>0.05</v>
      </c>
      <c r="G54" s="181">
        <v>16.95</v>
      </c>
      <c r="H54" s="181">
        <f t="shared" si="1"/>
        <v>0.85</v>
      </c>
    </row>
    <row r="55" spans="1:8" x14ac:dyDescent="0.25">
      <c r="A55" s="242">
        <v>39</v>
      </c>
      <c r="B55" s="242" t="s">
        <v>107</v>
      </c>
      <c r="C55" s="245" t="s">
        <v>196</v>
      </c>
      <c r="D55" s="245" t="s">
        <v>197</v>
      </c>
      <c r="E55" s="246" t="s">
        <v>158</v>
      </c>
      <c r="F55" s="242">
        <v>3.9999999999999998E-6</v>
      </c>
      <c r="G55" s="181">
        <v>12430</v>
      </c>
      <c r="H55" s="181">
        <f t="shared" si="1"/>
        <v>0.05</v>
      </c>
    </row>
    <row r="56" spans="1:8" x14ac:dyDescent="0.25">
      <c r="A56" s="242">
        <v>40</v>
      </c>
      <c r="B56" s="242" t="s">
        <v>107</v>
      </c>
      <c r="C56" s="245" t="s">
        <v>198</v>
      </c>
      <c r="D56" s="245" t="s">
        <v>199</v>
      </c>
      <c r="E56" s="246" t="s">
        <v>158</v>
      </c>
      <c r="F56" s="242">
        <v>4.82E-2</v>
      </c>
      <c r="G56" s="181"/>
      <c r="H56" s="181">
        <f t="shared" si="1"/>
        <v>0</v>
      </c>
    </row>
    <row r="59" spans="1:8" x14ac:dyDescent="0.25">
      <c r="B59" s="167" t="s">
        <v>75</v>
      </c>
    </row>
    <row r="60" spans="1:8" x14ac:dyDescent="0.25">
      <c r="B60" s="179" t="s">
        <v>76</v>
      </c>
    </row>
    <row r="62" spans="1:8" x14ac:dyDescent="0.25">
      <c r="B62" s="167" t="s">
        <v>77</v>
      </c>
    </row>
    <row r="63" spans="1:8" x14ac:dyDescent="0.25">
      <c r="B63" s="179" t="s">
        <v>78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workbookViewId="0">
      <selection activeCell="C65" sqref="C6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200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8" t="s">
        <v>201</v>
      </c>
      <c r="C5" s="318"/>
      <c r="D5" s="318"/>
      <c r="E5" s="318"/>
    </row>
    <row r="6" spans="2:5" x14ac:dyDescent="0.25">
      <c r="B6" s="267"/>
      <c r="C6" s="154"/>
      <c r="D6" s="154"/>
      <c r="E6" s="154"/>
    </row>
    <row r="7" spans="2:5" ht="25.5" customHeight="1" x14ac:dyDescent="0.25">
      <c r="B7" s="338" t="s">
        <v>47</v>
      </c>
      <c r="C7" s="338"/>
      <c r="D7" s="338"/>
      <c r="E7" s="338"/>
    </row>
    <row r="8" spans="2:5" x14ac:dyDescent="0.25">
      <c r="B8" s="339" t="s">
        <v>49</v>
      </c>
      <c r="C8" s="339"/>
      <c r="D8" s="339"/>
      <c r="E8" s="339"/>
    </row>
    <row r="9" spans="2:5" x14ac:dyDescent="0.25">
      <c r="B9" s="267"/>
      <c r="C9" s="154"/>
      <c r="D9" s="154"/>
      <c r="E9" s="154"/>
    </row>
    <row r="10" spans="2:5" ht="51" customHeight="1" x14ac:dyDescent="0.25">
      <c r="B10" s="268" t="s">
        <v>202</v>
      </c>
      <c r="C10" s="268" t="s">
        <v>203</v>
      </c>
      <c r="D10" s="268" t="s">
        <v>204</v>
      </c>
      <c r="E10" s="268" t="s">
        <v>205</v>
      </c>
    </row>
    <row r="11" spans="2:5" x14ac:dyDescent="0.25">
      <c r="B11" s="155" t="s">
        <v>206</v>
      </c>
      <c r="C11" s="156">
        <f>'Прил.5 Расчет СМР и ОБ'!J14</f>
        <v>186078.56</v>
      </c>
      <c r="D11" s="157">
        <f t="shared" ref="D11:D18" si="0">C11/$C$24</f>
        <v>0.38232087579772189</v>
      </c>
      <c r="E11" s="157">
        <f t="shared" ref="E11:E18" si="1">C11/$C$40</f>
        <v>1.306209143044927E-2</v>
      </c>
    </row>
    <row r="12" spans="2:5" x14ac:dyDescent="0.25">
      <c r="B12" s="155" t="s">
        <v>207</v>
      </c>
      <c r="C12" s="156">
        <f>'Прил.5 Расчет СМР и ОБ'!J20</f>
        <v>6545.72</v>
      </c>
      <c r="D12" s="157">
        <f t="shared" si="0"/>
        <v>1.3448972321833662E-2</v>
      </c>
      <c r="E12" s="157">
        <f t="shared" si="1"/>
        <v>4.5948761167391021E-4</v>
      </c>
    </row>
    <row r="13" spans="2:5" x14ac:dyDescent="0.25">
      <c r="B13" s="155" t="s">
        <v>208</v>
      </c>
      <c r="C13" s="156">
        <f>'Прил.5 Расчет СМР и ОБ'!J24</f>
        <v>472.70999999999992</v>
      </c>
      <c r="D13" s="157">
        <f t="shared" si="0"/>
        <v>9.7123978817517231E-4</v>
      </c>
      <c r="E13" s="157">
        <f t="shared" si="1"/>
        <v>3.3182658120783356E-5</v>
      </c>
    </row>
    <row r="14" spans="2:5" x14ac:dyDescent="0.25">
      <c r="B14" s="155" t="s">
        <v>209</v>
      </c>
      <c r="C14" s="156">
        <f>C13+C12</f>
        <v>7018.43</v>
      </c>
      <c r="D14" s="157">
        <f t="shared" si="0"/>
        <v>1.4420212110008835E-2</v>
      </c>
      <c r="E14" s="157">
        <f t="shared" si="1"/>
        <v>4.926702697946936E-4</v>
      </c>
    </row>
    <row r="15" spans="2:5" x14ac:dyDescent="0.25">
      <c r="B15" s="155" t="s">
        <v>210</v>
      </c>
      <c r="C15" s="156">
        <f>'Прил.5 Расчет СМР и ОБ'!J16</f>
        <v>2624.21</v>
      </c>
      <c r="D15" s="157">
        <f t="shared" si="0"/>
        <v>5.3917563929833717E-3</v>
      </c>
      <c r="E15" s="157">
        <f t="shared" si="1"/>
        <v>1.8421074922709676E-4</v>
      </c>
    </row>
    <row r="16" spans="2:5" x14ac:dyDescent="0.25">
      <c r="B16" s="155" t="s">
        <v>211</v>
      </c>
      <c r="C16" s="156">
        <f>'Прил.5 Расчет СМР и ОБ'!J44</f>
        <v>31795.040000000001</v>
      </c>
      <c r="D16" s="157">
        <f t="shared" si="0"/>
        <v>6.5326749835250233E-2</v>
      </c>
      <c r="E16" s="157">
        <f t="shared" si="1"/>
        <v>2.2319052743894393E-3</v>
      </c>
    </row>
    <row r="17" spans="2:6" x14ac:dyDescent="0.25">
      <c r="B17" s="155" t="s">
        <v>212</v>
      </c>
      <c r="C17" s="156">
        <f>'Прил.5 Расчет СМР и ОБ'!J64</f>
        <v>5180.03</v>
      </c>
      <c r="D17" s="157">
        <f t="shared" si="0"/>
        <v>1.0642997270929403E-2</v>
      </c>
      <c r="E17" s="157">
        <f t="shared" si="1"/>
        <v>3.6362074960420016E-4</v>
      </c>
    </row>
    <row r="18" spans="2:6" x14ac:dyDescent="0.25">
      <c r="B18" s="155" t="s">
        <v>213</v>
      </c>
      <c r="C18" s="156">
        <f>C17+C16</f>
        <v>36975.07</v>
      </c>
      <c r="D18" s="157">
        <f t="shared" si="0"/>
        <v>7.5969747106179639E-2</v>
      </c>
      <c r="E18" s="157">
        <f t="shared" si="1"/>
        <v>2.5955260239936395E-3</v>
      </c>
    </row>
    <row r="19" spans="2:6" x14ac:dyDescent="0.25">
      <c r="B19" s="155" t="s">
        <v>214</v>
      </c>
      <c r="C19" s="156">
        <f>C18+C14+C11</f>
        <v>230072.06</v>
      </c>
      <c r="D19" s="157"/>
      <c r="E19" s="155"/>
    </row>
    <row r="20" spans="2:6" x14ac:dyDescent="0.25">
      <c r="B20" s="155" t="s">
        <v>215</v>
      </c>
      <c r="C20" s="156">
        <f>ROUND(C21*(C11+C15),2)</f>
        <v>86803.27</v>
      </c>
      <c r="D20" s="157">
        <f>C20/$C$24</f>
        <v>0.17834780217831717</v>
      </c>
      <c r="E20" s="157">
        <f>C20/$C$40</f>
        <v>6.0932987078252017E-3</v>
      </c>
    </row>
    <row r="21" spans="2:6" x14ac:dyDescent="0.25">
      <c r="B21" s="155" t="s">
        <v>216</v>
      </c>
      <c r="C21" s="160">
        <f>'Прил.5 Расчет СМР и ОБ'!D68</f>
        <v>0.46</v>
      </c>
      <c r="D21" s="157"/>
      <c r="E21" s="155"/>
    </row>
    <row r="22" spans="2:6" x14ac:dyDescent="0.25">
      <c r="B22" s="155" t="s">
        <v>217</v>
      </c>
      <c r="C22" s="156">
        <f>ROUND(C23*(C11+C15),2)</f>
        <v>169832.49</v>
      </c>
      <c r="D22" s="157">
        <f>C22/$C$24</f>
        <v>0.34894136280777238</v>
      </c>
      <c r="E22" s="157">
        <f>C22/$C$40</f>
        <v>1.1921671751118782E-2</v>
      </c>
    </row>
    <row r="23" spans="2:6" x14ac:dyDescent="0.25">
      <c r="B23" s="155" t="s">
        <v>218</v>
      </c>
      <c r="C23" s="160">
        <f>'Прил.5 Расчет СМР и ОБ'!D67</f>
        <v>0.9</v>
      </c>
      <c r="D23" s="157"/>
      <c r="E23" s="155"/>
    </row>
    <row r="24" spans="2:6" x14ac:dyDescent="0.25">
      <c r="B24" s="155" t="s">
        <v>219</v>
      </c>
      <c r="C24" s="156">
        <f>C19+C20+C22</f>
        <v>486707.82</v>
      </c>
      <c r="D24" s="157">
        <f>C24/$C$24</f>
        <v>1</v>
      </c>
      <c r="E24" s="157">
        <f>C24/$C$40</f>
        <v>3.4165258183181585E-2</v>
      </c>
    </row>
    <row r="25" spans="2:6" ht="25.5" customHeight="1" x14ac:dyDescent="0.25">
      <c r="B25" s="155" t="s">
        <v>220</v>
      </c>
      <c r="C25" s="156">
        <f>'Прил.5 Расчет СМР и ОБ'!J34</f>
        <v>12682078.140000001</v>
      </c>
      <c r="D25" s="157"/>
      <c r="E25" s="157">
        <f>C25/$C$40</f>
        <v>0.89023939239846883</v>
      </c>
    </row>
    <row r="26" spans="2:6" ht="25.5" customHeight="1" x14ac:dyDescent="0.25">
      <c r="B26" s="155" t="s">
        <v>221</v>
      </c>
      <c r="C26" s="156">
        <f>'Прил.5 Расчет СМР и ОБ'!J35</f>
        <v>12682078.140000001</v>
      </c>
      <c r="D26" s="157"/>
      <c r="E26" s="157">
        <f>C26/$C$40</f>
        <v>0.89023939239846883</v>
      </c>
    </row>
    <row r="27" spans="2:6" x14ac:dyDescent="0.25">
      <c r="B27" s="155" t="s">
        <v>222</v>
      </c>
      <c r="C27" s="159">
        <f>C24+C25</f>
        <v>13168785.960000001</v>
      </c>
      <c r="D27" s="157"/>
      <c r="E27" s="157">
        <f>C27/$C$40</f>
        <v>0.92440465058165044</v>
      </c>
    </row>
    <row r="28" spans="2:6" ht="33" customHeight="1" x14ac:dyDescent="0.25">
      <c r="B28" s="155" t="s">
        <v>223</v>
      </c>
      <c r="C28" s="155"/>
      <c r="D28" s="155"/>
      <c r="E28" s="155"/>
      <c r="F28" s="158"/>
    </row>
    <row r="29" spans="2:6" ht="25.5" customHeight="1" x14ac:dyDescent="0.25">
      <c r="B29" s="155" t="s">
        <v>224</v>
      </c>
      <c r="C29" s="159">
        <f>ROUND(C24*3.9%,2)</f>
        <v>18981.599999999999</v>
      </c>
      <c r="D29" s="155"/>
      <c r="E29" s="157">
        <f t="shared" ref="E29:E38" si="2">C29/$C$40</f>
        <v>1.3324447195647679E-3</v>
      </c>
    </row>
    <row r="30" spans="2:6" ht="38.25" customHeight="1" x14ac:dyDescent="0.25">
      <c r="B30" s="155" t="s">
        <v>225</v>
      </c>
      <c r="C30" s="159">
        <f>ROUND((C24+C29)*2.1%,2)</f>
        <v>10619.48</v>
      </c>
      <c r="D30" s="155"/>
      <c r="E30" s="157">
        <f t="shared" si="2"/>
        <v>7.4545191398636907E-4</v>
      </c>
      <c r="F30" s="158"/>
    </row>
    <row r="31" spans="2:6" x14ac:dyDescent="0.25">
      <c r="B31" s="155" t="s">
        <v>226</v>
      </c>
      <c r="C31" s="300">
        <v>316144</v>
      </c>
      <c r="D31" s="155"/>
      <c r="E31" s="157">
        <f t="shared" si="2"/>
        <v>2.2192249516483544E-2</v>
      </c>
    </row>
    <row r="32" spans="2:6" ht="25.5" customHeight="1" x14ac:dyDescent="0.25">
      <c r="B32" s="155" t="s">
        <v>227</v>
      </c>
      <c r="C32" s="159">
        <v>0</v>
      </c>
      <c r="D32" s="155"/>
      <c r="E32" s="157">
        <f t="shared" si="2"/>
        <v>0</v>
      </c>
      <c r="F32" s="269"/>
    </row>
    <row r="33" spans="2:11" ht="25.5" customHeight="1" x14ac:dyDescent="0.25">
      <c r="B33" s="155" t="s">
        <v>228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229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230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231</v>
      </c>
      <c r="C36" s="159">
        <f>ROUND((C27+C32+C33+C34+C35+C29+C31+C30)*2.14%,2)</f>
        <v>289210.96000000002</v>
      </c>
      <c r="D36" s="155"/>
      <c r="E36" s="157">
        <f t="shared" si="2"/>
        <v>2.0301640351301123E-2</v>
      </c>
      <c r="K36" s="158"/>
    </row>
    <row r="37" spans="2:11" x14ac:dyDescent="0.25">
      <c r="B37" s="155" t="s">
        <v>232</v>
      </c>
      <c r="C37" s="159">
        <f>ROUND((C27+C32+C33+C34+C35+C29+C31+C30)*0.2%,2)</f>
        <v>27029.06</v>
      </c>
      <c r="D37" s="155"/>
      <c r="E37" s="157">
        <f t="shared" si="2"/>
        <v>1.8973494474543396E-3</v>
      </c>
      <c r="K37" s="158"/>
    </row>
    <row r="38" spans="2:11" ht="38.25" customHeight="1" x14ac:dyDescent="0.25">
      <c r="B38" s="155" t="s">
        <v>233</v>
      </c>
      <c r="C38" s="156">
        <f>C27+C32+C33+C34+C35+C29+C31+C30+C36+C37</f>
        <v>13830771.060000002</v>
      </c>
      <c r="D38" s="155"/>
      <c r="E38" s="157">
        <f t="shared" si="2"/>
        <v>0.97087378653044065</v>
      </c>
    </row>
    <row r="39" spans="2:11" ht="13.5" customHeight="1" x14ac:dyDescent="0.25">
      <c r="B39" s="155" t="s">
        <v>234</v>
      </c>
      <c r="C39" s="156">
        <f>ROUND(C38*3%,2)</f>
        <v>414923.13</v>
      </c>
      <c r="D39" s="155"/>
      <c r="E39" s="157">
        <f>C39/$C$38</f>
        <v>2.9999999869855406E-2</v>
      </c>
    </row>
    <row r="40" spans="2:11" x14ac:dyDescent="0.25">
      <c r="B40" s="155" t="s">
        <v>235</v>
      </c>
      <c r="C40" s="156">
        <f>C39+C38</f>
        <v>14245694.190000003</v>
      </c>
      <c r="D40" s="155"/>
      <c r="E40" s="157">
        <f>C40/$C$40</f>
        <v>1</v>
      </c>
    </row>
    <row r="41" spans="2:11" x14ac:dyDescent="0.25">
      <c r="B41" s="155" t="s">
        <v>236</v>
      </c>
      <c r="C41" s="156">
        <f>C40/'Прил.5 Расчет СМР и ОБ'!E71</f>
        <v>14245694.190000003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237</v>
      </c>
      <c r="C43" s="154"/>
      <c r="D43" s="154"/>
      <c r="E43" s="154"/>
    </row>
    <row r="44" spans="2:11" x14ac:dyDescent="0.25">
      <c r="B44" s="163" t="s">
        <v>238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239</v>
      </c>
      <c r="C46" s="154"/>
      <c r="D46" s="154"/>
      <c r="E46" s="154"/>
    </row>
    <row r="47" spans="2:11" x14ac:dyDescent="0.25">
      <c r="B47" s="339" t="s">
        <v>240</v>
      </c>
      <c r="C47" s="33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7"/>
  <sheetViews>
    <sheetView tabSelected="1" view="pageBreakPreview" zoomScale="40" zoomScaleSheetLayoutView="40" workbookViewId="0">
      <selection activeCell="BC84" sqref="BC8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40" t="s">
        <v>241</v>
      </c>
      <c r="I2" s="340"/>
      <c r="J2" s="340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8" t="s">
        <v>242</v>
      </c>
      <c r="B4" s="318"/>
      <c r="C4" s="318"/>
      <c r="D4" s="318"/>
      <c r="E4" s="318"/>
      <c r="F4" s="318"/>
      <c r="G4" s="318"/>
      <c r="H4" s="318"/>
      <c r="I4" s="318"/>
      <c r="J4" s="318"/>
    </row>
    <row r="5" spans="1:14" s="214" customFormat="1" ht="12.75" customHeight="1" x14ac:dyDescent="0.2">
      <c r="A5" s="280"/>
      <c r="B5" s="280"/>
      <c r="C5" s="215"/>
      <c r="D5" s="280"/>
      <c r="E5" s="280"/>
      <c r="F5" s="280"/>
      <c r="G5" s="280"/>
      <c r="H5" s="280"/>
      <c r="I5" s="280"/>
      <c r="J5" s="280"/>
    </row>
    <row r="6" spans="1:14" s="214" customFormat="1" ht="25.5" customHeight="1" x14ac:dyDescent="0.2">
      <c r="A6" s="216" t="s">
        <v>243</v>
      </c>
      <c r="B6" s="217"/>
      <c r="C6" s="217"/>
      <c r="D6" s="346" t="s">
        <v>244</v>
      </c>
      <c r="E6" s="346"/>
      <c r="F6" s="346"/>
      <c r="G6" s="346"/>
      <c r="H6" s="346"/>
      <c r="I6" s="346"/>
      <c r="J6" s="346"/>
    </row>
    <row r="7" spans="1:14" s="214" customFormat="1" ht="12.75" customHeight="1" x14ac:dyDescent="0.2">
      <c r="A7" s="321" t="s">
        <v>49</v>
      </c>
      <c r="B7" s="338"/>
      <c r="C7" s="338"/>
      <c r="D7" s="338"/>
      <c r="E7" s="338"/>
      <c r="F7" s="338"/>
      <c r="G7" s="338"/>
      <c r="H7" s="338"/>
      <c r="I7" s="271"/>
      <c r="J7" s="271"/>
    </row>
    <row r="8" spans="1:14" s="4" customFormat="1" ht="13.5" customHeight="1" x14ac:dyDescent="0.2">
      <c r="A8" s="321"/>
      <c r="B8" s="338"/>
      <c r="C8" s="338"/>
      <c r="D8" s="338"/>
      <c r="E8" s="338"/>
      <c r="F8" s="338"/>
      <c r="G8" s="338"/>
      <c r="H8" s="338"/>
    </row>
    <row r="9" spans="1:14" s="213" customFormat="1" ht="27" customHeight="1" x14ac:dyDescent="0.25">
      <c r="A9" s="343" t="s">
        <v>13</v>
      </c>
      <c r="B9" s="343" t="s">
        <v>98</v>
      </c>
      <c r="C9" s="343" t="s">
        <v>202</v>
      </c>
      <c r="D9" s="343" t="s">
        <v>100</v>
      </c>
      <c r="E9" s="344" t="s">
        <v>245</v>
      </c>
      <c r="F9" s="341" t="s">
        <v>102</v>
      </c>
      <c r="G9" s="342"/>
      <c r="H9" s="344" t="s">
        <v>246</v>
      </c>
      <c r="I9" s="341" t="s">
        <v>247</v>
      </c>
      <c r="J9" s="342"/>
      <c r="K9" s="212"/>
      <c r="L9" s="212"/>
      <c r="M9" s="212"/>
      <c r="N9" s="212"/>
    </row>
    <row r="10" spans="1:14" s="213" customFormat="1" ht="28.5" customHeight="1" x14ac:dyDescent="0.25">
      <c r="A10" s="343"/>
      <c r="B10" s="343"/>
      <c r="C10" s="343"/>
      <c r="D10" s="343"/>
      <c r="E10" s="345"/>
      <c r="F10" s="145" t="s">
        <v>248</v>
      </c>
      <c r="G10" s="145" t="s">
        <v>104</v>
      </c>
      <c r="H10" s="345"/>
      <c r="I10" s="145" t="s">
        <v>248</v>
      </c>
      <c r="J10" s="145" t="s">
        <v>104</v>
      </c>
      <c r="K10" s="212"/>
      <c r="L10" s="212"/>
      <c r="M10" s="212"/>
      <c r="N10" s="212"/>
    </row>
    <row r="11" spans="1:14" s="213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9">
        <v>9</v>
      </c>
      <c r="J11" s="279">
        <v>10</v>
      </c>
      <c r="K11" s="212"/>
      <c r="L11" s="212"/>
      <c r="M11" s="212"/>
      <c r="N11" s="212"/>
    </row>
    <row r="12" spans="1:14" x14ac:dyDescent="0.25">
      <c r="A12" s="2"/>
      <c r="B12" s="351" t="s">
        <v>249</v>
      </c>
      <c r="C12" s="352"/>
      <c r="D12" s="343"/>
      <c r="E12" s="353"/>
      <c r="F12" s="354"/>
      <c r="G12" s="354"/>
      <c r="H12" s="355"/>
      <c r="I12" s="218"/>
      <c r="J12" s="218"/>
    </row>
    <row r="13" spans="1:14" ht="25.5" customHeight="1" x14ac:dyDescent="0.25">
      <c r="A13" s="2">
        <v>1</v>
      </c>
      <c r="B13" s="219" t="s">
        <v>250</v>
      </c>
      <c r="C13" s="220" t="s">
        <v>251</v>
      </c>
      <c r="D13" s="145" t="s">
        <v>252</v>
      </c>
      <c r="E13" s="221">
        <f>G13/F13</f>
        <v>412.86577868852464</v>
      </c>
      <c r="F13" s="182">
        <v>9.76</v>
      </c>
      <c r="G13" s="182">
        <v>4029.57</v>
      </c>
      <c r="H13" s="222">
        <f>G13/$G$14</f>
        <v>1</v>
      </c>
      <c r="I13" s="223">
        <f>ФОТр.тек.!E13</f>
        <v>450.69987855412</v>
      </c>
      <c r="J13" s="223">
        <f>ROUND(I13*E13,2)</f>
        <v>186078.56</v>
      </c>
    </row>
    <row r="14" spans="1:14" s="14" customFormat="1" ht="25.5" customHeight="1" x14ac:dyDescent="0.2">
      <c r="A14" s="2"/>
      <c r="B14" s="2"/>
      <c r="C14" s="281" t="s">
        <v>253</v>
      </c>
      <c r="D14" s="2" t="s">
        <v>252</v>
      </c>
      <c r="E14" s="224">
        <f>SUM(E13:E13)</f>
        <v>412.86577868852464</v>
      </c>
      <c r="F14" s="29"/>
      <c r="G14" s="29">
        <f>SUM(G13:G13)</f>
        <v>4029.57</v>
      </c>
      <c r="H14" s="272">
        <v>1</v>
      </c>
      <c r="I14" s="218"/>
      <c r="J14" s="182">
        <f>SUM(J13:J13)</f>
        <v>186078.56</v>
      </c>
    </row>
    <row r="15" spans="1:14" s="14" customFormat="1" ht="14.25" customHeight="1" x14ac:dyDescent="0.2">
      <c r="A15" s="2"/>
      <c r="B15" s="352" t="s">
        <v>121</v>
      </c>
      <c r="C15" s="352"/>
      <c r="D15" s="343"/>
      <c r="E15" s="353"/>
      <c r="F15" s="354"/>
      <c r="G15" s="354"/>
      <c r="H15" s="355"/>
      <c r="I15" s="218"/>
      <c r="J15" s="218"/>
    </row>
    <row r="16" spans="1:14" s="14" customFormat="1" ht="14.25" customHeight="1" x14ac:dyDescent="0.2">
      <c r="A16" s="2">
        <v>2</v>
      </c>
      <c r="B16" s="2">
        <v>2</v>
      </c>
      <c r="C16" s="9" t="s">
        <v>121</v>
      </c>
      <c r="D16" s="2" t="s">
        <v>252</v>
      </c>
      <c r="E16" s="224">
        <f>Прил.3!F20</f>
        <v>5.8179999999999996</v>
      </c>
      <c r="F16" s="29">
        <f>G16/E16</f>
        <v>10.183911997249915</v>
      </c>
      <c r="G16" s="29">
        <f>Прил.3!H19</f>
        <v>59.25</v>
      </c>
      <c r="H16" s="272">
        <v>1</v>
      </c>
      <c r="I16" s="223">
        <f>ROUND(F16*Прил.10!D11,2)</f>
        <v>451.05</v>
      </c>
      <c r="J16" s="223">
        <f>ROUND(I16*E16,2)</f>
        <v>2624.21</v>
      </c>
    </row>
    <row r="17" spans="1:12" s="14" customFormat="1" ht="14.25" customHeight="1" x14ac:dyDescent="0.2">
      <c r="A17" s="2"/>
      <c r="B17" s="351" t="s">
        <v>122</v>
      </c>
      <c r="C17" s="352"/>
      <c r="D17" s="343"/>
      <c r="E17" s="353"/>
      <c r="F17" s="354"/>
      <c r="G17" s="354"/>
      <c r="H17" s="355"/>
      <c r="I17" s="218"/>
      <c r="J17" s="218"/>
    </row>
    <row r="18" spans="1:12" s="14" customFormat="1" ht="14.25" customHeight="1" x14ac:dyDescent="0.2">
      <c r="A18" s="2"/>
      <c r="B18" s="352" t="s">
        <v>254</v>
      </c>
      <c r="C18" s="352"/>
      <c r="D18" s="343"/>
      <c r="E18" s="353"/>
      <c r="F18" s="354"/>
      <c r="G18" s="354"/>
      <c r="H18" s="355"/>
      <c r="I18" s="218"/>
      <c r="J18" s="218"/>
    </row>
    <row r="19" spans="1:12" s="14" customFormat="1" ht="14.25" customHeight="1" x14ac:dyDescent="0.2">
      <c r="A19" s="2">
        <v>3</v>
      </c>
      <c r="B19" s="251" t="s">
        <v>123</v>
      </c>
      <c r="C19" s="252" t="s">
        <v>124</v>
      </c>
      <c r="D19" s="253" t="s">
        <v>125</v>
      </c>
      <c r="E19" s="224">
        <v>5.4</v>
      </c>
      <c r="F19" s="254">
        <v>89.99</v>
      </c>
      <c r="G19" s="228">
        <f>ROUND(E19*F19,2)</f>
        <v>485.95</v>
      </c>
      <c r="H19" s="255">
        <f>G19/$G$25</f>
        <v>0.93263602341425977</v>
      </c>
      <c r="I19" s="182">
        <f>ROUND(F19*Прил.10!$D$12,2)</f>
        <v>1212.17</v>
      </c>
      <c r="J19" s="182">
        <f>ROUND(I19*E19,2)</f>
        <v>6545.72</v>
      </c>
    </row>
    <row r="20" spans="1:12" s="14" customFormat="1" ht="14.25" customHeight="1" x14ac:dyDescent="0.2">
      <c r="A20" s="2"/>
      <c r="B20" s="2"/>
      <c r="C20" s="9" t="s">
        <v>255</v>
      </c>
      <c r="D20" s="2"/>
      <c r="E20" s="224"/>
      <c r="F20" s="29"/>
      <c r="G20" s="29">
        <f>SUM(G19:G19)</f>
        <v>485.95</v>
      </c>
      <c r="H20" s="272">
        <f>G20/G25</f>
        <v>0.93263602341425977</v>
      </c>
      <c r="I20" s="256"/>
      <c r="J20" s="29">
        <f>SUM(J19:J19)</f>
        <v>6545.72</v>
      </c>
      <c r="K20" s="26"/>
    </row>
    <row r="21" spans="1:12" s="14" customFormat="1" ht="25.5" hidden="1" customHeight="1" outlineLevel="1" x14ac:dyDescent="0.2">
      <c r="A21" s="2">
        <v>4</v>
      </c>
      <c r="B21" s="251" t="s">
        <v>126</v>
      </c>
      <c r="C21" s="252" t="s">
        <v>127</v>
      </c>
      <c r="D21" s="253" t="s">
        <v>125</v>
      </c>
      <c r="E21" s="224">
        <v>0.374</v>
      </c>
      <c r="F21" s="254">
        <v>65.709999999999994</v>
      </c>
      <c r="G21" s="228">
        <f>ROUND(E21*F21,2)</f>
        <v>24.58</v>
      </c>
      <c r="H21" s="255">
        <f>G21/$G$25</f>
        <v>4.7173975626139529E-2</v>
      </c>
      <c r="I21" s="182">
        <f>ROUND(F21*Прил.10!$D$12,2)</f>
        <v>885.11</v>
      </c>
      <c r="J21" s="182">
        <f>ROUND(I21*E21,2)</f>
        <v>331.03</v>
      </c>
    </row>
    <row r="22" spans="1:12" s="14" customFormat="1" ht="25.5" hidden="1" customHeight="1" outlineLevel="1" x14ac:dyDescent="0.2">
      <c r="A22" s="2">
        <v>5</v>
      </c>
      <c r="B22" s="251" t="s">
        <v>128</v>
      </c>
      <c r="C22" s="252" t="s">
        <v>129</v>
      </c>
      <c r="D22" s="253" t="s">
        <v>125</v>
      </c>
      <c r="E22" s="224">
        <v>3.2</v>
      </c>
      <c r="F22" s="254">
        <v>1.7</v>
      </c>
      <c r="G22" s="228">
        <f>ROUND(E22*F22,2)</f>
        <v>5.44</v>
      </c>
      <c r="H22" s="255">
        <f>G22/$G$25</f>
        <v>1.0440456769983689E-2</v>
      </c>
      <c r="I22" s="182">
        <f>ROUND(F22*Прил.10!$D$12,2)</f>
        <v>22.9</v>
      </c>
      <c r="J22" s="182">
        <f>ROUND(I22*E22,2)</f>
        <v>73.28</v>
      </c>
    </row>
    <row r="23" spans="1:12" s="14" customFormat="1" ht="25.5" hidden="1" customHeight="1" outlineLevel="1" x14ac:dyDescent="0.2">
      <c r="A23" s="2">
        <v>6</v>
      </c>
      <c r="B23" s="251" t="s">
        <v>130</v>
      </c>
      <c r="C23" s="252" t="s">
        <v>131</v>
      </c>
      <c r="D23" s="253" t="s">
        <v>125</v>
      </c>
      <c r="E23" s="224">
        <v>4.3999999999999997E-2</v>
      </c>
      <c r="F23" s="254">
        <v>115.4</v>
      </c>
      <c r="G23" s="228">
        <f>ROUND(E23*F23,2)</f>
        <v>5.08</v>
      </c>
      <c r="H23" s="255">
        <f>G23/$G$25</f>
        <v>9.7495441896171195E-3</v>
      </c>
      <c r="I23" s="182">
        <f>ROUND(F23*Прил.10!$D$12,2)</f>
        <v>1554.44</v>
      </c>
      <c r="J23" s="182">
        <f>ROUND(I23*E23,2)</f>
        <v>68.400000000000006</v>
      </c>
    </row>
    <row r="24" spans="1:12" s="14" customFormat="1" ht="14.25" customHeight="1" collapsed="1" x14ac:dyDescent="0.2">
      <c r="A24" s="2"/>
      <c r="B24" s="2"/>
      <c r="C24" s="9" t="s">
        <v>256</v>
      </c>
      <c r="D24" s="2"/>
      <c r="E24" s="282"/>
      <c r="F24" s="29"/>
      <c r="G24" s="256">
        <f>SUM(G21:G23)</f>
        <v>35.1</v>
      </c>
      <c r="H24" s="229">
        <f>G24/G25</f>
        <v>6.7363976585740337E-2</v>
      </c>
      <c r="I24" s="257"/>
      <c r="J24" s="256">
        <f>SUM(J21:J23)</f>
        <v>472.70999999999992</v>
      </c>
    </row>
    <row r="25" spans="1:12" s="14" customFormat="1" ht="25.5" customHeight="1" x14ac:dyDescent="0.2">
      <c r="A25" s="2"/>
      <c r="B25" s="2"/>
      <c r="C25" s="281" t="s">
        <v>257</v>
      </c>
      <c r="D25" s="2"/>
      <c r="E25" s="282"/>
      <c r="F25" s="29"/>
      <c r="G25" s="29">
        <f>G24+G20</f>
        <v>521.04999999999995</v>
      </c>
      <c r="H25" s="258">
        <f>H24+H20</f>
        <v>1</v>
      </c>
      <c r="I25" s="259"/>
      <c r="J25" s="260">
        <f>J24+J20</f>
        <v>7018.43</v>
      </c>
    </row>
    <row r="26" spans="1:12" s="14" customFormat="1" ht="14.25" customHeight="1" x14ac:dyDescent="0.2">
      <c r="A26" s="2"/>
      <c r="B26" s="351" t="s">
        <v>43</v>
      </c>
      <c r="C26" s="351"/>
      <c r="D26" s="356"/>
      <c r="E26" s="357"/>
      <c r="F26" s="358"/>
      <c r="G26" s="358"/>
      <c r="H26" s="359"/>
      <c r="I26" s="218"/>
      <c r="J26" s="218"/>
    </row>
    <row r="27" spans="1:12" x14ac:dyDescent="0.25">
      <c r="A27" s="273"/>
      <c r="B27" s="352" t="s">
        <v>258</v>
      </c>
      <c r="C27" s="352"/>
      <c r="D27" s="343"/>
      <c r="E27" s="353"/>
      <c r="F27" s="354"/>
      <c r="G27" s="354"/>
      <c r="H27" s="355"/>
      <c r="I27" s="261"/>
      <c r="J27" s="261"/>
      <c r="K27" s="262"/>
      <c r="L27" s="262"/>
    </row>
    <row r="28" spans="1:12" s="14" customFormat="1" ht="25.5" customHeight="1" x14ac:dyDescent="0.2">
      <c r="A28" s="2">
        <v>7</v>
      </c>
      <c r="B28" s="298" t="s">
        <v>259</v>
      </c>
      <c r="C28" s="299" t="s">
        <v>133</v>
      </c>
      <c r="D28" s="225" t="s">
        <v>134</v>
      </c>
      <c r="E28" s="226">
        <v>1</v>
      </c>
      <c r="F28" s="227">
        <f>ROUND(I28/Прил.10!$D$14,2)</f>
        <v>2020059.15</v>
      </c>
      <c r="G28" s="228">
        <f>ROUND(E28*F28,2)</f>
        <v>2020059.15</v>
      </c>
      <c r="H28" s="229">
        <f t="shared" ref="H28:H33" si="0">G28/$G$34</f>
        <v>0.99712130130905163</v>
      </c>
      <c r="I28" s="182">
        <v>12645570.300000001</v>
      </c>
      <c r="J28" s="182">
        <f>ROUND(I28*E28,2)</f>
        <v>12645570.300000001</v>
      </c>
    </row>
    <row r="29" spans="1:12" x14ac:dyDescent="0.25">
      <c r="A29" s="2"/>
      <c r="B29" s="273"/>
      <c r="C29" s="136" t="s">
        <v>260</v>
      </c>
      <c r="D29" s="253"/>
      <c r="E29" s="224"/>
      <c r="F29" s="275"/>
      <c r="G29" s="206">
        <f>SUM(G28:G28)</f>
        <v>2020059.15</v>
      </c>
      <c r="H29" s="229">
        <f t="shared" si="0"/>
        <v>0.99712130130905163</v>
      </c>
      <c r="I29" s="263"/>
      <c r="J29" s="206">
        <f>SUM(J28:J28)</f>
        <v>12645570.300000001</v>
      </c>
      <c r="K29" s="262"/>
      <c r="L29" s="262"/>
    </row>
    <row r="30" spans="1:12" s="14" customFormat="1" ht="38.25" hidden="1" customHeight="1" outlineLevel="1" x14ac:dyDescent="0.2">
      <c r="A30" s="2">
        <v>8</v>
      </c>
      <c r="B30" s="225" t="s">
        <v>135</v>
      </c>
      <c r="C30" s="151" t="s">
        <v>136</v>
      </c>
      <c r="D30" s="225" t="s">
        <v>137</v>
      </c>
      <c r="E30" s="226">
        <v>10</v>
      </c>
      <c r="F30" s="227">
        <v>415.4</v>
      </c>
      <c r="G30" s="228">
        <f>ROUND(E30*F30,2)</f>
        <v>4154</v>
      </c>
      <c r="H30" s="229">
        <f t="shared" si="0"/>
        <v>2.0504557431587096E-3</v>
      </c>
      <c r="I30" s="182">
        <f>ROUND(F30*Прил.10!$D$14,2)</f>
        <v>2600.4</v>
      </c>
      <c r="J30" s="182">
        <f>ROUND(I30*E30,2)</f>
        <v>26004</v>
      </c>
    </row>
    <row r="31" spans="1:12" s="14" customFormat="1" ht="25.5" hidden="1" customHeight="1" outlineLevel="1" x14ac:dyDescent="0.2">
      <c r="A31" s="2">
        <v>9</v>
      </c>
      <c r="B31" s="225" t="s">
        <v>138</v>
      </c>
      <c r="C31" s="151" t="s">
        <v>139</v>
      </c>
      <c r="D31" s="225" t="s">
        <v>137</v>
      </c>
      <c r="E31" s="226">
        <v>1</v>
      </c>
      <c r="F31" s="227">
        <v>1161.69</v>
      </c>
      <c r="G31" s="228">
        <f>ROUND(E31*F31,2)</f>
        <v>1161.69</v>
      </c>
      <c r="H31" s="229">
        <f t="shared" si="0"/>
        <v>5.734217458522006E-4</v>
      </c>
      <c r="I31" s="182">
        <f>ROUND(F31*Прил.10!$D$14,2)</f>
        <v>7272.18</v>
      </c>
      <c r="J31" s="182">
        <f>ROUND(I31*E31,2)</f>
        <v>7272.18</v>
      </c>
    </row>
    <row r="32" spans="1:12" s="14" customFormat="1" ht="51" hidden="1" customHeight="1" outlineLevel="1" x14ac:dyDescent="0.2">
      <c r="A32" s="2">
        <v>10</v>
      </c>
      <c r="B32" s="225" t="s">
        <v>140</v>
      </c>
      <c r="C32" s="151" t="s">
        <v>141</v>
      </c>
      <c r="D32" s="225" t="s">
        <v>137</v>
      </c>
      <c r="E32" s="226">
        <v>1</v>
      </c>
      <c r="F32" s="227">
        <v>516.24</v>
      </c>
      <c r="G32" s="228">
        <f>ROUND(E32*F32,2)</f>
        <v>516.24</v>
      </c>
      <c r="H32" s="229">
        <f t="shared" si="0"/>
        <v>2.548212019374704E-4</v>
      </c>
      <c r="I32" s="182">
        <f>ROUND(F32*Прил.10!$D$14,2)</f>
        <v>3231.66</v>
      </c>
      <c r="J32" s="182">
        <f>ROUND(I32*E32,2)</f>
        <v>3231.66</v>
      </c>
    </row>
    <row r="33" spans="1:12" collapsed="1" x14ac:dyDescent="0.25">
      <c r="A33" s="2"/>
      <c r="B33" s="273"/>
      <c r="C33" s="136" t="s">
        <v>261</v>
      </c>
      <c r="D33" s="273"/>
      <c r="E33" s="224"/>
      <c r="F33" s="275"/>
      <c r="G33" s="206">
        <f>SUM(G30:G32)</f>
        <v>5831.93</v>
      </c>
      <c r="H33" s="229">
        <f t="shared" si="0"/>
        <v>2.8786986909483804E-3</v>
      </c>
      <c r="I33" s="263"/>
      <c r="J33" s="206">
        <f>SUM(J30:J32)</f>
        <v>36507.839999999997</v>
      </c>
      <c r="K33" s="262"/>
      <c r="L33" s="262"/>
    </row>
    <row r="34" spans="1:12" x14ac:dyDescent="0.25">
      <c r="A34" s="273"/>
      <c r="B34" s="273"/>
      <c r="C34" s="204" t="s">
        <v>262</v>
      </c>
      <c r="D34" s="273"/>
      <c r="E34" s="274"/>
      <c r="F34" s="275"/>
      <c r="G34" s="206">
        <f>G29+G33</f>
        <v>2025891.0799999998</v>
      </c>
      <c r="H34" s="272">
        <f>H33+H29</f>
        <v>1</v>
      </c>
      <c r="I34" s="263"/>
      <c r="J34" s="206">
        <f>J33+J29</f>
        <v>12682078.140000001</v>
      </c>
      <c r="K34" s="262"/>
      <c r="L34" s="262"/>
    </row>
    <row r="35" spans="1:12" ht="25.5" customHeight="1" x14ac:dyDescent="0.25">
      <c r="A35" s="273"/>
      <c r="B35" s="273"/>
      <c r="C35" s="136" t="s">
        <v>263</v>
      </c>
      <c r="D35" s="273"/>
      <c r="E35" s="264"/>
      <c r="F35" s="275"/>
      <c r="G35" s="206">
        <f>'Прил.6 Расчет ОБ'!G16</f>
        <v>2025891.0799999998</v>
      </c>
      <c r="H35" s="276"/>
      <c r="I35" s="263"/>
      <c r="J35" s="206">
        <f>J34</f>
        <v>12682078.140000001</v>
      </c>
      <c r="K35" s="262"/>
      <c r="L35" s="262"/>
    </row>
    <row r="36" spans="1:12" s="14" customFormat="1" ht="14.25" customHeight="1" x14ac:dyDescent="0.2">
      <c r="A36" s="2"/>
      <c r="B36" s="351" t="s">
        <v>142</v>
      </c>
      <c r="C36" s="351"/>
      <c r="D36" s="356"/>
      <c r="E36" s="357"/>
      <c r="F36" s="358"/>
      <c r="G36" s="358"/>
      <c r="H36" s="359"/>
      <c r="I36" s="218"/>
      <c r="J36" s="218"/>
    </row>
    <row r="37" spans="1:12" s="14" customFormat="1" ht="14.25" customHeight="1" x14ac:dyDescent="0.2">
      <c r="A37" s="297"/>
      <c r="B37" s="347" t="s">
        <v>264</v>
      </c>
      <c r="C37" s="347"/>
      <c r="D37" s="344"/>
      <c r="E37" s="348"/>
      <c r="F37" s="349"/>
      <c r="G37" s="349"/>
      <c r="H37" s="350"/>
      <c r="I37" s="265"/>
      <c r="J37" s="265"/>
    </row>
    <row r="38" spans="1:12" s="14" customFormat="1" ht="14.25" customHeight="1" x14ac:dyDescent="0.2">
      <c r="A38" s="225">
        <v>11</v>
      </c>
      <c r="B38" s="225" t="s">
        <v>143</v>
      </c>
      <c r="C38" s="151" t="s">
        <v>144</v>
      </c>
      <c r="D38" s="225" t="s">
        <v>145</v>
      </c>
      <c r="E38" s="226">
        <v>0.06</v>
      </c>
      <c r="F38" s="227">
        <v>25707</v>
      </c>
      <c r="G38" s="228">
        <f t="shared" ref="G38:G43" si="1">ROUND(E38*F38,2)</f>
        <v>1542.42</v>
      </c>
      <c r="H38" s="229">
        <f t="shared" ref="H38:H65" si="2">G38/$G$65</f>
        <v>0.33538889734501731</v>
      </c>
      <c r="I38" s="182">
        <f>ROUND(F38*Прил.10!$D$13,2)</f>
        <v>206684.28</v>
      </c>
      <c r="J38" s="182">
        <f t="shared" ref="J38:J43" si="3">ROUND(I38*E38,2)</f>
        <v>12401.06</v>
      </c>
    </row>
    <row r="39" spans="1:12" s="14" customFormat="1" ht="25.5" customHeight="1" x14ac:dyDescent="0.2">
      <c r="A39" s="225">
        <v>12</v>
      </c>
      <c r="B39" s="225" t="s">
        <v>146</v>
      </c>
      <c r="C39" s="151" t="s">
        <v>147</v>
      </c>
      <c r="D39" s="225" t="s">
        <v>148</v>
      </c>
      <c r="E39" s="226">
        <v>8.2000000000000003E-2</v>
      </c>
      <c r="F39" s="227">
        <v>9233.2000000000007</v>
      </c>
      <c r="G39" s="228">
        <f t="shared" si="1"/>
        <v>757.12</v>
      </c>
      <c r="H39" s="229">
        <f t="shared" si="2"/>
        <v>0.16463067255213204</v>
      </c>
      <c r="I39" s="182">
        <f>ROUND(F39*Прил.10!$D$13,2)</f>
        <v>74234.929999999993</v>
      </c>
      <c r="J39" s="182">
        <f t="shared" si="3"/>
        <v>6087.26</v>
      </c>
    </row>
    <row r="40" spans="1:12" s="14" customFormat="1" ht="25.5" customHeight="1" x14ac:dyDescent="0.2">
      <c r="A40" s="225">
        <v>13</v>
      </c>
      <c r="B40" s="225" t="s">
        <v>146</v>
      </c>
      <c r="C40" s="151" t="s">
        <v>147</v>
      </c>
      <c r="D40" s="225" t="s">
        <v>148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ROUND(F40*Прил.10!$D$13,2)</f>
        <v>74234.929999999993</v>
      </c>
      <c r="J40" s="182">
        <f t="shared" si="3"/>
        <v>6087.26</v>
      </c>
    </row>
    <row r="41" spans="1:12" s="14" customFormat="1" ht="63.75" customHeight="1" x14ac:dyDescent="0.2">
      <c r="A41" s="225">
        <v>14</v>
      </c>
      <c r="B41" s="225" t="s">
        <v>149</v>
      </c>
      <c r="C41" s="151" t="s">
        <v>150</v>
      </c>
      <c r="D41" s="225" t="s">
        <v>148</v>
      </c>
      <c r="E41" s="226">
        <v>1.03</v>
      </c>
      <c r="F41" s="227">
        <v>500</v>
      </c>
      <c r="G41" s="228">
        <f t="shared" si="1"/>
        <v>515</v>
      </c>
      <c r="H41" s="229">
        <f t="shared" si="2"/>
        <v>0.11198330035443259</v>
      </c>
      <c r="I41" s="182">
        <f>ROUND(F41*Прил.10!$D$13,2)</f>
        <v>4020</v>
      </c>
      <c r="J41" s="182">
        <f t="shared" si="3"/>
        <v>4140.6000000000004</v>
      </c>
    </row>
    <row r="42" spans="1:12" s="14" customFormat="1" ht="63.75" customHeight="1" x14ac:dyDescent="0.2">
      <c r="A42" s="225">
        <v>15</v>
      </c>
      <c r="B42" s="225" t="s">
        <v>151</v>
      </c>
      <c r="C42" s="151" t="s">
        <v>152</v>
      </c>
      <c r="D42" s="225" t="s">
        <v>153</v>
      </c>
      <c r="E42" s="226">
        <v>9.6</v>
      </c>
      <c r="F42" s="227">
        <v>22.61</v>
      </c>
      <c r="G42" s="228">
        <f t="shared" si="1"/>
        <v>217.06</v>
      </c>
      <c r="H42" s="229">
        <f t="shared" si="2"/>
        <v>4.7198243058122598E-2</v>
      </c>
      <c r="I42" s="182">
        <f>ROUND(F42*Прил.10!$D$13,2)</f>
        <v>181.78</v>
      </c>
      <c r="J42" s="182">
        <f t="shared" si="3"/>
        <v>1745.09</v>
      </c>
    </row>
    <row r="43" spans="1:12" s="14" customFormat="1" ht="25.5" customHeight="1" x14ac:dyDescent="0.2">
      <c r="A43" s="225">
        <v>16</v>
      </c>
      <c r="B43" s="225" t="s">
        <v>154</v>
      </c>
      <c r="C43" s="151" t="s">
        <v>155</v>
      </c>
      <c r="D43" s="225" t="s">
        <v>148</v>
      </c>
      <c r="E43" s="226">
        <v>6.0999999999999999E-2</v>
      </c>
      <c r="F43" s="227">
        <v>2719.53</v>
      </c>
      <c r="G43" s="228">
        <f t="shared" si="1"/>
        <v>165.89</v>
      </c>
      <c r="H43" s="229">
        <f t="shared" si="2"/>
        <v>3.6071669312226835E-2</v>
      </c>
      <c r="I43" s="182">
        <f>ROUND(F43*Прил.10!$D$13,2)</f>
        <v>21865.02</v>
      </c>
      <c r="J43" s="182">
        <f t="shared" si="3"/>
        <v>1333.77</v>
      </c>
    </row>
    <row r="44" spans="1:12" s="14" customFormat="1" ht="14.25" customHeight="1" x14ac:dyDescent="0.2">
      <c r="A44" s="225"/>
      <c r="B44" s="230"/>
      <c r="C44" s="231" t="s">
        <v>265</v>
      </c>
      <c r="D44" s="232"/>
      <c r="E44" s="233"/>
      <c r="F44" s="234"/>
      <c r="G44" s="235">
        <f>SUM(G38:G43)</f>
        <v>3954.6099999999997</v>
      </c>
      <c r="H44" s="229">
        <f t="shared" si="2"/>
        <v>0.85990345517406341</v>
      </c>
      <c r="I44" s="182"/>
      <c r="J44" s="235">
        <f>SUM(J38:J43)</f>
        <v>31795.040000000001</v>
      </c>
      <c r="K44" s="26"/>
      <c r="L44" s="26"/>
    </row>
    <row r="45" spans="1:12" s="14" customFormat="1" ht="25.5" hidden="1" customHeight="1" outlineLevel="1" x14ac:dyDescent="0.2">
      <c r="A45" s="225">
        <v>17</v>
      </c>
      <c r="B45" s="225" t="s">
        <v>156</v>
      </c>
      <c r="C45" s="151" t="s">
        <v>157</v>
      </c>
      <c r="D45" s="225" t="s">
        <v>158</v>
      </c>
      <c r="E45" s="226">
        <v>1.1299999999999999E-3</v>
      </c>
      <c r="F45" s="227">
        <v>114220</v>
      </c>
      <c r="G45" s="228">
        <f t="shared" ref="G45:G63" si="4">ROUND(E45*F45,2)</f>
        <v>129.07</v>
      </c>
      <c r="H45" s="229">
        <f t="shared" si="2"/>
        <v>2.8065406945139055E-2</v>
      </c>
      <c r="I45" s="182">
        <f>ROUND(F45*Прил.10!$D$13,2)</f>
        <v>918328.8</v>
      </c>
      <c r="J45" s="182">
        <f t="shared" ref="J45:J63" si="5">ROUND(I45*E45,2)</f>
        <v>1037.71</v>
      </c>
    </row>
    <row r="46" spans="1:12" s="14" customFormat="1" ht="14.25" hidden="1" customHeight="1" outlineLevel="1" x14ac:dyDescent="0.2">
      <c r="A46" s="225">
        <v>18</v>
      </c>
      <c r="B46" s="225" t="s">
        <v>159</v>
      </c>
      <c r="C46" s="151" t="s">
        <v>160</v>
      </c>
      <c r="D46" s="225" t="s">
        <v>145</v>
      </c>
      <c r="E46" s="226">
        <v>0.48</v>
      </c>
      <c r="F46" s="227">
        <v>216</v>
      </c>
      <c r="G46" s="228">
        <f t="shared" si="4"/>
        <v>103.68</v>
      </c>
      <c r="H46" s="229">
        <f t="shared" si="2"/>
        <v>2.2544521516014701E-2</v>
      </c>
      <c r="I46" s="182">
        <f>ROUND(F46*Прил.10!$D$13,2)</f>
        <v>1736.64</v>
      </c>
      <c r="J46" s="182">
        <f t="shared" si="5"/>
        <v>833.59</v>
      </c>
    </row>
    <row r="47" spans="1:12" s="14" customFormat="1" ht="25.5" hidden="1" customHeight="1" outlineLevel="1" x14ac:dyDescent="0.2">
      <c r="A47" s="225">
        <v>19</v>
      </c>
      <c r="B47" s="225" t="s">
        <v>161</v>
      </c>
      <c r="C47" s="151" t="s">
        <v>162</v>
      </c>
      <c r="D47" s="225" t="s">
        <v>163</v>
      </c>
      <c r="E47" s="226">
        <v>80.183800000000005</v>
      </c>
      <c r="F47" s="227">
        <v>1</v>
      </c>
      <c r="G47" s="228">
        <f t="shared" si="4"/>
        <v>80.180000000000007</v>
      </c>
      <c r="H47" s="229">
        <f t="shared" si="2"/>
        <v>1.7434603927026032E-2</v>
      </c>
      <c r="I47" s="182">
        <f>ROUND(F47*Прил.10!$D$13,2)</f>
        <v>8.0399999999999991</v>
      </c>
      <c r="J47" s="182">
        <f t="shared" si="5"/>
        <v>644.67999999999995</v>
      </c>
    </row>
    <row r="48" spans="1:12" s="14" customFormat="1" ht="25.5" hidden="1" customHeight="1" outlineLevel="1" x14ac:dyDescent="0.2">
      <c r="A48" s="225">
        <v>20</v>
      </c>
      <c r="B48" s="225" t="s">
        <v>164</v>
      </c>
      <c r="C48" s="151" t="s">
        <v>165</v>
      </c>
      <c r="D48" s="225" t="s">
        <v>145</v>
      </c>
      <c r="E48" s="226">
        <v>0.96</v>
      </c>
      <c r="F48" s="227">
        <v>83</v>
      </c>
      <c r="G48" s="228">
        <f t="shared" si="4"/>
        <v>79.680000000000007</v>
      </c>
      <c r="H48" s="229">
        <f t="shared" si="2"/>
        <v>1.7325882276196483E-2</v>
      </c>
      <c r="I48" s="182">
        <f>ROUND(F48*Прил.10!$D$13,2)</f>
        <v>667.32</v>
      </c>
      <c r="J48" s="182">
        <f t="shared" si="5"/>
        <v>640.63</v>
      </c>
    </row>
    <row r="49" spans="1:10" s="14" customFormat="1" ht="25.5" hidden="1" customHeight="1" outlineLevel="1" x14ac:dyDescent="0.2">
      <c r="A49" s="225">
        <v>21</v>
      </c>
      <c r="B49" s="225" t="s">
        <v>166</v>
      </c>
      <c r="C49" s="151" t="s">
        <v>167</v>
      </c>
      <c r="D49" s="225" t="s">
        <v>168</v>
      </c>
      <c r="E49" s="226">
        <v>1.6E-2</v>
      </c>
      <c r="F49" s="227">
        <v>4949.3999999999996</v>
      </c>
      <c r="G49" s="228">
        <f t="shared" si="4"/>
        <v>79.19</v>
      </c>
      <c r="H49" s="229">
        <f t="shared" si="2"/>
        <v>1.7219335058383526E-2</v>
      </c>
      <c r="I49" s="182">
        <f>ROUND(F49*Прил.10!$D$13,2)</f>
        <v>39793.18</v>
      </c>
      <c r="J49" s="182">
        <f t="shared" si="5"/>
        <v>636.69000000000005</v>
      </c>
    </row>
    <row r="50" spans="1:10" s="14" customFormat="1" ht="38.25" hidden="1" customHeight="1" outlineLevel="1" x14ac:dyDescent="0.2">
      <c r="A50" s="225">
        <v>22</v>
      </c>
      <c r="B50" s="225" t="s">
        <v>169</v>
      </c>
      <c r="C50" s="151" t="s">
        <v>170</v>
      </c>
      <c r="D50" s="225" t="s">
        <v>168</v>
      </c>
      <c r="E50" s="226">
        <v>4.8000000000000001E-2</v>
      </c>
      <c r="F50" s="227">
        <v>832.7</v>
      </c>
      <c r="G50" s="228">
        <f t="shared" si="4"/>
        <v>39.97</v>
      </c>
      <c r="H50" s="229">
        <f t="shared" si="2"/>
        <v>8.6912087673139231E-3</v>
      </c>
      <c r="I50" s="182">
        <f>ROUND(F50*Прил.10!$D$13,2)</f>
        <v>6694.91</v>
      </c>
      <c r="J50" s="182">
        <f t="shared" si="5"/>
        <v>321.36</v>
      </c>
    </row>
    <row r="51" spans="1:10" s="14" customFormat="1" ht="25.5" hidden="1" customHeight="1" outlineLevel="1" x14ac:dyDescent="0.2">
      <c r="A51" s="225">
        <v>23</v>
      </c>
      <c r="B51" s="225" t="s">
        <v>171</v>
      </c>
      <c r="C51" s="151" t="s">
        <v>172</v>
      </c>
      <c r="D51" s="225" t="s">
        <v>158</v>
      </c>
      <c r="E51" s="226">
        <v>4.8000000000000001E-4</v>
      </c>
      <c r="F51" s="227">
        <v>65750</v>
      </c>
      <c r="G51" s="228">
        <f t="shared" si="4"/>
        <v>31.56</v>
      </c>
      <c r="H51" s="229">
        <f t="shared" si="2"/>
        <v>6.8625106003609559E-3</v>
      </c>
      <c r="I51" s="182">
        <f>ROUND(F51*Прил.10!$D$13,2)</f>
        <v>528630</v>
      </c>
      <c r="J51" s="182">
        <f t="shared" si="5"/>
        <v>253.74</v>
      </c>
    </row>
    <row r="52" spans="1:10" s="14" customFormat="1" ht="14.25" hidden="1" customHeight="1" outlineLevel="1" x14ac:dyDescent="0.2">
      <c r="A52" s="225">
        <v>24</v>
      </c>
      <c r="B52" s="225" t="s">
        <v>173</v>
      </c>
      <c r="C52" s="151" t="s">
        <v>174</v>
      </c>
      <c r="D52" s="225" t="s">
        <v>145</v>
      </c>
      <c r="E52" s="226">
        <v>0.06</v>
      </c>
      <c r="F52" s="227">
        <v>514.25</v>
      </c>
      <c r="G52" s="228">
        <f t="shared" si="4"/>
        <v>30.86</v>
      </c>
      <c r="H52" s="229">
        <f t="shared" si="2"/>
        <v>6.710300289199592E-3</v>
      </c>
      <c r="I52" s="182">
        <f>ROUND(F52*Прил.10!$D$13,2)</f>
        <v>4134.57</v>
      </c>
      <c r="J52" s="182">
        <f t="shared" si="5"/>
        <v>248.07</v>
      </c>
    </row>
    <row r="53" spans="1:10" s="14" customFormat="1" ht="25.5" hidden="1" customHeight="1" outlineLevel="1" x14ac:dyDescent="0.2">
      <c r="A53" s="225">
        <v>25</v>
      </c>
      <c r="B53" s="225" t="s">
        <v>175</v>
      </c>
      <c r="C53" s="151" t="s">
        <v>176</v>
      </c>
      <c r="D53" s="225" t="s">
        <v>177</v>
      </c>
      <c r="E53" s="226">
        <v>0.48</v>
      </c>
      <c r="F53" s="227">
        <v>39.020000000000003</v>
      </c>
      <c r="G53" s="228">
        <f t="shared" si="4"/>
        <v>18.73</v>
      </c>
      <c r="H53" s="229">
        <f t="shared" si="2"/>
        <v>4.0727130400748006E-3</v>
      </c>
      <c r="I53" s="182">
        <f>ROUND(F53*Прил.10!$D$13,2)</f>
        <v>313.72000000000003</v>
      </c>
      <c r="J53" s="182">
        <f t="shared" si="5"/>
        <v>150.59</v>
      </c>
    </row>
    <row r="54" spans="1:10" s="14" customFormat="1" ht="14.25" hidden="1" customHeight="1" outlineLevel="1" x14ac:dyDescent="0.2">
      <c r="A54" s="225">
        <v>26</v>
      </c>
      <c r="B54" s="225" t="s">
        <v>178</v>
      </c>
      <c r="C54" s="151" t="s">
        <v>179</v>
      </c>
      <c r="D54" s="225" t="s">
        <v>177</v>
      </c>
      <c r="E54" s="226">
        <v>0.48</v>
      </c>
      <c r="F54" s="227">
        <v>27.74</v>
      </c>
      <c r="G54" s="228">
        <f t="shared" si="4"/>
        <v>13.32</v>
      </c>
      <c r="H54" s="229">
        <f t="shared" si="2"/>
        <v>2.8963447780991111E-3</v>
      </c>
      <c r="I54" s="182">
        <f>ROUND(F54*Прил.10!$D$13,2)</f>
        <v>223.03</v>
      </c>
      <c r="J54" s="182">
        <f t="shared" si="5"/>
        <v>107.05</v>
      </c>
    </row>
    <row r="55" spans="1:10" s="14" customFormat="1" ht="14.25" hidden="1" customHeight="1" outlineLevel="1" x14ac:dyDescent="0.2">
      <c r="A55" s="225">
        <v>27</v>
      </c>
      <c r="B55" s="225" t="s">
        <v>180</v>
      </c>
      <c r="C55" s="151" t="s">
        <v>181</v>
      </c>
      <c r="D55" s="225" t="s">
        <v>145</v>
      </c>
      <c r="E55" s="226">
        <v>0.11</v>
      </c>
      <c r="F55" s="227">
        <v>110</v>
      </c>
      <c r="G55" s="228">
        <f t="shared" si="4"/>
        <v>12.1</v>
      </c>
      <c r="H55" s="229">
        <f t="shared" si="2"/>
        <v>2.6310639500750181E-3</v>
      </c>
      <c r="I55" s="182">
        <f>ROUND(F55*Прил.10!$D$13,2)</f>
        <v>884.4</v>
      </c>
      <c r="J55" s="182">
        <f t="shared" si="5"/>
        <v>97.28</v>
      </c>
    </row>
    <row r="56" spans="1:10" s="14" customFormat="1" ht="38.25" hidden="1" customHeight="1" outlineLevel="1" x14ac:dyDescent="0.2">
      <c r="A56" s="225">
        <v>28</v>
      </c>
      <c r="B56" s="225" t="s">
        <v>182</v>
      </c>
      <c r="C56" s="151" t="s">
        <v>183</v>
      </c>
      <c r="D56" s="225" t="s">
        <v>177</v>
      </c>
      <c r="E56" s="226">
        <v>0.35199999999999998</v>
      </c>
      <c r="F56" s="227">
        <v>30.4</v>
      </c>
      <c r="G56" s="228">
        <f t="shared" si="4"/>
        <v>10.7</v>
      </c>
      <c r="H56" s="229">
        <f t="shared" si="2"/>
        <v>2.3266433277522886E-3</v>
      </c>
      <c r="I56" s="182">
        <f>ROUND(F56*Прил.10!$D$13,2)</f>
        <v>244.42</v>
      </c>
      <c r="J56" s="182">
        <f t="shared" si="5"/>
        <v>86.04</v>
      </c>
    </row>
    <row r="57" spans="1:10" s="14" customFormat="1" ht="14.25" hidden="1" customHeight="1" outlineLevel="1" x14ac:dyDescent="0.2">
      <c r="A57" s="225">
        <v>29</v>
      </c>
      <c r="B57" s="225" t="s">
        <v>184</v>
      </c>
      <c r="C57" s="151" t="s">
        <v>185</v>
      </c>
      <c r="D57" s="225" t="s">
        <v>186</v>
      </c>
      <c r="E57" s="226">
        <v>0.9</v>
      </c>
      <c r="F57" s="227">
        <v>8.33</v>
      </c>
      <c r="G57" s="228">
        <f t="shared" si="4"/>
        <v>7.5</v>
      </c>
      <c r="H57" s="229">
        <f t="shared" si="2"/>
        <v>1.6308247624431931E-3</v>
      </c>
      <c r="I57" s="182">
        <f>ROUND(F57*Прил.10!$D$13,2)</f>
        <v>66.97</v>
      </c>
      <c r="J57" s="182">
        <f t="shared" si="5"/>
        <v>60.27</v>
      </c>
    </row>
    <row r="58" spans="1:10" s="14" customFormat="1" ht="14.25" hidden="1" customHeight="1" outlineLevel="1" x14ac:dyDescent="0.2">
      <c r="A58" s="225">
        <v>30</v>
      </c>
      <c r="B58" s="225" t="s">
        <v>187</v>
      </c>
      <c r="C58" s="151" t="s">
        <v>188</v>
      </c>
      <c r="D58" s="225" t="s">
        <v>189</v>
      </c>
      <c r="E58" s="226">
        <v>2.6839999999999999E-2</v>
      </c>
      <c r="F58" s="227">
        <v>119</v>
      </c>
      <c r="G58" s="228">
        <f t="shared" si="4"/>
        <v>3.19</v>
      </c>
      <c r="H58" s="229">
        <f t="shared" si="2"/>
        <v>6.9364413229250474E-4</v>
      </c>
      <c r="I58" s="182">
        <f>ROUND(F58*Прил.10!$D$13,2)</f>
        <v>956.76</v>
      </c>
      <c r="J58" s="182">
        <f t="shared" si="5"/>
        <v>25.68</v>
      </c>
    </row>
    <row r="59" spans="1:10" s="14" customFormat="1" ht="14.25" hidden="1" customHeight="1" outlineLevel="1" x14ac:dyDescent="0.2">
      <c r="A59" s="225">
        <v>31</v>
      </c>
      <c r="B59" s="225" t="s">
        <v>190</v>
      </c>
      <c r="C59" s="151" t="s">
        <v>191</v>
      </c>
      <c r="D59" s="225" t="s">
        <v>158</v>
      </c>
      <c r="E59" s="226">
        <v>1.32E-3</v>
      </c>
      <c r="F59" s="227">
        <v>1820</v>
      </c>
      <c r="G59" s="228">
        <f t="shared" si="4"/>
        <v>2.4</v>
      </c>
      <c r="H59" s="229">
        <f t="shared" si="2"/>
        <v>5.2186392398182173E-4</v>
      </c>
      <c r="I59" s="182">
        <f>ROUND(F59*Прил.10!$D$13,2)</f>
        <v>14632.8</v>
      </c>
      <c r="J59" s="182">
        <f t="shared" si="5"/>
        <v>19.32</v>
      </c>
    </row>
    <row r="60" spans="1:10" s="14" customFormat="1" ht="14.25" hidden="1" customHeight="1" outlineLevel="1" x14ac:dyDescent="0.2">
      <c r="A60" s="225">
        <v>32</v>
      </c>
      <c r="B60" s="225" t="s">
        <v>192</v>
      </c>
      <c r="C60" s="151" t="s">
        <v>193</v>
      </c>
      <c r="D60" s="225" t="s">
        <v>177</v>
      </c>
      <c r="E60" s="226">
        <v>4.3999999999999997E-2</v>
      </c>
      <c r="F60" s="227">
        <v>28.6</v>
      </c>
      <c r="G60" s="228">
        <f t="shared" si="4"/>
        <v>1.26</v>
      </c>
      <c r="H60" s="229">
        <f t="shared" si="2"/>
        <v>2.7397856009045646E-4</v>
      </c>
      <c r="I60" s="182">
        <f>ROUND(F60*Прил.10!$D$13,2)</f>
        <v>229.94</v>
      </c>
      <c r="J60" s="182">
        <f t="shared" si="5"/>
        <v>10.119999999999999</v>
      </c>
    </row>
    <row r="61" spans="1:10" s="14" customFormat="1" ht="14.25" hidden="1" customHeight="1" outlineLevel="1" x14ac:dyDescent="0.2">
      <c r="A61" s="225">
        <v>33</v>
      </c>
      <c r="B61" s="225" t="s">
        <v>194</v>
      </c>
      <c r="C61" s="151" t="s">
        <v>195</v>
      </c>
      <c r="D61" s="225" t="s">
        <v>177</v>
      </c>
      <c r="E61" s="226">
        <v>0.05</v>
      </c>
      <c r="F61" s="227">
        <v>16.95</v>
      </c>
      <c r="G61" s="228">
        <f t="shared" si="4"/>
        <v>0.85</v>
      </c>
      <c r="H61" s="229">
        <f t="shared" si="2"/>
        <v>1.8482680641022855E-4</v>
      </c>
      <c r="I61" s="182">
        <f>ROUND(F61*Прил.10!$D$13,2)</f>
        <v>136.28</v>
      </c>
      <c r="J61" s="182">
        <f t="shared" si="5"/>
        <v>6.81</v>
      </c>
    </row>
    <row r="62" spans="1:10" s="14" customFormat="1" ht="25.5" hidden="1" customHeight="1" outlineLevel="1" x14ac:dyDescent="0.2">
      <c r="A62" s="225">
        <v>34</v>
      </c>
      <c r="B62" s="225" t="s">
        <v>196</v>
      </c>
      <c r="C62" s="151" t="s">
        <v>197</v>
      </c>
      <c r="D62" s="225" t="s">
        <v>158</v>
      </c>
      <c r="E62" s="226">
        <v>3.9999999999999998E-6</v>
      </c>
      <c r="F62" s="227">
        <v>12430</v>
      </c>
      <c r="G62" s="228">
        <f t="shared" si="4"/>
        <v>0.05</v>
      </c>
      <c r="H62" s="229">
        <f t="shared" si="2"/>
        <v>1.0872165082954621E-5</v>
      </c>
      <c r="I62" s="182">
        <f>ROUND(F62*Прил.10!$D$13,2)</f>
        <v>99937.2</v>
      </c>
      <c r="J62" s="182">
        <f t="shared" si="5"/>
        <v>0.4</v>
      </c>
    </row>
    <row r="63" spans="1:10" s="14" customFormat="1" ht="14.25" hidden="1" customHeight="1" outlineLevel="1" x14ac:dyDescent="0.2">
      <c r="A63" s="225">
        <v>35</v>
      </c>
      <c r="B63" s="225" t="s">
        <v>198</v>
      </c>
      <c r="C63" s="151" t="s">
        <v>199</v>
      </c>
      <c r="D63" s="225" t="s">
        <v>158</v>
      </c>
      <c r="E63" s="226">
        <v>4.82E-2</v>
      </c>
      <c r="F63" s="227"/>
      <c r="G63" s="228">
        <f t="shared" si="4"/>
        <v>0</v>
      </c>
      <c r="H63" s="229">
        <f t="shared" si="2"/>
        <v>0</v>
      </c>
      <c r="I63" s="182">
        <f>ROUND(F63*Прил.10!$D$13,2)</f>
        <v>0</v>
      </c>
      <c r="J63" s="182">
        <f t="shared" si="5"/>
        <v>0</v>
      </c>
    </row>
    <row r="64" spans="1:10" s="14" customFormat="1" ht="14.25" customHeight="1" collapsed="1" x14ac:dyDescent="0.2">
      <c r="A64" s="2"/>
      <c r="B64" s="2"/>
      <c r="C64" s="9" t="s">
        <v>266</v>
      </c>
      <c r="D64" s="2"/>
      <c r="E64" s="282"/>
      <c r="F64" s="283"/>
      <c r="G64" s="29">
        <f>SUM(G45:G63)</f>
        <v>644.29000000000008</v>
      </c>
      <c r="H64" s="229">
        <f t="shared" si="2"/>
        <v>0.14009654482593667</v>
      </c>
      <c r="I64" s="29"/>
      <c r="J64" s="29">
        <f>SUM(J45:J63)</f>
        <v>5180.03</v>
      </c>
    </row>
    <row r="65" spans="1:10" s="14" customFormat="1" ht="14.25" customHeight="1" x14ac:dyDescent="0.2">
      <c r="A65" s="2"/>
      <c r="B65" s="2"/>
      <c r="C65" s="281" t="s">
        <v>267</v>
      </c>
      <c r="D65" s="2"/>
      <c r="E65" s="282"/>
      <c r="F65" s="283"/>
      <c r="G65" s="29">
        <f>G44+G64</f>
        <v>4598.8999999999996</v>
      </c>
      <c r="H65" s="272">
        <f t="shared" si="2"/>
        <v>1</v>
      </c>
      <c r="I65" s="29"/>
      <c r="J65" s="29">
        <f>J44+J64</f>
        <v>36975.07</v>
      </c>
    </row>
    <row r="66" spans="1:10" s="14" customFormat="1" ht="14.25" customHeight="1" x14ac:dyDescent="0.2">
      <c r="A66" s="2"/>
      <c r="B66" s="2"/>
      <c r="C66" s="9" t="s">
        <v>268</v>
      </c>
      <c r="D66" s="2"/>
      <c r="E66" s="282"/>
      <c r="F66" s="283"/>
      <c r="G66" s="29">
        <f>G14+G25+G65</f>
        <v>9149.52</v>
      </c>
      <c r="H66" s="272"/>
      <c r="I66" s="29"/>
      <c r="J66" s="29">
        <f>J14+J25+J65</f>
        <v>230072.06</v>
      </c>
    </row>
    <row r="67" spans="1:10" s="14" customFormat="1" ht="14.25" customHeight="1" x14ac:dyDescent="0.2">
      <c r="A67" s="2"/>
      <c r="B67" s="2"/>
      <c r="C67" s="9" t="s">
        <v>269</v>
      </c>
      <c r="D67" s="236">
        <f>ROUND(G67/(G$16+$G$14),2)</f>
        <v>0.9</v>
      </c>
      <c r="E67" s="282"/>
      <c r="F67" s="283"/>
      <c r="G67" s="29">
        <v>3687.71</v>
      </c>
      <c r="H67" s="272"/>
      <c r="I67" s="29"/>
      <c r="J67" s="182">
        <f>ROUND(D67*(J14+J16),2)</f>
        <v>169832.49</v>
      </c>
    </row>
    <row r="68" spans="1:10" s="14" customFormat="1" ht="14.25" customHeight="1" x14ac:dyDescent="0.2">
      <c r="A68" s="2"/>
      <c r="B68" s="2"/>
      <c r="C68" s="9" t="s">
        <v>270</v>
      </c>
      <c r="D68" s="236">
        <f>ROUND(G68/(G$14+G$16),2)</f>
        <v>0.46</v>
      </c>
      <c r="E68" s="282"/>
      <c r="F68" s="283"/>
      <c r="G68" s="29">
        <v>1886.45</v>
      </c>
      <c r="H68" s="272"/>
      <c r="I68" s="29"/>
      <c r="J68" s="182">
        <f>ROUND(D68*(J14+J16),2)</f>
        <v>86803.27</v>
      </c>
    </row>
    <row r="69" spans="1:10" s="14" customFormat="1" ht="14.25" customHeight="1" x14ac:dyDescent="0.2">
      <c r="A69" s="2"/>
      <c r="B69" s="2"/>
      <c r="C69" s="9" t="s">
        <v>271</v>
      </c>
      <c r="D69" s="2"/>
      <c r="E69" s="282"/>
      <c r="F69" s="283"/>
      <c r="G69" s="29">
        <f>G14+G25+G65+G67+G68</f>
        <v>14723.68</v>
      </c>
      <c r="H69" s="272"/>
      <c r="I69" s="29"/>
      <c r="J69" s="29">
        <f>J14+J25+J65+J67+J68</f>
        <v>486707.82</v>
      </c>
    </row>
    <row r="70" spans="1:10" s="14" customFormat="1" ht="14.25" customHeight="1" x14ac:dyDescent="0.2">
      <c r="A70" s="2"/>
      <c r="B70" s="2"/>
      <c r="C70" s="9" t="s">
        <v>272</v>
      </c>
      <c r="D70" s="2"/>
      <c r="E70" s="282"/>
      <c r="F70" s="283"/>
      <c r="G70" s="29">
        <f>G69+G34</f>
        <v>2040614.7599999998</v>
      </c>
      <c r="H70" s="272"/>
      <c r="I70" s="29"/>
      <c r="J70" s="29">
        <f>J69+J34</f>
        <v>13168785.960000001</v>
      </c>
    </row>
    <row r="71" spans="1:10" s="14" customFormat="1" ht="34.5" customHeight="1" x14ac:dyDescent="0.2">
      <c r="A71" s="2"/>
      <c r="B71" s="2"/>
      <c r="C71" s="9" t="s">
        <v>236</v>
      </c>
      <c r="D71" s="2" t="s">
        <v>273</v>
      </c>
      <c r="E71" s="287">
        <v>1</v>
      </c>
      <c r="F71" s="283"/>
      <c r="G71" s="29">
        <f>G70/E71</f>
        <v>2040614.7599999998</v>
      </c>
      <c r="H71" s="272"/>
      <c r="I71" s="29"/>
      <c r="J71" s="29">
        <f>J70/E71</f>
        <v>13168785.960000001</v>
      </c>
    </row>
    <row r="73" spans="1:10" s="14" customFormat="1" ht="14.25" customHeight="1" x14ac:dyDescent="0.2">
      <c r="A73" s="4" t="s">
        <v>274</v>
      </c>
    </row>
    <row r="74" spans="1:10" s="14" customFormat="1" ht="14.25" customHeight="1" x14ac:dyDescent="0.2">
      <c r="A74" s="201" t="s">
        <v>76</v>
      </c>
    </row>
    <row r="75" spans="1:10" s="14" customFormat="1" ht="14.25" customHeight="1" x14ac:dyDescent="0.2">
      <c r="A75" s="4"/>
    </row>
    <row r="76" spans="1:10" s="14" customFormat="1" ht="14.25" customHeight="1" x14ac:dyDescent="0.2">
      <c r="A76" s="4" t="s">
        <v>275</v>
      </c>
    </row>
    <row r="77" spans="1:10" s="14" customFormat="1" ht="14.25" customHeight="1" x14ac:dyDescent="0.2">
      <c r="A77" s="20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7:H27"/>
    <mergeCell ref="B26:H26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3"/>
  <sheetViews>
    <sheetView view="pageBreakPreview" topLeftCell="A10" workbookViewId="0">
      <selection activeCell="D18" sqref="D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0" t="s">
        <v>276</v>
      </c>
      <c r="B1" s="360"/>
      <c r="C1" s="360"/>
      <c r="D1" s="360"/>
      <c r="E1" s="360"/>
      <c r="F1" s="360"/>
      <c r="G1" s="360"/>
    </row>
    <row r="2" spans="1:7" ht="21.75" customHeight="1" x14ac:dyDescent="0.25">
      <c r="A2" s="284"/>
      <c r="B2" s="284"/>
      <c r="C2" s="284"/>
      <c r="D2" s="284"/>
      <c r="E2" s="284"/>
      <c r="F2" s="284"/>
      <c r="G2" s="284"/>
    </row>
    <row r="3" spans="1:7" x14ac:dyDescent="0.25">
      <c r="A3" s="318" t="s">
        <v>277</v>
      </c>
      <c r="B3" s="318"/>
      <c r="C3" s="318"/>
      <c r="D3" s="318"/>
      <c r="E3" s="318"/>
      <c r="F3" s="318"/>
      <c r="G3" s="318"/>
    </row>
    <row r="4" spans="1:7" ht="25.5" customHeight="1" x14ac:dyDescent="0.25">
      <c r="A4" s="321" t="s">
        <v>47</v>
      </c>
      <c r="B4" s="321"/>
      <c r="C4" s="321"/>
      <c r="D4" s="321"/>
      <c r="E4" s="321"/>
      <c r="F4" s="321"/>
      <c r="G4" s="321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5" t="s">
        <v>13</v>
      </c>
      <c r="B6" s="365" t="s">
        <v>98</v>
      </c>
      <c r="C6" s="365" t="s">
        <v>202</v>
      </c>
      <c r="D6" s="365" t="s">
        <v>100</v>
      </c>
      <c r="E6" s="344" t="s">
        <v>245</v>
      </c>
      <c r="F6" s="365" t="s">
        <v>102</v>
      </c>
      <c r="G6" s="365"/>
    </row>
    <row r="7" spans="1:7" x14ac:dyDescent="0.25">
      <c r="A7" s="365"/>
      <c r="B7" s="365"/>
      <c r="C7" s="365"/>
      <c r="D7" s="365"/>
      <c r="E7" s="345"/>
      <c r="F7" s="273" t="s">
        <v>248</v>
      </c>
      <c r="G7" s="273" t="s">
        <v>104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3"/>
      <c r="B9" s="361" t="s">
        <v>278</v>
      </c>
      <c r="C9" s="362"/>
      <c r="D9" s="362"/>
      <c r="E9" s="362"/>
      <c r="F9" s="362"/>
      <c r="G9" s="363"/>
    </row>
    <row r="10" spans="1:7" ht="27" customHeight="1" x14ac:dyDescent="0.25">
      <c r="A10" s="273"/>
      <c r="B10" s="204"/>
      <c r="C10" s="136" t="s">
        <v>279</v>
      </c>
      <c r="D10" s="204"/>
      <c r="E10" s="205"/>
      <c r="F10" s="275"/>
      <c r="G10" s="206">
        <v>0</v>
      </c>
    </row>
    <row r="11" spans="1:7" x14ac:dyDescent="0.25">
      <c r="A11" s="273"/>
      <c r="B11" s="352" t="s">
        <v>280</v>
      </c>
      <c r="C11" s="352"/>
      <c r="D11" s="352"/>
      <c r="E11" s="364"/>
      <c r="F11" s="354"/>
      <c r="G11" s="354"/>
    </row>
    <row r="12" spans="1:7" s="167" customFormat="1" ht="25.5" customHeight="1" x14ac:dyDescent="0.25">
      <c r="A12" s="273">
        <v>1</v>
      </c>
      <c r="B12" s="136" t="str">
        <f>'Прил.5 Расчет СМР и ОБ'!B28</f>
        <v>БЦ.36.12</v>
      </c>
      <c r="C12" s="207" t="str">
        <f>'Прил.5 Расчет СМР и ОБ'!C28</f>
        <v>Цифровая УПАТС с функциями диспетчерского  коммутатора в комплекте</v>
      </c>
      <c r="D12" s="208" t="str">
        <f>'Прил.5 Расчет СМР и ОБ'!D28</f>
        <v>компл.</v>
      </c>
      <c r="E12" s="209">
        <f>'Прил.5 Расчет СМР и ОБ'!E28</f>
        <v>1</v>
      </c>
      <c r="F12" s="209">
        <f>'Прил.5 Расчет СМР и ОБ'!F28</f>
        <v>2020059.15</v>
      </c>
      <c r="G12" s="206">
        <f>ROUND(E12*F12,2)</f>
        <v>2020059.15</v>
      </c>
    </row>
    <row r="13" spans="1:7" s="167" customFormat="1" ht="38.25" customHeight="1" x14ac:dyDescent="0.25">
      <c r="A13" s="273">
        <v>2</v>
      </c>
      <c r="B13" s="136" t="str">
        <f>'Прил.5 Расчет СМР и ОБ'!B30</f>
        <v>22.1.01.01-0046</v>
      </c>
      <c r="C13" s="207" t="str">
        <f>'Прил.5 Расчет СМР и ОБ'!C30</f>
        <v>Боксы кабельные междугородные, корпус из алюминия, тип БММ-2-1 с плинтом ПН-10</v>
      </c>
      <c r="D13" s="208" t="str">
        <f>'Прил.5 Расчет СМР и ОБ'!D30</f>
        <v>шт.</v>
      </c>
      <c r="E13" s="209">
        <f>'Прил.5 Расчет СМР и ОБ'!E30</f>
        <v>10</v>
      </c>
      <c r="F13" s="209">
        <f>'Прил.5 Расчет СМР и ОБ'!F30</f>
        <v>415.4</v>
      </c>
      <c r="G13" s="206">
        <f>ROUND(E13*F13,2)</f>
        <v>4154</v>
      </c>
    </row>
    <row r="14" spans="1:7" s="167" customFormat="1" ht="25.5" customHeight="1" x14ac:dyDescent="0.25">
      <c r="A14" s="273">
        <v>3</v>
      </c>
      <c r="B14" s="136" t="str">
        <f>'Прил.5 Расчет СМР и ОБ'!B31</f>
        <v>22.1.02.06-0051</v>
      </c>
      <c r="C14" s="207" t="str">
        <f>'Прил.5 Расчет СМР и ОБ'!C31</f>
        <v>Рама VX-2000PF (для 3 блоков питания VX-200PS)</v>
      </c>
      <c r="D14" s="208" t="str">
        <f>'Прил.5 Расчет СМР и ОБ'!D31</f>
        <v>шт.</v>
      </c>
      <c r="E14" s="209">
        <f>'Прил.5 Расчет СМР и ОБ'!E31</f>
        <v>1</v>
      </c>
      <c r="F14" s="209">
        <f>'Прил.5 Расчет СМР и ОБ'!F31</f>
        <v>1161.69</v>
      </c>
      <c r="G14" s="206">
        <f>ROUND(E14*F14,2)</f>
        <v>1161.69</v>
      </c>
    </row>
    <row r="15" spans="1:7" s="167" customFormat="1" ht="51" customHeight="1" x14ac:dyDescent="0.25">
      <c r="A15" s="273">
        <v>4</v>
      </c>
      <c r="B15" s="136" t="str">
        <f>'Прил.5 Расчет СМР и ОБ'!B32</f>
        <v>61.3.05.03-0011</v>
      </c>
      <c r="C15" s="207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ОБ'!D32</f>
        <v>шт.</v>
      </c>
      <c r="E15" s="209">
        <f>'Прил.5 Расчет СМР и ОБ'!E32</f>
        <v>1</v>
      </c>
      <c r="F15" s="209">
        <f>'Прил.5 Расчет СМР и ОБ'!F32</f>
        <v>516.24</v>
      </c>
      <c r="G15" s="206">
        <f>ROUND(E15*F15,2)</f>
        <v>516.24</v>
      </c>
    </row>
    <row r="16" spans="1:7" ht="25.5" customHeight="1" x14ac:dyDescent="0.25">
      <c r="A16" s="273"/>
      <c r="B16" s="136"/>
      <c r="C16" s="136" t="s">
        <v>281</v>
      </c>
      <c r="D16" s="136"/>
      <c r="E16" s="285"/>
      <c r="F16" s="275"/>
      <c r="G16" s="206">
        <f>SUM(G12:G15)</f>
        <v>2025891.0799999998</v>
      </c>
    </row>
    <row r="17" spans="1:7" ht="19.5" customHeight="1" x14ac:dyDescent="0.25">
      <c r="A17" s="273"/>
      <c r="B17" s="136"/>
      <c r="C17" s="136" t="s">
        <v>282</v>
      </c>
      <c r="D17" s="136"/>
      <c r="E17" s="285"/>
      <c r="F17" s="275"/>
      <c r="G17" s="206">
        <f>G10+G16</f>
        <v>2025891.0799999998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274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76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275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78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2023-11-26T06:06:57Z</cp:lastPrinted>
  <dcterms:created xsi:type="dcterms:W3CDTF">2020-09-30T08:50:27Z</dcterms:created>
  <dcterms:modified xsi:type="dcterms:W3CDTF">2023-11-26T06:07:07Z</dcterms:modified>
  <cp:category/>
</cp:coreProperties>
</file>