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DD2B86A9-835C-4ECD-A4C1-3CB4A33D1BE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Прил.3!$A$1:$H$68</definedName>
    <definedName name="_xlnm.Print_Area" localSheetId="6">'Прил.4 РМ'!$A$1:$E$48</definedName>
    <definedName name="_xlnm.Print_Area" localSheetId="7">'Прил.5 Расчет СМР и ОБ'!$A$1:$J$84</definedName>
    <definedName name="_xlnm.Print_Area" localSheetId="8">'Прил.6 Расчет ОБ'!$A$1:$G$24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18" i="9"/>
  <c r="G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H70" i="8"/>
  <c r="G70" i="8"/>
  <c r="H67" i="8" s="1"/>
  <c r="J69" i="8"/>
  <c r="H69" i="8"/>
  <c r="G69" i="8"/>
  <c r="J68" i="8"/>
  <c r="I68" i="8"/>
  <c r="H68" i="8"/>
  <c r="G68" i="8"/>
  <c r="J67" i="8"/>
  <c r="I67" i="8"/>
  <c r="G67" i="8"/>
  <c r="J66" i="8"/>
  <c r="I66" i="8"/>
  <c r="H66" i="8"/>
  <c r="G66" i="8"/>
  <c r="J65" i="8"/>
  <c r="I65" i="8"/>
  <c r="H65" i="8"/>
  <c r="G65" i="8"/>
  <c r="J64" i="8"/>
  <c r="I64" i="8"/>
  <c r="G64" i="8"/>
  <c r="J63" i="8"/>
  <c r="I63" i="8"/>
  <c r="H63" i="8"/>
  <c r="G63" i="8"/>
  <c r="J62" i="8"/>
  <c r="I62" i="8"/>
  <c r="H62" i="8"/>
  <c r="G62" i="8"/>
  <c r="J61" i="8"/>
  <c r="I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J70" i="8" s="1"/>
  <c r="H42" i="8"/>
  <c r="G42" i="8"/>
  <c r="J41" i="8"/>
  <c r="I41" i="8"/>
  <c r="H41" i="8"/>
  <c r="G41" i="8"/>
  <c r="J40" i="8"/>
  <c r="I40" i="8"/>
  <c r="H40" i="8"/>
  <c r="G40" i="8"/>
  <c r="J39" i="8"/>
  <c r="I39" i="8"/>
  <c r="H39" i="8"/>
  <c r="G39" i="8"/>
  <c r="J38" i="8"/>
  <c r="I38" i="8"/>
  <c r="H38" i="8"/>
  <c r="G38" i="8"/>
  <c r="G35" i="8"/>
  <c r="G34" i="8"/>
  <c r="J33" i="8"/>
  <c r="J34" i="8" s="1"/>
  <c r="H33" i="8"/>
  <c r="H34" i="8" s="1"/>
  <c r="G33" i="8"/>
  <c r="J32" i="8"/>
  <c r="I32" i="8"/>
  <c r="H32" i="8"/>
  <c r="G32" i="8"/>
  <c r="J31" i="8"/>
  <c r="I31" i="8"/>
  <c r="H31" i="8"/>
  <c r="G31" i="8"/>
  <c r="J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4" i="8"/>
  <c r="G24" i="8"/>
  <c r="J23" i="8"/>
  <c r="H23" i="8"/>
  <c r="H24" i="8" s="1"/>
  <c r="G23" i="8"/>
  <c r="J22" i="8"/>
  <c r="I22" i="8"/>
  <c r="H22" i="8"/>
  <c r="G22" i="8"/>
  <c r="J21" i="8"/>
  <c r="C12" i="7" s="1"/>
  <c r="H21" i="8"/>
  <c r="G21" i="8"/>
  <c r="J20" i="8"/>
  <c r="I20" i="8"/>
  <c r="H20" i="8"/>
  <c r="G20" i="8"/>
  <c r="E17" i="8"/>
  <c r="J14" i="8"/>
  <c r="I14" i="8"/>
  <c r="G14" i="8"/>
  <c r="I13" i="8"/>
  <c r="C23" i="7"/>
  <c r="C21" i="7"/>
  <c r="C17" i="7"/>
  <c r="C18" i="7" s="1"/>
  <c r="C16" i="7"/>
  <c r="C13" i="7"/>
  <c r="C14" i="7" s="1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 s="1"/>
  <c r="H28" i="6"/>
  <c r="H27" i="6"/>
  <c r="H26" i="6"/>
  <c r="H25" i="6"/>
  <c r="H24" i="6"/>
  <c r="H23" i="6" s="1"/>
  <c r="H22" i="6"/>
  <c r="H21" i="6"/>
  <c r="H20" i="6"/>
  <c r="H18" i="6"/>
  <c r="G17" i="8" s="1"/>
  <c r="F17" i="8" s="1"/>
  <c r="I17" i="8" s="1"/>
  <c r="J17" i="8" s="1"/>
  <c r="C15" i="7" s="1"/>
  <c r="F18" i="6"/>
  <c r="H17" i="6"/>
  <c r="H16" i="6"/>
  <c r="H15" i="6"/>
  <c r="H14" i="6"/>
  <c r="G13" i="8" s="1"/>
  <c r="H13" i="6"/>
  <c r="H12" i="6"/>
  <c r="F12" i="6"/>
  <c r="J14" i="5"/>
  <c r="H14" i="5"/>
  <c r="F14" i="5"/>
  <c r="J13" i="5"/>
  <c r="H13" i="5"/>
  <c r="F13" i="5"/>
  <c r="J1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35" i="8" l="1"/>
  <c r="C26" i="7" s="1"/>
  <c r="C25" i="7"/>
  <c r="H61" i="8"/>
  <c r="H64" i="8"/>
  <c r="G15" i="8"/>
  <c r="H14" i="8" s="1"/>
  <c r="E13" i="8"/>
  <c r="J13" i="8" s="1"/>
  <c r="J15" i="8" s="1"/>
  <c r="J72" i="8" s="1"/>
  <c r="E15" i="8"/>
  <c r="H13" i="8" l="1"/>
  <c r="G74" i="8"/>
  <c r="G75" i="8" s="1"/>
  <c r="G76" i="8" s="1"/>
  <c r="G71" i="8"/>
  <c r="C11" i="7"/>
  <c r="C20" i="7" s="1"/>
  <c r="J73" i="8"/>
  <c r="J74" i="8" s="1"/>
  <c r="J75" i="8" s="1"/>
  <c r="J76" i="8" s="1"/>
  <c r="J71" i="8"/>
  <c r="C22" i="7" l="1"/>
  <c r="C19" i="7"/>
  <c r="C24" i="7" s="1"/>
  <c r="D22" i="7" s="1"/>
  <c r="D18" i="7" l="1"/>
  <c r="D12" i="7"/>
  <c r="D17" i="7"/>
  <c r="D13" i="7"/>
  <c r="D24" i="7"/>
  <c r="D14" i="7"/>
  <c r="C29" i="7"/>
  <c r="C27" i="7"/>
  <c r="D16" i="7"/>
  <c r="D15" i="7"/>
  <c r="D11" i="7"/>
  <c r="D20" i="7"/>
  <c r="C34" i="7" l="1"/>
  <c r="C32" i="7"/>
  <c r="C33" i="7"/>
  <c r="C30" i="7"/>
  <c r="C36" i="7" l="1"/>
  <c r="C37" i="7"/>
  <c r="C38" i="7" l="1"/>
  <c r="C39" i="7" s="1"/>
  <c r="C40" i="7" l="1"/>
  <c r="E39" i="7"/>
  <c r="E40" i="7" l="1"/>
  <c r="E26" i="7"/>
  <c r="E17" i="7"/>
  <c r="E13" i="7"/>
  <c r="E14" i="7"/>
  <c r="C41" i="7"/>
  <c r="D11" i="10" s="1"/>
  <c r="E31" i="7"/>
  <c r="E25" i="7"/>
  <c r="E18" i="7"/>
  <c r="E16" i="7"/>
  <c r="E35" i="7"/>
  <c r="E12" i="7"/>
  <c r="E15" i="7"/>
  <c r="E11" i="7"/>
  <c r="E20" i="7"/>
  <c r="E22" i="7"/>
  <c r="E24" i="7"/>
  <c r="E29" i="7"/>
  <c r="E27" i="7"/>
  <c r="E36" i="7"/>
  <c r="E30" i="7"/>
  <c r="E34" i="7"/>
  <c r="E33" i="7"/>
  <c r="E32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<sst xmlns="http://schemas.openxmlformats.org/spreadsheetml/2006/main" count="778" uniqueCount="446">
  <si>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</si>
  <si>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</si>
  <si>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</si>
  <si>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</si>
  <si>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</si>
  <si>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</si>
  <si>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</si>
  <si>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</si>
  <si>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</si>
  <si>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</si>
  <si>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</si>
  <si>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</si>
  <si>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</si>
  <si>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</si>
  <si>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</si>
  <si>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</si>
  <si>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</si>
  <si>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</si>
  <si>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</si>
  <si>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</si>
  <si>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</si>
  <si>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</si>
  <si>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</si>
  <si>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</si>
  <si>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</si>
  <si>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</si>
  <si>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</si>
  <si>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</si>
  <si>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</si>
  <si>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</si>
  <si>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</si>
  <si>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</si>
  <si>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</si>
  <si>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</si>
  <si>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</si>
  <si>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</si>
  <si>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</si>
  <si>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</si>
  <si>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</si>
  <si>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</si>
  <si>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</si>
  <si>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</si>
  <si>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</si>
  <si>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</si>
  <si>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</si>
  <si>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</si>
  <si>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</si>
  <si>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аппаратура громкоговорящей и радиопоисковой связи ПС 330 кВ</t>
  </si>
  <si>
    <t>Сопоставимый уровень цен: 4 квартал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</si>
  <si>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</si>
  <si>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</si>
  <si>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</si>
  <si>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</si>
  <si>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</si>
  <si>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</si>
  <si>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</si>
  <si>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</si>
  <si>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</si>
  <si>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</si>
  <si>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</si>
  <si>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Микрофонная панель RM-200M S - 2 шт;
Громкоговорители - 32 шт;
Кабель радиофикации - 1,675 км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</si>
  <si>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</si>
  <si>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</si>
  <si>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</si>
  <si>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</si>
  <si>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</si>
  <si>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</si>
  <si>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</si>
  <si>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</si>
  <si>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</si>
  <si>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</si>
  <si>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</si>
  <si>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</si>
  <si>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</si>
  <si>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</si>
  <si>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</si>
  <si>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</si>
  <si>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</si>
  <si>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</si>
  <si>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</si>
  <si>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</si>
  <si>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</si>
  <si>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</si>
  <si>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</si>
  <si>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4кв. 2019 г., тыс. руб.</t>
  </si>
  <si>
    <t>Строительные работы</t>
  </si>
  <si>
    <t>Монтажные работы</t>
  </si>
  <si>
    <t>Прочее</t>
  </si>
  <si>
    <t>Всего</t>
  </si>
  <si>
    <t>05-02-03</t>
  </si>
  <si>
    <t>Системы связи. Внутриобъектная связь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</si>
  <si>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</si>
  <si>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</si>
  <si>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</si>
  <si>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</si>
  <si>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</si>
  <si>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</si>
  <si>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аппаратура громкоговорящей и радиопоисковой связи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</si>
  <si>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</si>
  <si>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</si>
  <si>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</si>
  <si>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</si>
  <si>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</si>
  <si>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</si>
  <si>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</si>
  <si>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</si>
  <si>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</si>
  <si>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</si>
  <si>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</si>
  <si>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</si>
  <si>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10-3-1</t>
  </si>
  <si>
    <t>Инженер I категории</t>
  </si>
  <si>
    <t>чел.-ч</t>
  </si>
  <si>
    <t>1-3-0</t>
  </si>
  <si>
    <t>Затраты труда рабочих (ср 3)</t>
  </si>
  <si>
    <t>1-3-5</t>
  </si>
  <si>
    <t>Затраты труда рабочих (ср 3,5)</t>
  </si>
  <si>
    <t>1-3-8</t>
  </si>
  <si>
    <t>Затраты труда рабочих (ср 3,8)</t>
  </si>
  <si>
    <t>1-4-0</t>
  </si>
  <si>
    <t>Затраты труда рабочих (ср 4)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</si>
  <si>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</si>
  <si>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</si>
  <si>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</si>
  <si>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</si>
  <si>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</si>
  <si>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</si>
  <si>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</si>
  <si>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Прайс из СД ОП</t>
  </si>
  <si>
    <t>Микрофонная панель RM-200M S, ООО «Юнител Инжиниринг»</t>
  </si>
  <si>
    <t>шт.</t>
  </si>
  <si>
    <t>61.2.04.06-0012</t>
  </si>
  <si>
    <t>Прибор речевого оповещения "Рупор", два канала по 10 Вт</t>
  </si>
  <si>
    <t>61.3.02.04-0005</t>
  </si>
  <si>
    <t>Громкоговоритель: CS-820 двухполосный уличный алюминиевый</t>
  </si>
  <si>
    <t>61.1.03.01-0003</t>
  </si>
  <si>
    <t>Адаптер сотовой связи АССВ-030</t>
  </si>
  <si>
    <t>Материалы</t>
  </si>
  <si>
    <t>21.1.08.01-0313</t>
  </si>
  <si>
    <t>Кабель пожарной сигнализации КПСЭнг(A)-FRLS 1х2х1,5</t>
  </si>
  <si>
    <t>1000 м</t>
  </si>
  <si>
    <t>22.2.02.15-0003</t>
  </si>
  <si>
    <t>Скрепы фигурные СкФ-30</t>
  </si>
  <si>
    <t>100 шт</t>
  </si>
  <si>
    <t>21.1.08.01-0083</t>
  </si>
  <si>
    <t>Кабель пожарной сигнализации КПСВВ 1х2х1</t>
  </si>
  <si>
    <t>21.2.03.09-0105</t>
  </si>
  <si>
    <t>Провод силовой ПРТО 1х1,5-660</t>
  </si>
  <si>
    <t>21.2.03.02-0001</t>
  </si>
  <si>
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</si>
  <si>
    <t>20.5.02.01-0001</t>
  </si>
  <si>
    <t>Коробка абонентская АК-1</t>
  </si>
  <si>
    <t>шт</t>
  </si>
  <si>
    <t>07.2.07.04-0007</t>
  </si>
  <si>
    <t>Конструкции стальные индивидуальные решетчатые сварные, масса до 0,1 т</t>
  </si>
  <si>
    <t>т</t>
  </si>
  <si>
    <t>999-9950</t>
  </si>
  <si>
    <t>Вспомогательные ненормируемые ресурсы (2% от Оплаты труда рабочих)</t>
  </si>
  <si>
    <t>руб</t>
  </si>
  <si>
    <t>25.2.01.01-0001</t>
  </si>
  <si>
    <t>Бирки-оконцеватели</t>
  </si>
  <si>
    <t>01.7.15.14-0168</t>
  </si>
  <si>
    <t>Шурупы с полукруглой головкой 5х70 мм</t>
  </si>
  <si>
    <t>01.7.20.04-0002</t>
  </si>
  <si>
    <t>Нитки капроновые</t>
  </si>
  <si>
    <t>кг</t>
  </si>
  <si>
    <t>22.2.02.23-0011</t>
  </si>
  <si>
    <t>Глухари</t>
  </si>
  <si>
    <t>20.1.02.23-0082</t>
  </si>
  <si>
    <t>Перемычки гибкие, тип ПГС-50</t>
  </si>
  <si>
    <t>10 шт</t>
  </si>
  <si>
    <t>01.7.06.05-0042</t>
  </si>
  <si>
    <t>Лента липкая изоляционная на поликасиновом компаунде, ширина 20-30 мм, толщина от 0,14 до 0,19 мм</t>
  </si>
  <si>
    <t>08.3.03.04-0012</t>
  </si>
  <si>
    <t>Проволока светлая, диаметр 1,1 мм</t>
  </si>
  <si>
    <t>03.1.01.01-0002</t>
  </si>
  <si>
    <t>Гипс строительный Г-3</t>
  </si>
  <si>
    <t>01.7.06.05-0041</t>
  </si>
  <si>
    <t>Лента изоляционная прорезиненная односторонняя, ширина 20 мм, толщина 0,25-0,35 мм</t>
  </si>
  <si>
    <t>01.7.15.07-0014</t>
  </si>
  <si>
    <t>Дюбели распорные полипропиленовые</t>
  </si>
  <si>
    <t>01.3.01.02-0002</t>
  </si>
  <si>
    <t>Вазелин технический</t>
  </si>
  <si>
    <t>14.4.02.09-0001</t>
  </si>
  <si>
    <t>Краска</t>
  </si>
  <si>
    <t>01.7.02.07-0011</t>
  </si>
  <si>
    <t>Прессшпан листовой, марка А</t>
  </si>
  <si>
    <t>01.7.11.07-0034</t>
  </si>
  <si>
    <t>Электроды сварочные Э42А, диаметр 4 мм</t>
  </si>
  <si>
    <t>14.4.03.17-0011</t>
  </si>
  <si>
    <t>Лак электроизоляционный 318</t>
  </si>
  <si>
    <t>01.7.07.03-0007</t>
  </si>
  <si>
    <t>Воск полиэтиленовый неокисленный ПВ-25, ПВ-100, ПВ-200, ПВ-300, ПВ-500</t>
  </si>
  <si>
    <t>01.7.15.03-0042</t>
  </si>
  <si>
    <t>Болты с гайками и шайбами строительные</t>
  </si>
  <si>
    <t>01.7.20.04-0005</t>
  </si>
  <si>
    <t>Нитки швейные</t>
  </si>
  <si>
    <t>10.3.02.03-0012</t>
  </si>
  <si>
    <t>Припои оловянно-свинцовые бессурьмянистые, марка ПОС40</t>
  </si>
  <si>
    <t>01.7.20.04-0003</t>
  </si>
  <si>
    <t>Нитки суровые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</si>
  <si>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</si>
  <si>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</si>
  <si>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</si>
  <si>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</si>
  <si>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</si>
  <si>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</si>
  <si>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</si>
  <si>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</si>
  <si>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</si>
  <si>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</si>
  <si>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</si>
  <si>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</si>
  <si>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</si>
  <si>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</si>
  <si>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</si>
  <si>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</si>
  <si>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</si>
  <si>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</si>
  <si>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</si>
  <si>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</si>
  <si>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</si>
  <si>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</si>
  <si>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</si>
  <si>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</si>
  <si>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</si>
  <si>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</si>
  <si>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</si>
  <si>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</si>
  <si>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</si>
  <si>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</si>
  <si>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</si>
  <si>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</si>
  <si>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</si>
  <si>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</si>
  <si>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</si>
  <si>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</si>
  <si>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</si>
  <si>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</si>
  <si>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</si>
  <si>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</si>
  <si>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</si>
  <si>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</si>
  <si>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</si>
  <si>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</si>
  <si>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</si>
  <si>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</si>
  <si>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аппаратура громкоговорящей и радиопоисковой связи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</si>
  <si>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</si>
  <si>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</si>
  <si>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</si>
  <si>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</si>
  <si>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</si>
  <si>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1-3-3</t>
  </si>
  <si>
    <t>Затраты труда рабочих-строителей среднего разряда (3,3)</t>
  </si>
  <si>
    <t>чел.-ч.</t>
  </si>
  <si>
    <t>10-30-1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</si>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</sst>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4" fillId="0" borderId="0" xfId="0" applyNumberFormat="1" applyFont="1"/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370627</xdr:colOff>
      <xdr:row>28</xdr:row>
      <xdr:rowOff>67303</xdr:rowOff>
    </xdr:from>
    <xdr:to>
      <xdr:col>2</xdr:col>
      <xdr:colOff>1418378</xdr:colOff>
      <xdr:row>31</xdr:row>
      <xdr:rowOff>26424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200989-6B77-442D-952D-1DD036F8A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453" y="12822520"/>
          <a:ext cx="1047751" cy="555469"/>
        </a:xfrm>
        <a:prstGeom prst="rect">
          <a:avLst/>
        </a:prstGeom>
      </xdr:spPr>
    </xdr:pic>
    <xdr:clientData/>
  </xdr:twoCellAnchor>
  <xdr:twoCellAnchor editAs="oneCell">
    <xdr:from>
      <xdr:col>2</xdr:col>
      <xdr:colOff>346489</xdr:colOff>
      <xdr:row>26</xdr:row>
      <xdr:rowOff>413855</xdr:rowOff>
    </xdr:from>
    <xdr:to>
      <xdr:col>2</xdr:col>
      <xdr:colOff>1627928</xdr:colOff>
      <xdr:row>28</xdr:row>
      <xdr:rowOff>57778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5CFD79A-313B-4C1C-B168-E3EC84DCE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315" y="12489898"/>
          <a:ext cx="1281439" cy="3230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425549</xdr:colOff>
      <xdr:row>22</xdr:row>
      <xdr:rowOff>41729</xdr:rowOff>
    </xdr:from>
    <xdr:to>
      <xdr:col>2</xdr:col>
      <xdr:colOff>1473300</xdr:colOff>
      <xdr:row>25</xdr:row>
      <xdr:rowOff>10741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6DEDD9-09B2-4AB7-894F-6F11F4A2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263" y="5661479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2</xdr:col>
      <xdr:colOff>401411</xdr:colOff>
      <xdr:row>20</xdr:row>
      <xdr:rowOff>107043</xdr:rowOff>
    </xdr:from>
    <xdr:to>
      <xdr:col>2</xdr:col>
      <xdr:colOff>1682850</xdr:colOff>
      <xdr:row>22</xdr:row>
      <xdr:rowOff>32204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AFA8311-16F8-4844-B27B-B29771859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5318579"/>
          <a:ext cx="1281439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195588</xdr:colOff>
      <xdr:row>62</xdr:row>
      <xdr:rowOff>66675</xdr:rowOff>
    </xdr:from>
    <xdr:to>
      <xdr:col>2</xdr:col>
      <xdr:colOff>1262389</xdr:colOff>
      <xdr:row>65</xdr:row>
      <xdr:rowOff>38408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DE080A9-9DD9-495F-B317-0A893B2BE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388" y="16992600"/>
          <a:ext cx="1066801" cy="57180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60</xdr:row>
      <xdr:rowOff>104775</xdr:rowOff>
    </xdr:from>
    <xdr:to>
      <xdr:col>2</xdr:col>
      <xdr:colOff>1471939</xdr:colOff>
      <xdr:row>62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C994161-1823-4347-8F6E-72C71DCD3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16630650"/>
          <a:ext cx="1281439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909963</xdr:colOff>
      <xdr:row>43</xdr:row>
      <xdr:rowOff>28575</xdr:rowOff>
    </xdr:from>
    <xdr:to>
      <xdr:col>1</xdr:col>
      <xdr:colOff>1957714</xdr:colOff>
      <xdr:row>46</xdr:row>
      <xdr:rowOff>38408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EBD3A38-5CE3-4515-AAE4-E45D85787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188" y="11649075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41</xdr:row>
      <xdr:rowOff>66675</xdr:rowOff>
    </xdr:from>
    <xdr:to>
      <xdr:col>1</xdr:col>
      <xdr:colOff>2167264</xdr:colOff>
      <xdr:row>43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0846170-A86D-48AD-84EE-52DF28D8A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1306175"/>
          <a:ext cx="1281439" cy="333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501509</xdr:colOff>
      <xdr:row>77</xdr:row>
      <xdr:rowOff>177053</xdr:rowOff>
    </xdr:from>
    <xdr:to>
      <xdr:col>2</xdr:col>
      <xdr:colOff>66722</xdr:colOff>
      <xdr:row>81</xdr:row>
      <xdr:rowOff>41209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39E5FDC-F961-4EEA-860D-5A0451051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509" y="18352994"/>
          <a:ext cx="106680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477371</xdr:colOff>
      <xdr:row>76</xdr:row>
      <xdr:rowOff>47065</xdr:rowOff>
    </xdr:from>
    <xdr:to>
      <xdr:col>2</xdr:col>
      <xdr:colOff>276272</xdr:colOff>
      <xdr:row>77</xdr:row>
      <xdr:rowOff>167528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C960B8F-AE83-429C-A621-28FA22FDF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371" y="18032506"/>
          <a:ext cx="1300489" cy="3109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471813</xdr:colOff>
      <xdr:row>20</xdr:row>
      <xdr:rowOff>0</xdr:rowOff>
    </xdr:from>
    <xdr:to>
      <xdr:col>2</xdr:col>
      <xdr:colOff>347989</xdr:colOff>
      <xdr:row>23</xdr:row>
      <xdr:rowOff>9833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82C7590-0770-4051-86B5-FA4A454B5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813" y="510540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18</xdr:row>
      <xdr:rowOff>38100</xdr:rowOff>
    </xdr:from>
    <xdr:to>
      <xdr:col>2</xdr:col>
      <xdr:colOff>557539</xdr:colOff>
      <xdr:row>19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2201F40-1DD3-4050-B760-F3A593464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4762500"/>
          <a:ext cx="1281439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738513</xdr:colOff>
      <xdr:row>13</xdr:row>
      <xdr:rowOff>104775</xdr:rowOff>
    </xdr:from>
    <xdr:to>
      <xdr:col>1</xdr:col>
      <xdr:colOff>938539</xdr:colOff>
      <xdr:row>16</xdr:row>
      <xdr:rowOff>38408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68F3A4-4A86-4F4F-9497-341B5331C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513" y="346710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714375</xdr:colOff>
      <xdr:row>11</xdr:row>
      <xdr:rowOff>142875</xdr:rowOff>
    </xdr:from>
    <xdr:to>
      <xdr:col>2</xdr:col>
      <xdr:colOff>52714</xdr:colOff>
      <xdr:row>13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0BC1D5B-F835-4115-B469-2FA7305BD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3124200"/>
          <a:ext cx="1281439" cy="333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849638</xdr:colOff>
      <xdr:row>27</xdr:row>
      <xdr:rowOff>9525</xdr:rowOff>
    </xdr:from>
    <xdr:to>
      <xdr:col>1</xdr:col>
      <xdr:colOff>1897389</xdr:colOff>
      <xdr:row>30</xdr:row>
      <xdr:rowOff>19358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F5F048-1977-4E88-B077-87800A31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888" y="9312275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825500</xdr:colOff>
      <xdr:row>25</xdr:row>
      <xdr:rowOff>47625</xdr:rowOff>
    </xdr:from>
    <xdr:to>
      <xdr:col>1</xdr:col>
      <xdr:colOff>2106939</xdr:colOff>
      <xdr:row>27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2920EFA-A707-403D-AD15-82E40B053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8969375"/>
          <a:ext cx="1281439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5" t="s">
        <v>0</v>
      </c>
      <c r="B2" s="315"/>
      <c r="C2" s="315"/>
    </row>
    <row r="3" spans="1:3" x14ac:dyDescent="0.25">
      <c r="A3" s="1"/>
      <c r="B3" s="1"/>
      <c r="C3" s="1"/>
    </row>
    <row r="4" spans="1:3" x14ac:dyDescent="0.25">
      <c r="A4" s="316" t="s">
        <v>1</v>
      </c>
      <c r="B4" s="316"/>
      <c r="C4" s="31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7" t="s">
        <v>3</v>
      </c>
      <c r="C6" s="317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G9" sqref="G9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286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287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31.5" customHeight="1" x14ac:dyDescent="0.25">
      <c r="A5" s="363" t="s">
        <v>288</v>
      </c>
      <c r="B5" s="363"/>
      <c r="C5" s="363"/>
      <c r="D5" s="303" t="str">
        <f>'Прил.5 Расчет СМР и ОБ'!D6:J6</f>
        <v>Постоянная часть ПС, аппаратура громкоговорящей и радиопоисковой связи ПС 330 кВ</v>
      </c>
    </row>
    <row r="6" spans="1:4" ht="15.75" customHeight="1" x14ac:dyDescent="0.25">
      <c r="A6" s="300" t="s">
        <v>49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27" t="s">
        <v>5</v>
      </c>
      <c r="B8" s="327" t="s">
        <v>6</v>
      </c>
      <c r="C8" s="327" t="s">
        <v>289</v>
      </c>
      <c r="D8" s="327" t="s">
        <v>290</v>
      </c>
    </row>
    <row r="9" spans="1:4" x14ac:dyDescent="0.25">
      <c r="A9" s="327"/>
      <c r="B9" s="327"/>
      <c r="C9" s="327"/>
      <c r="D9" s="327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3" customHeight="1" x14ac:dyDescent="0.25">
      <c r="A11" s="313" t="s">
        <v>291</v>
      </c>
      <c r="B11" s="314" t="s">
        <v>292</v>
      </c>
      <c r="C11" s="305" t="str">
        <f>D5</f>
        <v>Постоянная часть ПС, аппаратура громкоговорящей и радиопоисковой связи ПС 330 кВ</v>
      </c>
      <c r="D11" s="306">
        <f>'Прил.4 РМ'!C41/1000</f>
        <v>948.5828200000002</v>
      </c>
    </row>
    <row r="13" spans="1:4" x14ac:dyDescent="0.25">
      <c r="A13" s="307" t="s">
        <v>445</v>
      </c>
      <c r="B13" s="308"/>
      <c r="C13" s="308"/>
      <c r="D13" s="309"/>
    </row>
    <row r="14" spans="1:4" x14ac:dyDescent="0.25">
      <c r="A14" s="310" t="s">
        <v>76</v>
      </c>
      <c r="B14" s="308"/>
      <c r="C14" s="308"/>
      <c r="D14" s="309"/>
    </row>
    <row r="15" spans="1:4" ht="21" customHeight="1" x14ac:dyDescent="0.25">
      <c r="A15" s="307"/>
      <c r="B15" s="308"/>
      <c r="C15" s="308"/>
      <c r="D15" s="309"/>
    </row>
    <row r="16" spans="1:4" x14ac:dyDescent="0.25">
      <c r="A16" s="307" t="s">
        <v>77</v>
      </c>
      <c r="B16" s="308"/>
      <c r="C16" s="308"/>
      <c r="D16" s="309"/>
    </row>
    <row r="17" spans="1:4" x14ac:dyDescent="0.25">
      <c r="A17" s="310" t="s">
        <v>78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30" sqref="D30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2" t="s">
        <v>293</v>
      </c>
      <c r="C4" s="322"/>
      <c r="D4" s="322"/>
    </row>
    <row r="5" spans="2:5" ht="18.75" customHeight="1" x14ac:dyDescent="0.25">
      <c r="B5" s="205"/>
    </row>
    <row r="6" spans="2:5" ht="15.75" customHeight="1" x14ac:dyDescent="0.25">
      <c r="B6" s="323" t="s">
        <v>294</v>
      </c>
      <c r="C6" s="323"/>
      <c r="D6" s="323"/>
    </row>
    <row r="7" spans="2:5" x14ac:dyDescent="0.25">
      <c r="B7" s="364"/>
      <c r="C7" s="364"/>
      <c r="D7" s="364"/>
      <c r="E7" s="364"/>
    </row>
    <row r="8" spans="2:5" x14ac:dyDescent="0.25">
      <c r="B8" s="271"/>
      <c r="C8" s="271"/>
      <c r="D8" s="271"/>
      <c r="E8" s="271"/>
    </row>
    <row r="9" spans="2:5" ht="47.25" customHeight="1" x14ac:dyDescent="0.25">
      <c r="B9" s="260" t="s">
        <v>295</v>
      </c>
      <c r="C9" s="260" t="s">
        <v>296</v>
      </c>
      <c r="D9" s="260" t="s">
        <v>297</v>
      </c>
    </row>
    <row r="10" spans="2:5" ht="15.75" customHeight="1" x14ac:dyDescent="0.25">
      <c r="B10" s="260">
        <v>1</v>
      </c>
      <c r="C10" s="260">
        <v>2</v>
      </c>
      <c r="D10" s="260">
        <v>3</v>
      </c>
    </row>
    <row r="11" spans="2:5" ht="45" customHeight="1" x14ac:dyDescent="0.25">
      <c r="B11" s="260" t="s">
        <v>298</v>
      </c>
      <c r="C11" s="260" t="s">
        <v>299</v>
      </c>
      <c r="D11" s="260">
        <v>44.29</v>
      </c>
    </row>
    <row r="12" spans="2:5" ht="29.25" customHeight="1" x14ac:dyDescent="0.25">
      <c r="B12" s="260" t="s">
        <v>300</v>
      </c>
      <c r="C12" s="260" t="s">
        <v>299</v>
      </c>
      <c r="D12" s="260">
        <v>13.47</v>
      </c>
    </row>
    <row r="13" spans="2:5" ht="29.25" customHeight="1" x14ac:dyDescent="0.25">
      <c r="B13" s="260" t="s">
        <v>301</v>
      </c>
      <c r="C13" s="260" t="s">
        <v>299</v>
      </c>
      <c r="D13" s="260">
        <v>8.0399999999999991</v>
      </c>
    </row>
    <row r="14" spans="2:5" ht="30.75" customHeight="1" x14ac:dyDescent="0.25">
      <c r="B14" s="260" t="s">
        <v>302</v>
      </c>
      <c r="C14" s="172" t="s">
        <v>303</v>
      </c>
      <c r="D14" s="260">
        <v>6.26</v>
      </c>
    </row>
    <row r="15" spans="2:5" ht="89.25" customHeight="1" x14ac:dyDescent="0.25">
      <c r="B15" s="260" t="s">
        <v>304</v>
      </c>
      <c r="C15" s="260" t="s">
        <v>305</v>
      </c>
      <c r="D15" s="206">
        <v>3.9E-2</v>
      </c>
    </row>
    <row r="16" spans="2:5" ht="78.75" customHeight="1" x14ac:dyDescent="0.25">
      <c r="B16" s="260" t="s">
        <v>306</v>
      </c>
      <c r="C16" s="260" t="s">
        <v>307</v>
      </c>
      <c r="D16" s="206">
        <v>2.1000000000000001E-2</v>
      </c>
    </row>
    <row r="17" spans="2:4" ht="34.5" customHeight="1" x14ac:dyDescent="0.25">
      <c r="B17" s="260"/>
      <c r="C17" s="260"/>
      <c r="D17" s="260"/>
    </row>
    <row r="18" spans="2:4" ht="31.5" customHeight="1" x14ac:dyDescent="0.25">
      <c r="B18" s="260" t="s">
        <v>308</v>
      </c>
      <c r="C18" s="260" t="s">
        <v>309</v>
      </c>
      <c r="D18" s="206">
        <v>2.1399999999999999E-2</v>
      </c>
    </row>
    <row r="19" spans="2:4" ht="31.5" customHeight="1" x14ac:dyDescent="0.25">
      <c r="B19" s="260" t="s">
        <v>235</v>
      </c>
      <c r="C19" s="260" t="s">
        <v>310</v>
      </c>
      <c r="D19" s="206">
        <v>2E-3</v>
      </c>
    </row>
    <row r="20" spans="2:4" ht="24" customHeight="1" x14ac:dyDescent="0.25">
      <c r="B20" s="260" t="s">
        <v>237</v>
      </c>
      <c r="C20" s="260" t="s">
        <v>311</v>
      </c>
      <c r="D20" s="206">
        <v>0.03</v>
      </c>
    </row>
    <row r="21" spans="2:4" ht="18.75" customHeight="1" x14ac:dyDescent="0.25">
      <c r="B21" s="207"/>
    </row>
    <row r="22" spans="2:4" ht="18.75" customHeight="1" x14ac:dyDescent="0.25">
      <c r="B22" s="207"/>
    </row>
    <row r="23" spans="2:4" ht="18.75" customHeight="1" x14ac:dyDescent="0.25">
      <c r="B23" s="207"/>
    </row>
    <row r="24" spans="2:4" ht="18.75" customHeight="1" x14ac:dyDescent="0.25">
      <c r="B24" s="207"/>
    </row>
    <row r="27" spans="2:4" x14ac:dyDescent="0.25">
      <c r="B27" s="4" t="s">
        <v>312</v>
      </c>
      <c r="C27" s="14"/>
    </row>
    <row r="28" spans="2:4" x14ac:dyDescent="0.25">
      <c r="B28" s="208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278</v>
      </c>
      <c r="C30" s="14"/>
    </row>
    <row r="31" spans="2:4" x14ac:dyDescent="0.25">
      <c r="B31" s="208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L11" sqref="L11"/>
    </sheetView>
  </sheetViews>
  <sheetFormatPr defaultRowHeight="15" x14ac:dyDescent="0.25"/>
  <cols>
    <col min="1" max="1" width="9.140625" style="190" customWidth="1"/>
    <col min="2" max="2" width="44.85546875" style="190" customWidth="1"/>
    <col min="3" max="3" width="13" style="190" customWidth="1"/>
    <col min="4" max="4" width="22.85546875" style="190" customWidth="1"/>
    <col min="5" max="5" width="21.5703125" style="190" customWidth="1"/>
    <col min="6" max="6" width="43.85546875" style="190" customWidth="1"/>
    <col min="7" max="7" width="9.140625" style="190" customWidth="1"/>
  </cols>
  <sheetData>
    <row r="2" spans="1:7" ht="17.25" customHeight="1" x14ac:dyDescent="0.25">
      <c r="A2" s="323" t="s">
        <v>313</v>
      </c>
      <c r="B2" s="323"/>
      <c r="C2" s="323"/>
      <c r="D2" s="323"/>
      <c r="E2" s="323"/>
      <c r="F2" s="323"/>
    </row>
    <row r="4" spans="1:7" ht="18" customHeight="1" x14ac:dyDescent="0.25">
      <c r="A4" s="191" t="s">
        <v>314</v>
      </c>
      <c r="B4" s="192"/>
      <c r="C4" s="192"/>
      <c r="D4" s="192"/>
      <c r="E4" s="192"/>
      <c r="F4" s="192"/>
      <c r="G4" s="192"/>
    </row>
    <row r="5" spans="1:7" ht="15.75" customHeight="1" x14ac:dyDescent="0.25">
      <c r="A5" s="193" t="s">
        <v>13</v>
      </c>
      <c r="B5" s="193" t="s">
        <v>315</v>
      </c>
      <c r="C5" s="193" t="s">
        <v>316</v>
      </c>
      <c r="D5" s="193" t="s">
        <v>317</v>
      </c>
      <c r="E5" s="193" t="s">
        <v>318</v>
      </c>
      <c r="F5" s="193" t="s">
        <v>319</v>
      </c>
      <c r="G5" s="192"/>
    </row>
    <row r="6" spans="1:7" ht="15.75" customHeight="1" x14ac:dyDescent="0.25">
      <c r="A6" s="193">
        <v>1</v>
      </c>
      <c r="B6" s="193">
        <v>2</v>
      </c>
      <c r="C6" s="193">
        <v>3</v>
      </c>
      <c r="D6" s="193">
        <v>4</v>
      </c>
      <c r="E6" s="193">
        <v>5</v>
      </c>
      <c r="F6" s="193">
        <v>6</v>
      </c>
      <c r="G6" s="192"/>
    </row>
    <row r="7" spans="1:7" ht="110.25" customHeight="1" x14ac:dyDescent="0.25">
      <c r="A7" s="194" t="s">
        <v>320</v>
      </c>
      <c r="B7" s="195" t="s">
        <v>321</v>
      </c>
      <c r="C7" s="196" t="s">
        <v>322</v>
      </c>
      <c r="D7" s="196" t="s">
        <v>323</v>
      </c>
      <c r="E7" s="197">
        <v>47872.94</v>
      </c>
      <c r="F7" s="195" t="s">
        <v>324</v>
      </c>
      <c r="G7" s="192"/>
    </row>
    <row r="8" spans="1:7" ht="31.5" customHeight="1" x14ac:dyDescent="0.25">
      <c r="A8" s="194" t="s">
        <v>325</v>
      </c>
      <c r="B8" s="195" t="s">
        <v>326</v>
      </c>
      <c r="C8" s="196" t="s">
        <v>327</v>
      </c>
      <c r="D8" s="196" t="s">
        <v>328</v>
      </c>
      <c r="E8" s="197">
        <f>1973/12</f>
        <v>164.41666666667001</v>
      </c>
      <c r="F8" s="164" t="s">
        <v>329</v>
      </c>
      <c r="G8" s="165"/>
    </row>
    <row r="9" spans="1:7" ht="15.75" customHeight="1" x14ac:dyDescent="0.25">
      <c r="A9" s="194" t="s">
        <v>330</v>
      </c>
      <c r="B9" s="195" t="s">
        <v>331</v>
      </c>
      <c r="C9" s="196" t="s">
        <v>332</v>
      </c>
      <c r="D9" s="196" t="s">
        <v>323</v>
      </c>
      <c r="E9" s="197">
        <v>1</v>
      </c>
      <c r="F9" s="164"/>
      <c r="G9" s="166"/>
    </row>
    <row r="10" spans="1:7" ht="15.75" customHeight="1" x14ac:dyDescent="0.25">
      <c r="A10" s="194" t="s">
        <v>333</v>
      </c>
      <c r="B10" s="195" t="s">
        <v>334</v>
      </c>
      <c r="C10" s="196"/>
      <c r="D10" s="196"/>
      <c r="E10" s="198">
        <v>3.3</v>
      </c>
      <c r="F10" s="164" t="s">
        <v>335</v>
      </c>
      <c r="G10" s="166"/>
    </row>
    <row r="11" spans="1:7" ht="78.75" customHeight="1" x14ac:dyDescent="0.25">
      <c r="A11" s="194" t="s">
        <v>336</v>
      </c>
      <c r="B11" s="195" t="s">
        <v>337</v>
      </c>
      <c r="C11" s="196" t="s">
        <v>338</v>
      </c>
      <c r="D11" s="196" t="s">
        <v>323</v>
      </c>
      <c r="E11" s="199">
        <v>1.232</v>
      </c>
      <c r="F11" s="195" t="s">
        <v>339</v>
      </c>
      <c r="G11" s="192"/>
    </row>
    <row r="12" spans="1:7" ht="78.75" customHeight="1" x14ac:dyDescent="0.25">
      <c r="A12" s="194" t="s">
        <v>340</v>
      </c>
      <c r="B12" s="200" t="s">
        <v>341</v>
      </c>
      <c r="C12" s="196" t="s">
        <v>342</v>
      </c>
      <c r="D12" s="196" t="s">
        <v>323</v>
      </c>
      <c r="E12" s="201">
        <v>1.139</v>
      </c>
      <c r="F12" s="202" t="s">
        <v>343</v>
      </c>
      <c r="G12" s="166"/>
    </row>
    <row r="13" spans="1:7" ht="63" customHeight="1" x14ac:dyDescent="0.25">
      <c r="A13" s="194" t="s">
        <v>344</v>
      </c>
      <c r="B13" s="203" t="s">
        <v>345</v>
      </c>
      <c r="C13" s="196" t="s">
        <v>346</v>
      </c>
      <c r="D13" s="196" t="s">
        <v>347</v>
      </c>
      <c r="E13" s="204">
        <f>((E7*E9/E8)*E11)*E12</f>
        <v>408.58149402404001</v>
      </c>
      <c r="F13" s="195" t="s">
        <v>348</v>
      </c>
      <c r="G13" s="19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5" t="s">
        <v>349</v>
      </c>
      <c r="B1" s="365"/>
      <c r="C1" s="365"/>
      <c r="D1" s="365"/>
      <c r="E1" s="365"/>
      <c r="F1" s="365"/>
      <c r="G1" s="365"/>
      <c r="H1" s="365"/>
      <c r="I1" s="365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8" t="e">
        <f>#REF!</f>
        <v>#REF!</v>
      </c>
      <c r="B3" s="318"/>
      <c r="C3" s="318"/>
      <c r="D3" s="318"/>
      <c r="E3" s="318"/>
      <c r="F3" s="318"/>
      <c r="G3" s="318"/>
      <c r="H3" s="318"/>
      <c r="I3" s="318"/>
    </row>
    <row r="4" spans="1:13" s="4" customFormat="1" ht="15.75" customHeight="1" x14ac:dyDescent="0.2">
      <c r="A4" s="366"/>
      <c r="B4" s="366"/>
      <c r="C4" s="366"/>
      <c r="D4" s="366"/>
      <c r="E4" s="366"/>
      <c r="F4" s="366"/>
      <c r="G4" s="366"/>
      <c r="H4" s="366"/>
      <c r="I4" s="366"/>
    </row>
    <row r="5" spans="1:13" s="31" customFormat="1" ht="36.6" customHeight="1" x14ac:dyDescent="0.35">
      <c r="A5" s="367" t="s">
        <v>13</v>
      </c>
      <c r="B5" s="367" t="s">
        <v>350</v>
      </c>
      <c r="C5" s="367" t="s">
        <v>351</v>
      </c>
      <c r="D5" s="367" t="s">
        <v>352</v>
      </c>
      <c r="E5" s="362" t="s">
        <v>353</v>
      </c>
      <c r="F5" s="362"/>
      <c r="G5" s="362"/>
      <c r="H5" s="362"/>
      <c r="I5" s="362"/>
    </row>
    <row r="6" spans="1:13" s="26" customFormat="1" ht="31.5" customHeight="1" x14ac:dyDescent="0.2">
      <c r="A6" s="367"/>
      <c r="B6" s="367"/>
      <c r="C6" s="367"/>
      <c r="D6" s="367"/>
      <c r="E6" s="32" t="s">
        <v>85</v>
      </c>
      <c r="F6" s="32" t="s">
        <v>86</v>
      </c>
      <c r="G6" s="32" t="s">
        <v>43</v>
      </c>
      <c r="H6" s="32" t="s">
        <v>354</v>
      </c>
      <c r="I6" s="32" t="s">
        <v>355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225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356</v>
      </c>
      <c r="C9" s="9" t="s">
        <v>357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358</v>
      </c>
      <c r="C11" s="9" t="s">
        <v>306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109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359</v>
      </c>
      <c r="C12" s="9" t="s">
        <v>360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361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309</v>
      </c>
      <c r="C14" s="9" t="s">
        <v>362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363</v>
      </c>
      <c r="C16" s="9" t="s">
        <v>364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365</v>
      </c>
    </row>
    <row r="17" spans="1:10" s="26" customFormat="1" ht="81.75" customHeight="1" x14ac:dyDescent="0.2">
      <c r="A17" s="33">
        <v>7</v>
      </c>
      <c r="B17" s="9" t="s">
        <v>363</v>
      </c>
      <c r="C17" s="136" t="s">
        <v>366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367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368</v>
      </c>
      <c r="C20" s="9" t="s">
        <v>237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369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370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371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372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373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9" t="s">
        <v>374</v>
      </c>
      <c r="O2" s="369"/>
    </row>
    <row r="3" spans="1:16" x14ac:dyDescent="0.25">
      <c r="A3" s="370" t="s">
        <v>375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5" spans="1:16" s="49" customFormat="1" ht="37.5" customHeight="1" x14ac:dyDescent="0.25">
      <c r="A5" s="371" t="s">
        <v>376</v>
      </c>
      <c r="B5" s="374" t="s">
        <v>377</v>
      </c>
      <c r="C5" s="377" t="s">
        <v>378</v>
      </c>
      <c r="D5" s="380" t="s">
        <v>379</v>
      </c>
      <c r="E5" s="381"/>
      <c r="F5" s="381"/>
      <c r="G5" s="381"/>
      <c r="H5" s="381"/>
      <c r="I5" s="380" t="s">
        <v>380</v>
      </c>
      <c r="J5" s="381"/>
      <c r="K5" s="381"/>
      <c r="L5" s="381"/>
      <c r="M5" s="381"/>
      <c r="N5" s="381"/>
      <c r="O5" s="52" t="s">
        <v>381</v>
      </c>
    </row>
    <row r="6" spans="1:16" s="55" customFormat="1" ht="150" customHeight="1" x14ac:dyDescent="0.25">
      <c r="A6" s="372"/>
      <c r="B6" s="375"/>
      <c r="C6" s="378"/>
      <c r="D6" s="377" t="s">
        <v>382</v>
      </c>
      <c r="E6" s="382" t="s">
        <v>383</v>
      </c>
      <c r="F6" s="383"/>
      <c r="G6" s="384"/>
      <c r="H6" s="53" t="s">
        <v>384</v>
      </c>
      <c r="I6" s="385" t="s">
        <v>385</v>
      </c>
      <c r="J6" s="385" t="s">
        <v>382</v>
      </c>
      <c r="K6" s="386" t="s">
        <v>383</v>
      </c>
      <c r="L6" s="386"/>
      <c r="M6" s="386"/>
      <c r="N6" s="53" t="s">
        <v>384</v>
      </c>
      <c r="O6" s="54" t="s">
        <v>386</v>
      </c>
    </row>
    <row r="7" spans="1:16" s="55" customFormat="1" ht="30.75" customHeight="1" x14ac:dyDescent="0.25">
      <c r="A7" s="373"/>
      <c r="B7" s="376"/>
      <c r="C7" s="379"/>
      <c r="D7" s="379"/>
      <c r="E7" s="52" t="s">
        <v>85</v>
      </c>
      <c r="F7" s="52" t="s">
        <v>86</v>
      </c>
      <c r="G7" s="52" t="s">
        <v>43</v>
      </c>
      <c r="H7" s="56" t="s">
        <v>387</v>
      </c>
      <c r="I7" s="385"/>
      <c r="J7" s="385"/>
      <c r="K7" s="52" t="s">
        <v>85</v>
      </c>
      <c r="L7" s="52" t="s">
        <v>86</v>
      </c>
      <c r="M7" s="52" t="s">
        <v>43</v>
      </c>
      <c r="N7" s="56" t="s">
        <v>387</v>
      </c>
      <c r="O7" s="52" t="s">
        <v>388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1" t="s">
        <v>389</v>
      </c>
      <c r="C9" s="58" t="s">
        <v>390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73"/>
      <c r="C10" s="62" t="s">
        <v>391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1" t="s">
        <v>392</v>
      </c>
      <c r="C11" s="62" t="s">
        <v>393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73"/>
      <c r="C12" s="62" t="s">
        <v>394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1" t="s">
        <v>395</v>
      </c>
      <c r="C13" s="58" t="s">
        <v>396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73"/>
      <c r="C14" s="62" t="s">
        <v>397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398</v>
      </c>
      <c r="C15" s="62" t="s">
        <v>399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400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401</v>
      </c>
    </row>
    <row r="19" spans="1:15" ht="30.75" customHeight="1" x14ac:dyDescent="0.25">
      <c r="L19" s="74"/>
    </row>
    <row r="20" spans="1:15" ht="15" customHeight="1" outlineLevel="1" x14ac:dyDescent="0.25">
      <c r="G20" s="368" t="s">
        <v>402</v>
      </c>
      <c r="H20" s="368"/>
      <c r="I20" s="368"/>
      <c r="J20" s="368"/>
      <c r="K20" s="368"/>
      <c r="L20" s="368"/>
      <c r="M20" s="368"/>
      <c r="N20" s="368"/>
      <c r="O20" s="51"/>
    </row>
    <row r="21" spans="1:15" ht="15.75" customHeight="1" outlineLevel="1" x14ac:dyDescent="0.25">
      <c r="G21" s="75"/>
      <c r="H21" s="75" t="s">
        <v>403</v>
      </c>
      <c r="I21" s="75" t="s">
        <v>404</v>
      </c>
      <c r="J21" s="76" t="s">
        <v>405</v>
      </c>
      <c r="K21" s="77" t="s">
        <v>406</v>
      </c>
      <c r="L21" s="75" t="s">
        <v>407</v>
      </c>
      <c r="M21" s="75" t="s">
        <v>408</v>
      </c>
      <c r="N21" s="76" t="s">
        <v>409</v>
      </c>
      <c r="O21" s="78"/>
    </row>
    <row r="22" spans="1:15" ht="15.75" customHeight="1" outlineLevel="1" x14ac:dyDescent="0.25">
      <c r="G22" s="388" t="s">
        <v>410</v>
      </c>
      <c r="H22" s="387">
        <v>6.09</v>
      </c>
      <c r="I22" s="389">
        <v>6.44</v>
      </c>
      <c r="J22" s="387">
        <v>5.77</v>
      </c>
      <c r="K22" s="389">
        <v>5.77</v>
      </c>
      <c r="L22" s="387">
        <v>5.23</v>
      </c>
      <c r="M22" s="387">
        <v>5.77</v>
      </c>
      <c r="N22" s="79">
        <v>6.29</v>
      </c>
      <c r="O22" s="50" t="s">
        <v>411</v>
      </c>
    </row>
    <row r="23" spans="1:15" ht="15.75" customHeight="1" outlineLevel="1" x14ac:dyDescent="0.25">
      <c r="G23" s="388"/>
      <c r="H23" s="387"/>
      <c r="I23" s="389"/>
      <c r="J23" s="387"/>
      <c r="K23" s="389"/>
      <c r="L23" s="387"/>
      <c r="M23" s="387"/>
      <c r="N23" s="79">
        <v>6.56</v>
      </c>
      <c r="O23" s="50" t="s">
        <v>412</v>
      </c>
    </row>
    <row r="24" spans="1:15" ht="15.75" customHeight="1" outlineLevel="1" x14ac:dyDescent="0.25">
      <c r="G24" s="80" t="s">
        <v>413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387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414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415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354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05" t="s">
        <v>416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</row>
    <row r="4" spans="1:18" ht="36.75" customHeight="1" x14ac:dyDescent="0.25">
      <c r="A4" s="371" t="s">
        <v>376</v>
      </c>
      <c r="B4" s="374" t="s">
        <v>377</v>
      </c>
      <c r="C4" s="377" t="s">
        <v>417</v>
      </c>
      <c r="D4" s="377" t="s">
        <v>418</v>
      </c>
      <c r="E4" s="380" t="s">
        <v>419</v>
      </c>
      <c r="F4" s="381"/>
      <c r="G4" s="381"/>
      <c r="H4" s="381"/>
      <c r="I4" s="381"/>
      <c r="J4" s="381"/>
      <c r="K4" s="381"/>
      <c r="L4" s="381"/>
      <c r="M4" s="381"/>
      <c r="N4" s="406" t="s">
        <v>420</v>
      </c>
      <c r="O4" s="407"/>
      <c r="P4" s="407"/>
      <c r="Q4" s="407"/>
      <c r="R4" s="408"/>
    </row>
    <row r="5" spans="1:18" ht="60" customHeight="1" x14ac:dyDescent="0.25">
      <c r="A5" s="372"/>
      <c r="B5" s="375"/>
      <c r="C5" s="378"/>
      <c r="D5" s="378"/>
      <c r="E5" s="385" t="s">
        <v>421</v>
      </c>
      <c r="F5" s="385" t="s">
        <v>422</v>
      </c>
      <c r="G5" s="382" t="s">
        <v>383</v>
      </c>
      <c r="H5" s="383"/>
      <c r="I5" s="383"/>
      <c r="J5" s="384"/>
      <c r="K5" s="385" t="s">
        <v>423</v>
      </c>
      <c r="L5" s="385"/>
      <c r="M5" s="385"/>
      <c r="N5" s="88" t="s">
        <v>424</v>
      </c>
      <c r="O5" s="88" t="s">
        <v>425</v>
      </c>
      <c r="P5" s="89" t="s">
        <v>426</v>
      </c>
      <c r="Q5" s="90" t="s">
        <v>427</v>
      </c>
      <c r="R5" s="89" t="s">
        <v>428</v>
      </c>
    </row>
    <row r="6" spans="1:18" ht="49.5" customHeight="1" x14ac:dyDescent="0.25">
      <c r="A6" s="373"/>
      <c r="B6" s="376"/>
      <c r="C6" s="379"/>
      <c r="D6" s="379"/>
      <c r="E6" s="385"/>
      <c r="F6" s="385"/>
      <c r="G6" s="52" t="s">
        <v>85</v>
      </c>
      <c r="H6" s="52" t="s">
        <v>86</v>
      </c>
      <c r="I6" s="91" t="s">
        <v>43</v>
      </c>
      <c r="J6" s="91" t="s">
        <v>354</v>
      </c>
      <c r="K6" s="52" t="s">
        <v>424</v>
      </c>
      <c r="L6" s="52" t="s">
        <v>425</v>
      </c>
      <c r="M6" s="52" t="s">
        <v>426</v>
      </c>
      <c r="N6" s="91" t="s">
        <v>429</v>
      </c>
      <c r="O6" s="91" t="s">
        <v>430</v>
      </c>
      <c r="P6" s="91" t="s">
        <v>431</v>
      </c>
      <c r="Q6" s="92" t="s">
        <v>432</v>
      </c>
      <c r="R6" s="93" t="s">
        <v>433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1">
        <v>1</v>
      </c>
      <c r="B9" s="371" t="s">
        <v>434</v>
      </c>
      <c r="C9" s="398" t="s">
        <v>390</v>
      </c>
      <c r="D9" s="98" t="s">
        <v>435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73"/>
      <c r="B10" s="372"/>
      <c r="C10" s="399"/>
      <c r="D10" s="98" t="s">
        <v>436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71">
        <v>2</v>
      </c>
      <c r="B11" s="372"/>
      <c r="C11" s="398" t="s">
        <v>437</v>
      </c>
      <c r="D11" s="103" t="s">
        <v>435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73"/>
      <c r="B12" s="373"/>
      <c r="C12" s="399"/>
      <c r="D12" s="103" t="s">
        <v>436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71">
        <v>3</v>
      </c>
      <c r="B13" s="371" t="s">
        <v>392</v>
      </c>
      <c r="C13" s="401" t="s">
        <v>393</v>
      </c>
      <c r="D13" s="98" t="s">
        <v>438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73"/>
      <c r="B14" s="372"/>
      <c r="C14" s="402"/>
      <c r="D14" s="98" t="s">
        <v>436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71">
        <v>4</v>
      </c>
      <c r="B15" s="372"/>
      <c r="C15" s="403" t="s">
        <v>394</v>
      </c>
      <c r="D15" s="104" t="s">
        <v>438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73"/>
      <c r="B16" s="373"/>
      <c r="C16" s="404"/>
      <c r="D16" s="104" t="s">
        <v>436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71">
        <v>5</v>
      </c>
      <c r="B17" s="386" t="s">
        <v>395</v>
      </c>
      <c r="C17" s="398" t="s">
        <v>439</v>
      </c>
      <c r="D17" s="98" t="s">
        <v>440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73"/>
      <c r="B18" s="386"/>
      <c r="C18" s="399"/>
      <c r="D18" s="98" t="s">
        <v>436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71">
        <v>6</v>
      </c>
      <c r="B19" s="386"/>
      <c r="C19" s="398" t="s">
        <v>397</v>
      </c>
      <c r="D19" s="104" t="s">
        <v>438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73"/>
      <c r="B20" s="386"/>
      <c r="C20" s="399"/>
      <c r="D20" s="104" t="s">
        <v>436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71">
        <v>7</v>
      </c>
      <c r="B21" s="371" t="s">
        <v>398</v>
      </c>
      <c r="C21" s="398" t="s">
        <v>399</v>
      </c>
      <c r="D21" s="104" t="s">
        <v>441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73"/>
      <c r="B22" s="373"/>
      <c r="C22" s="399"/>
      <c r="D22" s="105" t="s">
        <v>436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442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0" t="s">
        <v>443</v>
      </c>
      <c r="E26" s="400"/>
      <c r="F26" s="400"/>
      <c r="G26" s="400"/>
      <c r="H26" s="400"/>
      <c r="I26" s="400"/>
      <c r="J26" s="400"/>
      <c r="K26" s="400"/>
      <c r="L26" s="120"/>
      <c r="R26" s="121"/>
    </row>
    <row r="27" spans="1:18" outlineLevel="1" x14ac:dyDescent="0.25">
      <c r="D27" s="122"/>
      <c r="E27" s="122" t="s">
        <v>403</v>
      </c>
      <c r="F27" s="122" t="s">
        <v>404</v>
      </c>
      <c r="G27" s="122" t="s">
        <v>405</v>
      </c>
      <c r="H27" s="123" t="s">
        <v>406</v>
      </c>
      <c r="I27" s="123" t="s">
        <v>407</v>
      </c>
      <c r="J27" s="123" t="s">
        <v>408</v>
      </c>
      <c r="K27" s="110" t="s">
        <v>409</v>
      </c>
      <c r="L27" s="51"/>
    </row>
    <row r="28" spans="1:18" outlineLevel="1" x14ac:dyDescent="0.25">
      <c r="D28" s="394" t="s">
        <v>410</v>
      </c>
      <c r="E28" s="392">
        <v>6.09</v>
      </c>
      <c r="F28" s="396">
        <v>6.63</v>
      </c>
      <c r="G28" s="392">
        <v>5.77</v>
      </c>
      <c r="H28" s="390">
        <v>5.77</v>
      </c>
      <c r="I28" s="390">
        <v>6.35</v>
      </c>
      <c r="J28" s="392">
        <v>5.77</v>
      </c>
      <c r="K28" s="124">
        <v>6.29</v>
      </c>
      <c r="L28" s="86" t="s">
        <v>411</v>
      </c>
      <c r="M28" s="51"/>
    </row>
    <row r="29" spans="1:18" outlineLevel="1" x14ac:dyDescent="0.25">
      <c r="D29" s="395"/>
      <c r="E29" s="393"/>
      <c r="F29" s="397"/>
      <c r="G29" s="393"/>
      <c r="H29" s="391"/>
      <c r="I29" s="391"/>
      <c r="J29" s="393"/>
      <c r="K29" s="124">
        <v>6.56</v>
      </c>
      <c r="L29" s="86" t="s">
        <v>412</v>
      </c>
      <c r="M29" s="51"/>
    </row>
    <row r="30" spans="1:18" outlineLevel="1" x14ac:dyDescent="0.25">
      <c r="D30" s="125" t="s">
        <v>413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4" t="s">
        <v>387</v>
      </c>
      <c r="E31" s="392">
        <v>11.37</v>
      </c>
      <c r="F31" s="396">
        <v>13.56</v>
      </c>
      <c r="G31" s="392">
        <v>15.91</v>
      </c>
      <c r="H31" s="390">
        <v>15.91</v>
      </c>
      <c r="I31" s="390">
        <v>14.03</v>
      </c>
      <c r="J31" s="392">
        <v>15.91</v>
      </c>
      <c r="K31" s="124">
        <v>8.2899999999999991</v>
      </c>
      <c r="L31" s="86" t="s">
        <v>411</v>
      </c>
      <c r="R31" s="115"/>
    </row>
    <row r="32" spans="1:18" s="86" customFormat="1" outlineLevel="1" x14ac:dyDescent="0.25">
      <c r="D32" s="395"/>
      <c r="E32" s="393"/>
      <c r="F32" s="397"/>
      <c r="G32" s="393"/>
      <c r="H32" s="391"/>
      <c r="I32" s="391"/>
      <c r="J32" s="393"/>
      <c r="K32" s="124">
        <v>11.84</v>
      </c>
      <c r="L32" s="86" t="s">
        <v>412</v>
      </c>
      <c r="R32" s="115"/>
    </row>
    <row r="33" spans="4:18" s="86" customFormat="1" ht="15" customHeight="1" outlineLevel="1" x14ac:dyDescent="0.25">
      <c r="D33" s="128" t="s">
        <v>414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444</v>
      </c>
      <c r="R33" s="115"/>
    </row>
    <row r="34" spans="4:18" s="86" customFormat="1" outlineLevel="1" x14ac:dyDescent="0.25">
      <c r="D34" s="128" t="s">
        <v>415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444</v>
      </c>
      <c r="R34" s="115"/>
    </row>
    <row r="35" spans="4:18" s="86" customFormat="1" outlineLevel="1" x14ac:dyDescent="0.25">
      <c r="D35" s="125" t="s">
        <v>354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5" t="s">
        <v>10</v>
      </c>
      <c r="B2" s="315"/>
      <c r="C2" s="315"/>
      <c r="D2" s="315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8"/>
    </row>
    <row r="5" spans="1:4" x14ac:dyDescent="0.25">
      <c r="A5" s="6"/>
      <c r="B5" s="1"/>
      <c r="C5" s="1"/>
    </row>
    <row r="6" spans="1:4" x14ac:dyDescent="0.25">
      <c r="A6" s="315" t="s">
        <v>12</v>
      </c>
      <c r="B6" s="315"/>
      <c r="C6" s="315"/>
      <c r="D6" s="315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9" t="s">
        <v>5</v>
      </c>
      <c r="B15" s="320" t="s">
        <v>15</v>
      </c>
      <c r="C15" s="320"/>
      <c r="D15" s="320"/>
    </row>
    <row r="16" spans="1:4" x14ac:dyDescent="0.25">
      <c r="A16" s="319"/>
      <c r="B16" s="319" t="s">
        <v>17</v>
      </c>
      <c r="C16" s="320" t="s">
        <v>28</v>
      </c>
      <c r="D16" s="320"/>
    </row>
    <row r="17" spans="1:4" ht="39" customHeight="1" x14ac:dyDescent="0.25">
      <c r="A17" s="319"/>
      <c r="B17" s="319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1" t="s">
        <v>29</v>
      </c>
      <c r="B2" s="321"/>
      <c r="C2" s="321"/>
      <c r="D2" s="321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5" zoomScale="115" zoomScaleNormal="55" zoomScaleSheetLayoutView="115" workbookViewId="0">
      <selection activeCell="D29" sqref="D29"/>
    </sheetView>
  </sheetViews>
  <sheetFormatPr defaultColWidth="9.140625" defaultRowHeight="15.75" x14ac:dyDescent="0.25"/>
  <cols>
    <col min="1" max="2" width="9.140625" style="168"/>
    <col min="3" max="3" width="36.85546875" style="168" customWidth="1"/>
    <col min="4" max="4" width="39.42578125" style="168" customWidth="1"/>
    <col min="5" max="6" width="36.5703125" style="168" hidden="1" customWidth="1"/>
    <col min="7" max="11" width="9.140625" style="168"/>
    <col min="12" max="12" width="14.7109375" style="168" customWidth="1"/>
    <col min="13" max="13" width="17.7109375" style="168" customWidth="1"/>
    <col min="14" max="14" width="9.140625" style="168"/>
  </cols>
  <sheetData>
    <row r="3" spans="2:6" x14ac:dyDescent="0.25">
      <c r="B3" s="322" t="s">
        <v>45</v>
      </c>
      <c r="C3" s="322"/>
      <c r="D3" s="322"/>
      <c r="E3" s="322"/>
      <c r="F3" s="322"/>
    </row>
    <row r="4" spans="2:6" x14ac:dyDescent="0.25">
      <c r="B4" s="323" t="s">
        <v>46</v>
      </c>
      <c r="C4" s="323"/>
      <c r="D4" s="323"/>
      <c r="E4" s="323"/>
      <c r="F4" s="323"/>
    </row>
    <row r="5" spans="2:6" x14ac:dyDescent="0.25">
      <c r="B5" s="169"/>
      <c r="C5" s="169"/>
      <c r="D5" s="169"/>
      <c r="E5" s="169"/>
      <c r="F5" s="169"/>
    </row>
    <row r="6" spans="2:6" x14ac:dyDescent="0.25">
      <c r="B6" s="169"/>
      <c r="C6" s="169"/>
      <c r="D6" s="169"/>
      <c r="E6" s="169"/>
      <c r="F6" s="169"/>
    </row>
    <row r="7" spans="2:6" ht="48.75" customHeight="1" x14ac:dyDescent="0.25">
      <c r="B7" s="324" t="s">
        <v>47</v>
      </c>
      <c r="C7" s="324"/>
      <c r="D7" s="324"/>
      <c r="E7" s="324"/>
      <c r="F7" s="324"/>
    </row>
    <row r="8" spans="2:6" ht="31.5" customHeight="1" x14ac:dyDescent="0.25">
      <c r="B8" s="324" t="s">
        <v>48</v>
      </c>
      <c r="C8" s="324"/>
      <c r="D8" s="324"/>
      <c r="E8" s="324"/>
      <c r="F8" s="324"/>
    </row>
    <row r="9" spans="2:6" x14ac:dyDescent="0.25">
      <c r="B9" s="324" t="s">
        <v>49</v>
      </c>
      <c r="C9" s="324"/>
      <c r="D9" s="324"/>
      <c r="E9" s="324"/>
      <c r="F9" s="324"/>
    </row>
    <row r="10" spans="2:6" x14ac:dyDescent="0.25">
      <c r="B10" s="259"/>
    </row>
    <row r="11" spans="2:6" x14ac:dyDescent="0.25">
      <c r="B11" s="260" t="s">
        <v>33</v>
      </c>
      <c r="C11" s="260" t="s">
        <v>50</v>
      </c>
      <c r="D11" s="311" t="s">
        <v>51</v>
      </c>
      <c r="E11" s="170"/>
      <c r="F11" s="170"/>
    </row>
    <row r="12" spans="2:6" ht="31.5" customHeight="1" x14ac:dyDescent="0.25">
      <c r="B12" s="260">
        <v>1</v>
      </c>
      <c r="C12" s="170" t="s">
        <v>52</v>
      </c>
      <c r="D12" s="312" t="s">
        <v>53</v>
      </c>
      <c r="E12" s="170"/>
      <c r="F12" s="170"/>
    </row>
    <row r="13" spans="2:6" ht="31.5" customHeight="1" x14ac:dyDescent="0.25">
      <c r="B13" s="260">
        <v>2</v>
      </c>
      <c r="C13" s="170" t="s">
        <v>54</v>
      </c>
      <c r="D13" s="312" t="s">
        <v>55</v>
      </c>
      <c r="E13" s="170"/>
      <c r="F13" s="170"/>
    </row>
    <row r="14" spans="2:6" x14ac:dyDescent="0.25">
      <c r="B14" s="260">
        <v>3</v>
      </c>
      <c r="C14" s="170" t="s">
        <v>56</v>
      </c>
      <c r="D14" s="312" t="s">
        <v>57</v>
      </c>
      <c r="E14" s="170"/>
      <c r="F14" s="170"/>
    </row>
    <row r="15" spans="2:6" x14ac:dyDescent="0.25">
      <c r="B15" s="260">
        <v>4</v>
      </c>
      <c r="C15" s="170" t="s">
        <v>58</v>
      </c>
      <c r="D15" s="312">
        <v>1</v>
      </c>
      <c r="E15" s="171"/>
      <c r="F15" s="171"/>
    </row>
    <row r="16" spans="2:6" ht="94.5" customHeight="1" x14ac:dyDescent="0.25">
      <c r="B16" s="260">
        <v>5</v>
      </c>
      <c r="C16" s="172" t="s">
        <v>59</v>
      </c>
      <c r="D16" s="170" t="s">
        <v>60</v>
      </c>
      <c r="E16" s="170"/>
      <c r="F16" s="170"/>
    </row>
    <row r="17" spans="2:12" ht="78.75" customHeight="1" x14ac:dyDescent="0.25">
      <c r="B17" s="260">
        <v>6</v>
      </c>
      <c r="C17" s="172" t="s">
        <v>61</v>
      </c>
      <c r="D17" s="173">
        <f>SUM(D18)</f>
        <v>142478.0448</v>
      </c>
      <c r="E17" s="173"/>
      <c r="F17" s="173"/>
    </row>
    <row r="18" spans="2:12" x14ac:dyDescent="0.25">
      <c r="B18" s="174" t="s">
        <v>62</v>
      </c>
      <c r="C18" s="170" t="s">
        <v>63</v>
      </c>
      <c r="D18" s="173">
        <v>142478.0448</v>
      </c>
      <c r="E18" s="173"/>
      <c r="F18" s="173"/>
    </row>
    <row r="19" spans="2:12" ht="15.75" customHeight="1" x14ac:dyDescent="0.25">
      <c r="B19" s="174" t="s">
        <v>64</v>
      </c>
      <c r="C19" s="170" t="s">
        <v>65</v>
      </c>
      <c r="D19" s="173">
        <v>357421.01059999998</v>
      </c>
      <c r="E19" s="173"/>
      <c r="F19" s="173"/>
    </row>
    <row r="20" spans="2:12" ht="16.5" customHeight="1" x14ac:dyDescent="0.25">
      <c r="B20" s="174" t="s">
        <v>66</v>
      </c>
      <c r="C20" s="170" t="s">
        <v>67</v>
      </c>
      <c r="D20" s="173"/>
      <c r="E20" s="173"/>
      <c r="F20" s="173"/>
      <c r="L20" s="274"/>
    </row>
    <row r="21" spans="2:12" ht="35.25" customHeight="1" x14ac:dyDescent="0.25">
      <c r="B21" s="174" t="s">
        <v>68</v>
      </c>
      <c r="C21" s="175" t="s">
        <v>69</v>
      </c>
      <c r="D21" s="173"/>
      <c r="E21" s="173"/>
      <c r="F21" s="173"/>
    </row>
    <row r="22" spans="2:12" x14ac:dyDescent="0.25">
      <c r="B22" s="260">
        <v>7</v>
      </c>
      <c r="C22" s="175" t="s">
        <v>70</v>
      </c>
      <c r="D22" s="260" t="s">
        <v>71</v>
      </c>
      <c r="E22" s="260"/>
      <c r="F22" s="173"/>
    </row>
    <row r="23" spans="2:12" ht="123" customHeight="1" x14ac:dyDescent="0.25">
      <c r="B23" s="260">
        <v>8</v>
      </c>
      <c r="C23" s="176" t="s">
        <v>72</v>
      </c>
      <c r="D23" s="173">
        <f>'Прил.2 Расч стоим'!F12</f>
        <v>142.47804479999999</v>
      </c>
      <c r="E23" s="173"/>
      <c r="F23" s="177"/>
    </row>
    <row r="24" spans="2:12" ht="60.75" customHeight="1" x14ac:dyDescent="0.25">
      <c r="B24" s="260">
        <v>9</v>
      </c>
      <c r="C24" s="172" t="s">
        <v>73</v>
      </c>
      <c r="D24" s="173">
        <f>'Прил.2 Расч стоим'!H12</f>
        <v>357.42101059999999</v>
      </c>
      <c r="E24" s="173"/>
      <c r="F24" s="173"/>
    </row>
    <row r="25" spans="2:12" ht="164.25" customHeight="1" x14ac:dyDescent="0.25">
      <c r="B25" s="260">
        <v>10</v>
      </c>
      <c r="C25" s="170" t="s">
        <v>74</v>
      </c>
      <c r="D25" s="170"/>
      <c r="E25" s="170"/>
      <c r="F25" s="170"/>
    </row>
    <row r="26" spans="2:12" x14ac:dyDescent="0.25">
      <c r="B26" s="178"/>
      <c r="C26" s="179"/>
      <c r="D26" s="179"/>
      <c r="E26" s="179"/>
      <c r="F26" s="179"/>
    </row>
    <row r="27" spans="2:12" ht="37.5" customHeight="1" x14ac:dyDescent="0.25">
      <c r="B27" s="180"/>
    </row>
    <row r="28" spans="2:12" x14ac:dyDescent="0.25">
      <c r="B28" s="168" t="s">
        <v>75</v>
      </c>
    </row>
    <row r="29" spans="2:12" x14ac:dyDescent="0.25">
      <c r="B29" s="180" t="s">
        <v>76</v>
      </c>
    </row>
    <row r="31" spans="2:12" x14ac:dyDescent="0.25">
      <c r="B31" s="168" t="s">
        <v>77</v>
      </c>
    </row>
    <row r="32" spans="2:12" x14ac:dyDescent="0.25">
      <c r="B32" s="180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41"/>
  <sheetViews>
    <sheetView view="pageBreakPreview" zoomScale="70" zoomScaleNormal="70" workbookViewId="0">
      <selection activeCell="F22" sqref="F22"/>
    </sheetView>
  </sheetViews>
  <sheetFormatPr defaultColWidth="9.140625" defaultRowHeight="15.75" x14ac:dyDescent="0.25"/>
  <cols>
    <col min="1" max="1" width="5.5703125" style="168" customWidth="1"/>
    <col min="2" max="2" width="9.140625" style="168"/>
    <col min="3" max="3" width="35.28515625" style="168" customWidth="1"/>
    <col min="4" max="4" width="13.85546875" style="168" customWidth="1"/>
    <col min="5" max="5" width="24.85546875" style="168" customWidth="1"/>
    <col min="6" max="6" width="15.5703125" style="168" customWidth="1"/>
    <col min="7" max="7" width="14.85546875" style="168" customWidth="1"/>
    <col min="8" max="8" width="16.7109375" style="168" customWidth="1"/>
    <col min="9" max="10" width="13" style="168" customWidth="1"/>
    <col min="11" max="11" width="18" style="168" customWidth="1"/>
    <col min="12" max="12" width="9.140625" style="168"/>
  </cols>
  <sheetData>
    <row r="3" spans="2:12" x14ac:dyDescent="0.25">
      <c r="B3" s="322" t="s">
        <v>79</v>
      </c>
      <c r="C3" s="322"/>
      <c r="D3" s="322"/>
      <c r="E3" s="322"/>
      <c r="F3" s="322"/>
      <c r="G3" s="322"/>
      <c r="H3" s="322"/>
      <c r="I3" s="322"/>
      <c r="J3" s="322"/>
      <c r="K3" s="180"/>
    </row>
    <row r="4" spans="2:12" x14ac:dyDescent="0.25">
      <c r="B4" s="323" t="s">
        <v>80</v>
      </c>
      <c r="C4" s="323"/>
      <c r="D4" s="323"/>
      <c r="E4" s="323"/>
      <c r="F4" s="323"/>
      <c r="G4" s="323"/>
      <c r="H4" s="323"/>
      <c r="I4" s="323"/>
      <c r="J4" s="323"/>
      <c r="K4" s="323"/>
    </row>
    <row r="5" spans="2:12" x14ac:dyDescent="0.25">
      <c r="B5" s="169"/>
      <c r="C5" s="169"/>
      <c r="D5" s="169"/>
      <c r="E5" s="169"/>
      <c r="F5" s="169"/>
      <c r="G5" s="169"/>
      <c r="H5" s="169"/>
      <c r="I5" s="169"/>
      <c r="J5" s="169"/>
      <c r="K5" s="169"/>
    </row>
    <row r="6" spans="2:12" ht="30" customHeight="1" x14ac:dyDescent="0.25">
      <c r="B6" s="326" t="s">
        <v>47</v>
      </c>
      <c r="C6" s="326"/>
      <c r="D6" s="326"/>
      <c r="E6" s="326"/>
      <c r="F6" s="326"/>
      <c r="G6" s="326"/>
      <c r="H6" s="326"/>
      <c r="I6" s="326"/>
      <c r="J6" s="326"/>
      <c r="K6" s="180"/>
      <c r="L6" s="257"/>
    </row>
    <row r="7" spans="2:12" x14ac:dyDescent="0.25">
      <c r="B7" s="324" t="s">
        <v>49</v>
      </c>
      <c r="C7" s="324"/>
      <c r="D7" s="324"/>
      <c r="E7" s="324"/>
      <c r="F7" s="324"/>
      <c r="G7" s="324"/>
      <c r="H7" s="324"/>
      <c r="I7" s="324"/>
      <c r="J7" s="324"/>
      <c r="K7" s="324"/>
      <c r="L7" s="257"/>
    </row>
    <row r="8" spans="2:12" x14ac:dyDescent="0.25">
      <c r="B8" s="259"/>
    </row>
    <row r="9" spans="2:12" ht="15.75" customHeight="1" x14ac:dyDescent="0.25">
      <c r="B9" s="327" t="s">
        <v>33</v>
      </c>
      <c r="C9" s="327" t="s">
        <v>81</v>
      </c>
      <c r="D9" s="327" t="s">
        <v>51</v>
      </c>
      <c r="E9" s="327"/>
      <c r="F9" s="327"/>
      <c r="G9" s="327"/>
      <c r="H9" s="327"/>
      <c r="I9" s="327"/>
      <c r="J9" s="327"/>
    </row>
    <row r="10" spans="2:12" ht="15.75" customHeight="1" x14ac:dyDescent="0.25">
      <c r="B10" s="327"/>
      <c r="C10" s="327"/>
      <c r="D10" s="327" t="s">
        <v>82</v>
      </c>
      <c r="E10" s="327" t="s">
        <v>83</v>
      </c>
      <c r="F10" s="327" t="s">
        <v>84</v>
      </c>
      <c r="G10" s="327"/>
      <c r="H10" s="327"/>
      <c r="I10" s="327"/>
      <c r="J10" s="327"/>
    </row>
    <row r="11" spans="2:12" ht="31.5" customHeight="1" x14ac:dyDescent="0.25">
      <c r="B11" s="327"/>
      <c r="C11" s="327"/>
      <c r="D11" s="327"/>
      <c r="E11" s="327"/>
      <c r="F11" s="260" t="s">
        <v>85</v>
      </c>
      <c r="G11" s="260" t="s">
        <v>86</v>
      </c>
      <c r="H11" s="260" t="s">
        <v>43</v>
      </c>
      <c r="I11" s="260" t="s">
        <v>87</v>
      </c>
      <c r="J11" s="260" t="s">
        <v>88</v>
      </c>
    </row>
    <row r="12" spans="2:12" ht="63" customHeight="1" x14ac:dyDescent="0.25">
      <c r="B12" s="187">
        <v>1</v>
      </c>
      <c r="C12" s="294" t="s">
        <v>60</v>
      </c>
      <c r="D12" s="181" t="s">
        <v>89</v>
      </c>
      <c r="E12" s="170" t="s">
        <v>90</v>
      </c>
      <c r="F12" s="328">
        <v>142.47804479999999</v>
      </c>
      <c r="G12" s="329"/>
      <c r="H12" s="258">
        <v>357.42101059999999</v>
      </c>
      <c r="I12" s="182"/>
      <c r="J12" s="183">
        <f>SUM(F12:I12)</f>
        <v>499.89905540000001</v>
      </c>
    </row>
    <row r="13" spans="2:12" ht="15.75" customHeight="1" x14ac:dyDescent="0.25">
      <c r="B13" s="325" t="s">
        <v>91</v>
      </c>
      <c r="C13" s="325"/>
      <c r="D13" s="325"/>
      <c r="E13" s="325"/>
      <c r="F13" s="330">
        <f>F12</f>
        <v>142.47804479999999</v>
      </c>
      <c r="G13" s="331"/>
      <c r="H13" s="184">
        <f>H12</f>
        <v>357.42101059999999</v>
      </c>
      <c r="I13" s="185"/>
      <c r="J13" s="186">
        <f>J12</f>
        <v>499.89905540000001</v>
      </c>
    </row>
    <row r="14" spans="2:12" ht="28.5" customHeight="1" x14ac:dyDescent="0.25">
      <c r="B14" s="325" t="s">
        <v>92</v>
      </c>
      <c r="C14" s="325"/>
      <c r="D14" s="325"/>
      <c r="E14" s="325"/>
      <c r="F14" s="330">
        <f>F12</f>
        <v>142.47804479999999</v>
      </c>
      <c r="G14" s="331"/>
      <c r="H14" s="184">
        <f>H12</f>
        <v>357.42101059999999</v>
      </c>
      <c r="I14" s="185"/>
      <c r="J14" s="186">
        <f>J12</f>
        <v>499.89905540000001</v>
      </c>
    </row>
    <row r="15" spans="2:12" x14ac:dyDescent="0.25">
      <c r="B15" s="259"/>
    </row>
    <row r="18" spans="2:3" x14ac:dyDescent="0.25">
      <c r="B18" s="295" t="s">
        <v>93</v>
      </c>
      <c r="C18" s="168" t="s">
        <v>94</v>
      </c>
    </row>
    <row r="22" spans="2:3" x14ac:dyDescent="0.25">
      <c r="B22" s="168" t="s">
        <v>75</v>
      </c>
    </row>
    <row r="23" spans="2:3" x14ac:dyDescent="0.25">
      <c r="B23" s="180" t="s">
        <v>76</v>
      </c>
    </row>
    <row r="25" spans="2:3" x14ac:dyDescent="0.25">
      <c r="B25" s="168" t="s">
        <v>77</v>
      </c>
    </row>
    <row r="26" spans="2:3" x14ac:dyDescent="0.25">
      <c r="B26" s="180" t="s">
        <v>78</v>
      </c>
    </row>
    <row r="41" spans="9:9" x14ac:dyDescent="0.25">
      <c r="I41" s="272"/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66"/>
  <sheetViews>
    <sheetView view="pageBreakPreview" topLeftCell="A37" zoomScaleSheetLayoutView="100" workbookViewId="0">
      <selection activeCell="D64" sqref="D64"/>
    </sheetView>
  </sheetViews>
  <sheetFormatPr defaultColWidth="9.140625" defaultRowHeight="15.75" x14ac:dyDescent="0.25"/>
  <cols>
    <col min="1" max="1" width="9.140625" style="168"/>
    <col min="2" max="2" width="12.5703125" style="168" customWidth="1"/>
    <col min="3" max="3" width="22.42578125" style="168" customWidth="1"/>
    <col min="4" max="4" width="49.7109375" style="168" customWidth="1"/>
    <col min="5" max="5" width="10.140625" style="247" customWidth="1"/>
    <col min="6" max="6" width="20.7109375" style="168" customWidth="1"/>
    <col min="7" max="7" width="16.140625" style="168" customWidth="1"/>
    <col min="8" max="8" width="16.7109375" style="168" customWidth="1"/>
    <col min="9" max="10" width="9.140625" style="168"/>
    <col min="11" max="11" width="14" style="168" customWidth="1"/>
    <col min="12" max="12" width="9.140625" style="168"/>
  </cols>
  <sheetData>
    <row r="2" spans="1:12" s="301" customFormat="1" x14ac:dyDescent="0.25">
      <c r="A2" s="300"/>
      <c r="B2" s="300"/>
      <c r="C2" s="300"/>
      <c r="D2" s="300"/>
      <c r="E2" s="247"/>
      <c r="F2" s="300"/>
      <c r="G2" s="300"/>
      <c r="H2" s="300"/>
      <c r="I2" s="300"/>
      <c r="J2" s="300"/>
      <c r="K2" s="300"/>
      <c r="L2" s="300"/>
    </row>
    <row r="3" spans="1:12" s="301" customFormat="1" x14ac:dyDescent="0.25">
      <c r="A3" s="300"/>
      <c r="B3" s="300"/>
      <c r="C3" s="300"/>
      <c r="D3" s="300"/>
      <c r="E3" s="247"/>
      <c r="F3" s="300"/>
      <c r="G3" s="300"/>
      <c r="H3" s="300"/>
      <c r="I3" s="300"/>
      <c r="J3" s="300"/>
      <c r="K3" s="300"/>
      <c r="L3" s="300"/>
    </row>
    <row r="4" spans="1:12" x14ac:dyDescent="0.25">
      <c r="A4" s="322" t="s">
        <v>95</v>
      </c>
      <c r="B4" s="322"/>
      <c r="C4" s="322"/>
      <c r="D4" s="322"/>
      <c r="E4" s="322"/>
      <c r="F4" s="322"/>
      <c r="G4" s="322"/>
      <c r="H4" s="322"/>
    </row>
    <row r="5" spans="1:12" x14ac:dyDescent="0.25">
      <c r="A5" s="323" t="s">
        <v>96</v>
      </c>
      <c r="B5" s="323"/>
      <c r="C5" s="323"/>
      <c r="D5" s="323"/>
      <c r="E5" s="323"/>
      <c r="F5" s="323"/>
      <c r="G5" s="323"/>
      <c r="H5" s="323"/>
    </row>
    <row r="6" spans="1:12" x14ac:dyDescent="0.25">
      <c r="A6" s="259"/>
    </row>
    <row r="7" spans="1:12" ht="41.25" customHeight="1" x14ac:dyDescent="0.25">
      <c r="A7" s="326" t="s">
        <v>97</v>
      </c>
      <c r="B7" s="326"/>
      <c r="C7" s="326"/>
      <c r="D7" s="326"/>
      <c r="E7" s="326"/>
      <c r="F7" s="326"/>
      <c r="G7" s="326"/>
      <c r="H7" s="326"/>
    </row>
    <row r="8" spans="1:12" x14ac:dyDescent="0.25">
      <c r="A8" s="248"/>
      <c r="B8" s="248"/>
      <c r="C8" s="248"/>
      <c r="D8" s="248"/>
      <c r="E8" s="169"/>
      <c r="F8" s="248"/>
      <c r="G8" s="248"/>
      <c r="H8" s="248"/>
    </row>
    <row r="9" spans="1:12" ht="38.25" customHeight="1" x14ac:dyDescent="0.25">
      <c r="A9" s="327" t="s">
        <v>98</v>
      </c>
      <c r="B9" s="327" t="s">
        <v>99</v>
      </c>
      <c r="C9" s="327" t="s">
        <v>100</v>
      </c>
      <c r="D9" s="327" t="s">
        <v>101</v>
      </c>
      <c r="E9" s="327" t="s">
        <v>102</v>
      </c>
      <c r="F9" s="327" t="s">
        <v>103</v>
      </c>
      <c r="G9" s="327" t="s">
        <v>104</v>
      </c>
      <c r="H9" s="327"/>
    </row>
    <row r="10" spans="1:12" ht="40.5" customHeight="1" x14ac:dyDescent="0.25">
      <c r="A10" s="327"/>
      <c r="B10" s="327"/>
      <c r="C10" s="327"/>
      <c r="D10" s="327"/>
      <c r="E10" s="327"/>
      <c r="F10" s="327"/>
      <c r="G10" s="260" t="s">
        <v>105</v>
      </c>
      <c r="H10" s="260" t="s">
        <v>106</v>
      </c>
    </row>
    <row r="11" spans="1:12" x14ac:dyDescent="0.25">
      <c r="A11" s="249">
        <v>1</v>
      </c>
      <c r="B11" s="249"/>
      <c r="C11" s="249">
        <v>2</v>
      </c>
      <c r="D11" s="249" t="s">
        <v>107</v>
      </c>
      <c r="E11" s="249">
        <v>4</v>
      </c>
      <c r="F11" s="249">
        <v>5</v>
      </c>
      <c r="G11" s="249">
        <v>6</v>
      </c>
      <c r="H11" s="249">
        <v>7</v>
      </c>
    </row>
    <row r="12" spans="1:12" s="251" customFormat="1" x14ac:dyDescent="0.25">
      <c r="A12" s="332" t="s">
        <v>108</v>
      </c>
      <c r="B12" s="333"/>
      <c r="C12" s="334"/>
      <c r="D12" s="334"/>
      <c r="E12" s="333"/>
      <c r="F12" s="250">
        <f>SUM(F13:F17)</f>
        <v>242.21433333332999</v>
      </c>
      <c r="G12" s="250"/>
      <c r="H12" s="250">
        <f>SUM(H13:H17)</f>
        <v>2978.2</v>
      </c>
      <c r="I12" s="168"/>
      <c r="J12" s="168"/>
      <c r="K12" s="168"/>
    </row>
    <row r="13" spans="1:12" x14ac:dyDescent="0.25">
      <c r="A13" s="252">
        <v>1</v>
      </c>
      <c r="B13" s="253" t="s">
        <v>109</v>
      </c>
      <c r="C13" s="254" t="s">
        <v>110</v>
      </c>
      <c r="D13" s="255" t="s">
        <v>111</v>
      </c>
      <c r="E13" s="256" t="s">
        <v>112</v>
      </c>
      <c r="F13" s="252">
        <v>124.93333333333</v>
      </c>
      <c r="G13" s="188">
        <v>15.49</v>
      </c>
      <c r="H13" s="188">
        <f>ROUND(F13*G13,2)</f>
        <v>1935.22</v>
      </c>
      <c r="L13" s="251"/>
    </row>
    <row r="14" spans="1:12" x14ac:dyDescent="0.25">
      <c r="A14" s="252">
        <v>2</v>
      </c>
      <c r="B14" s="253" t="s">
        <v>109</v>
      </c>
      <c r="C14" s="254" t="s">
        <v>113</v>
      </c>
      <c r="D14" s="255" t="s">
        <v>114</v>
      </c>
      <c r="E14" s="256" t="s">
        <v>112</v>
      </c>
      <c r="F14" s="252">
        <v>58.274999999999999</v>
      </c>
      <c r="G14" s="188">
        <v>8.5299999999999994</v>
      </c>
      <c r="H14" s="188">
        <f>ROUND(F14*G14,2)</f>
        <v>497.09</v>
      </c>
      <c r="L14" s="273"/>
    </row>
    <row r="15" spans="1:12" x14ac:dyDescent="0.25">
      <c r="A15" s="252">
        <v>3</v>
      </c>
      <c r="B15" s="253" t="s">
        <v>109</v>
      </c>
      <c r="C15" s="254" t="s">
        <v>115</v>
      </c>
      <c r="D15" s="255" t="s">
        <v>116</v>
      </c>
      <c r="E15" s="256" t="s">
        <v>112</v>
      </c>
      <c r="F15" s="252">
        <v>34.333333333333002</v>
      </c>
      <c r="G15" s="188">
        <v>9.07</v>
      </c>
      <c r="H15" s="188">
        <f>ROUND(F15*G15,2)</f>
        <v>311.39999999999998</v>
      </c>
      <c r="L15" s="251"/>
    </row>
    <row r="16" spans="1:12" x14ac:dyDescent="0.25">
      <c r="A16" s="252">
        <v>4</v>
      </c>
      <c r="B16" s="253" t="s">
        <v>109</v>
      </c>
      <c r="C16" s="254" t="s">
        <v>117</v>
      </c>
      <c r="D16" s="255" t="s">
        <v>118</v>
      </c>
      <c r="E16" s="256" t="s">
        <v>112</v>
      </c>
      <c r="F16" s="252">
        <v>13</v>
      </c>
      <c r="G16" s="188">
        <v>9.4</v>
      </c>
      <c r="H16" s="188">
        <f>ROUND(F16*G16,2)</f>
        <v>122.2</v>
      </c>
      <c r="L16" s="251"/>
    </row>
    <row r="17" spans="1:12" x14ac:dyDescent="0.25">
      <c r="A17" s="252">
        <v>5</v>
      </c>
      <c r="B17" s="253" t="s">
        <v>109</v>
      </c>
      <c r="C17" s="254" t="s">
        <v>119</v>
      </c>
      <c r="D17" s="255" t="s">
        <v>120</v>
      </c>
      <c r="E17" s="256" t="s">
        <v>112</v>
      </c>
      <c r="F17" s="252">
        <v>11.672666666667</v>
      </c>
      <c r="G17" s="188">
        <v>9.6199999999999992</v>
      </c>
      <c r="H17" s="188">
        <f>ROUND(F17*G17,2)</f>
        <v>112.29</v>
      </c>
      <c r="L17" s="251"/>
    </row>
    <row r="18" spans="1:12" x14ac:dyDescent="0.25">
      <c r="A18" s="332" t="s">
        <v>121</v>
      </c>
      <c r="B18" s="333"/>
      <c r="C18" s="334"/>
      <c r="D18" s="334"/>
      <c r="E18" s="333"/>
      <c r="F18" s="261">
        <f>F19</f>
        <v>7.8066000000000004</v>
      </c>
      <c r="G18" s="250"/>
      <c r="H18" s="250">
        <f>H19</f>
        <v>78.53</v>
      </c>
    </row>
    <row r="19" spans="1:12" x14ac:dyDescent="0.25">
      <c r="A19" s="252">
        <v>6</v>
      </c>
      <c r="B19" s="252" t="s">
        <v>109</v>
      </c>
      <c r="C19" s="255">
        <v>2</v>
      </c>
      <c r="D19" s="255" t="s">
        <v>121</v>
      </c>
      <c r="E19" s="256" t="s">
        <v>112</v>
      </c>
      <c r="F19" s="252">
        <v>7.8066000000000004</v>
      </c>
      <c r="G19" s="188"/>
      <c r="H19" s="188">
        <v>78.53</v>
      </c>
    </row>
    <row r="20" spans="1:12" s="251" customFormat="1" x14ac:dyDescent="0.25">
      <c r="A20" s="332" t="s">
        <v>122</v>
      </c>
      <c r="B20" s="333"/>
      <c r="C20" s="334"/>
      <c r="D20" s="334"/>
      <c r="E20" s="333"/>
      <c r="F20" s="261"/>
      <c r="G20" s="250"/>
      <c r="H20" s="250">
        <f>SUM(H21:H22)</f>
        <v>724.94999999999993</v>
      </c>
      <c r="I20" s="168"/>
      <c r="J20" s="168"/>
      <c r="K20" s="168"/>
    </row>
    <row r="21" spans="1:12" x14ac:dyDescent="0.25">
      <c r="A21" s="252">
        <v>7</v>
      </c>
      <c r="B21" s="252" t="s">
        <v>109</v>
      </c>
      <c r="C21" s="255" t="s">
        <v>123</v>
      </c>
      <c r="D21" s="255" t="s">
        <v>124</v>
      </c>
      <c r="E21" s="256" t="s">
        <v>125</v>
      </c>
      <c r="F21" s="252">
        <v>7.8066000000000004</v>
      </c>
      <c r="G21" s="188">
        <v>89.99</v>
      </c>
      <c r="H21" s="188">
        <f>ROUND(F21*G21,2)</f>
        <v>702.52</v>
      </c>
    </row>
    <row r="22" spans="1:12" s="251" customFormat="1" ht="31.5" customHeight="1" x14ac:dyDescent="0.25">
      <c r="A22" s="252">
        <v>8</v>
      </c>
      <c r="B22" s="252" t="s">
        <v>109</v>
      </c>
      <c r="C22" s="255" t="s">
        <v>126</v>
      </c>
      <c r="D22" s="255" t="s">
        <v>127</v>
      </c>
      <c r="E22" s="256" t="s">
        <v>125</v>
      </c>
      <c r="F22" s="252">
        <v>2.7690000000000001</v>
      </c>
      <c r="G22" s="188">
        <v>8.1</v>
      </c>
      <c r="H22" s="188">
        <f>ROUND(F22*G22,2)</f>
        <v>22.43</v>
      </c>
      <c r="I22" s="168"/>
      <c r="J22" s="168"/>
      <c r="K22" s="168"/>
    </row>
    <row r="23" spans="1:12" x14ac:dyDescent="0.25">
      <c r="A23" s="332" t="s">
        <v>43</v>
      </c>
      <c r="B23" s="333"/>
      <c r="C23" s="334"/>
      <c r="D23" s="334"/>
      <c r="E23" s="333"/>
      <c r="F23" s="261"/>
      <c r="G23" s="250"/>
      <c r="H23" s="250">
        <f>SUM(H24:H28)</f>
        <v>74774.27</v>
      </c>
    </row>
    <row r="24" spans="1:12" s="251" customFormat="1" ht="31.5" customHeight="1" x14ac:dyDescent="0.25">
      <c r="A24" s="252">
        <v>9</v>
      </c>
      <c r="B24" s="252" t="s">
        <v>109</v>
      </c>
      <c r="C24" s="255" t="s">
        <v>128</v>
      </c>
      <c r="D24" s="255" t="s">
        <v>129</v>
      </c>
      <c r="E24" s="256" t="s">
        <v>130</v>
      </c>
      <c r="F24" s="252">
        <v>2</v>
      </c>
      <c r="G24" s="188">
        <v>15956.83</v>
      </c>
      <c r="H24" s="188">
        <f>ROUND(F24*G24,2)</f>
        <v>31913.66</v>
      </c>
      <c r="I24" s="168"/>
      <c r="J24" s="168"/>
      <c r="K24" s="168"/>
    </row>
    <row r="25" spans="1:12" s="251" customFormat="1" ht="31.5" customHeight="1" x14ac:dyDescent="0.25">
      <c r="A25" s="252">
        <v>10</v>
      </c>
      <c r="B25" s="252" t="s">
        <v>109</v>
      </c>
      <c r="C25" s="255" t="s">
        <v>131</v>
      </c>
      <c r="D25" s="255" t="s">
        <v>132</v>
      </c>
      <c r="E25" s="256" t="s">
        <v>130</v>
      </c>
      <c r="F25" s="252">
        <v>13</v>
      </c>
      <c r="G25" s="188">
        <v>1444.49</v>
      </c>
      <c r="H25" s="188">
        <f>ROUND(F25*G25,2)</f>
        <v>18778.37</v>
      </c>
      <c r="I25" s="168"/>
      <c r="J25" s="168"/>
      <c r="K25" s="168"/>
    </row>
    <row r="26" spans="1:12" s="251" customFormat="1" ht="31.5" customHeight="1" x14ac:dyDescent="0.25">
      <c r="A26" s="252">
        <v>11</v>
      </c>
      <c r="B26" s="252" t="s">
        <v>109</v>
      </c>
      <c r="C26" s="255" t="s">
        <v>133</v>
      </c>
      <c r="D26" s="255" t="s">
        <v>134</v>
      </c>
      <c r="E26" s="256" t="s">
        <v>130</v>
      </c>
      <c r="F26" s="252">
        <v>13</v>
      </c>
      <c r="G26" s="188">
        <v>1121.5</v>
      </c>
      <c r="H26" s="188">
        <f>ROUND(F26*G26,2)</f>
        <v>14579.5</v>
      </c>
      <c r="I26" s="168"/>
      <c r="J26" s="168"/>
      <c r="K26" s="168"/>
    </row>
    <row r="27" spans="1:12" s="251" customFormat="1" ht="31.5" customHeight="1" x14ac:dyDescent="0.25">
      <c r="A27" s="252">
        <v>12</v>
      </c>
      <c r="B27" s="252" t="s">
        <v>109</v>
      </c>
      <c r="C27" s="255" t="s">
        <v>133</v>
      </c>
      <c r="D27" s="255" t="s">
        <v>134</v>
      </c>
      <c r="E27" s="256" t="s">
        <v>130</v>
      </c>
      <c r="F27" s="252">
        <v>6</v>
      </c>
      <c r="G27" s="188">
        <v>1121.5</v>
      </c>
      <c r="H27" s="188">
        <f>ROUND(F27*G27,2)</f>
        <v>6729</v>
      </c>
      <c r="I27" s="168"/>
      <c r="J27" s="168"/>
      <c r="K27" s="168"/>
    </row>
    <row r="28" spans="1:12" s="251" customFormat="1" x14ac:dyDescent="0.25">
      <c r="A28" s="252">
        <v>13</v>
      </c>
      <c r="B28" s="252" t="s">
        <v>109</v>
      </c>
      <c r="C28" s="255" t="s">
        <v>135</v>
      </c>
      <c r="D28" s="255" t="s">
        <v>136</v>
      </c>
      <c r="E28" s="256" t="s">
        <v>130</v>
      </c>
      <c r="F28" s="252">
        <v>2</v>
      </c>
      <c r="G28" s="188">
        <v>1386.87</v>
      </c>
      <c r="H28" s="188">
        <f>ROUND(F28*G28,2)</f>
        <v>2773.74</v>
      </c>
      <c r="I28" s="168"/>
      <c r="J28" s="168"/>
      <c r="K28" s="168"/>
    </row>
    <row r="29" spans="1:12" x14ac:dyDescent="0.25">
      <c r="A29" s="332" t="s">
        <v>137</v>
      </c>
      <c r="B29" s="333"/>
      <c r="C29" s="334"/>
      <c r="D29" s="334"/>
      <c r="E29" s="333"/>
      <c r="F29" s="261"/>
      <c r="G29" s="250"/>
      <c r="H29" s="250">
        <f>SUM(H30:H59)</f>
        <v>15789.480000000005</v>
      </c>
    </row>
    <row r="30" spans="1:12" ht="31.5" customHeight="1" x14ac:dyDescent="0.25">
      <c r="A30" s="252">
        <v>14</v>
      </c>
      <c r="B30" s="252" t="s">
        <v>109</v>
      </c>
      <c r="C30" s="255" t="s">
        <v>138</v>
      </c>
      <c r="D30" s="255" t="s">
        <v>139</v>
      </c>
      <c r="E30" s="256" t="s">
        <v>140</v>
      </c>
      <c r="F30" s="252">
        <v>1.3270200000000001</v>
      </c>
      <c r="G30" s="188">
        <v>5545.45</v>
      </c>
      <c r="H30" s="188">
        <f t="shared" ref="H30:H59" si="0">ROUND(F30*G30,2)</f>
        <v>7358.92</v>
      </c>
    </row>
    <row r="31" spans="1:12" x14ac:dyDescent="0.25">
      <c r="A31" s="252">
        <v>15</v>
      </c>
      <c r="B31" s="252" t="s">
        <v>109</v>
      </c>
      <c r="C31" s="255" t="s">
        <v>141</v>
      </c>
      <c r="D31" s="255" t="s">
        <v>142</v>
      </c>
      <c r="E31" s="256" t="s">
        <v>143</v>
      </c>
      <c r="F31" s="252">
        <v>29.484000000000002</v>
      </c>
      <c r="G31" s="188">
        <v>155.74</v>
      </c>
      <c r="H31" s="188">
        <f t="shared" si="0"/>
        <v>4591.84</v>
      </c>
    </row>
    <row r="32" spans="1:12" x14ac:dyDescent="0.25">
      <c r="A32" s="252">
        <v>16</v>
      </c>
      <c r="B32" s="252" t="s">
        <v>109</v>
      </c>
      <c r="C32" s="255" t="s">
        <v>144</v>
      </c>
      <c r="D32" s="255" t="s">
        <v>145</v>
      </c>
      <c r="E32" s="256" t="s">
        <v>140</v>
      </c>
      <c r="F32" s="252">
        <v>0.34883999999999998</v>
      </c>
      <c r="G32" s="188">
        <v>4077.61</v>
      </c>
      <c r="H32" s="188">
        <f t="shared" si="0"/>
        <v>1422.43</v>
      </c>
    </row>
    <row r="33" spans="1:10" x14ac:dyDescent="0.25">
      <c r="A33" s="252">
        <v>17</v>
      </c>
      <c r="B33" s="252" t="s">
        <v>109</v>
      </c>
      <c r="C33" s="255" t="s">
        <v>146</v>
      </c>
      <c r="D33" s="255" t="s">
        <v>147</v>
      </c>
      <c r="E33" s="256" t="s">
        <v>140</v>
      </c>
      <c r="F33" s="252">
        <v>0.19900000000000001</v>
      </c>
      <c r="G33" s="188">
        <v>1819.3</v>
      </c>
      <c r="H33" s="188">
        <f t="shared" si="0"/>
        <v>362.04</v>
      </c>
    </row>
    <row r="34" spans="1:10" ht="78.75" customHeight="1" x14ac:dyDescent="0.25">
      <c r="A34" s="252">
        <v>18</v>
      </c>
      <c r="B34" s="252" t="s">
        <v>109</v>
      </c>
      <c r="C34" s="255" t="s">
        <v>148</v>
      </c>
      <c r="D34" s="255" t="s">
        <v>149</v>
      </c>
      <c r="E34" s="256" t="s">
        <v>140</v>
      </c>
      <c r="F34" s="252">
        <v>0.12</v>
      </c>
      <c r="G34" s="188">
        <v>3005.8</v>
      </c>
      <c r="H34" s="188">
        <f t="shared" si="0"/>
        <v>360.7</v>
      </c>
    </row>
    <row r="35" spans="1:10" x14ac:dyDescent="0.25">
      <c r="A35" s="252">
        <v>19</v>
      </c>
      <c r="B35" s="252" t="s">
        <v>109</v>
      </c>
      <c r="C35" s="255" t="s">
        <v>150</v>
      </c>
      <c r="D35" s="255" t="s">
        <v>151</v>
      </c>
      <c r="E35" s="256" t="s">
        <v>152</v>
      </c>
      <c r="F35" s="252">
        <v>9</v>
      </c>
      <c r="G35" s="188">
        <v>38.42</v>
      </c>
      <c r="H35" s="188">
        <f t="shared" si="0"/>
        <v>345.78</v>
      </c>
    </row>
    <row r="36" spans="1:10" ht="31.5" customHeight="1" x14ac:dyDescent="0.25">
      <c r="A36" s="252">
        <v>20</v>
      </c>
      <c r="B36" s="252" t="s">
        <v>109</v>
      </c>
      <c r="C36" s="255" t="s">
        <v>153</v>
      </c>
      <c r="D36" s="255" t="s">
        <v>154</v>
      </c>
      <c r="E36" s="256" t="s">
        <v>155</v>
      </c>
      <c r="F36" s="252">
        <v>2.5999999999999999E-2</v>
      </c>
      <c r="G36" s="188">
        <v>11500</v>
      </c>
      <c r="H36" s="188">
        <f t="shared" si="0"/>
        <v>299</v>
      </c>
    </row>
    <row r="37" spans="1:10" ht="31.5" customHeight="1" x14ac:dyDescent="0.25">
      <c r="A37" s="252">
        <v>21</v>
      </c>
      <c r="B37" s="252" t="s">
        <v>109</v>
      </c>
      <c r="C37" s="255" t="s">
        <v>156</v>
      </c>
      <c r="D37" s="255" t="s">
        <v>157</v>
      </c>
      <c r="E37" s="256" t="s">
        <v>158</v>
      </c>
      <c r="F37" s="252">
        <v>178.68</v>
      </c>
      <c r="G37" s="188">
        <v>1</v>
      </c>
      <c r="H37" s="188">
        <f t="shared" si="0"/>
        <v>178.68</v>
      </c>
    </row>
    <row r="38" spans="1:10" x14ac:dyDescent="0.25">
      <c r="A38" s="252">
        <v>22</v>
      </c>
      <c r="B38" s="252" t="s">
        <v>109</v>
      </c>
      <c r="C38" s="255" t="s">
        <v>159</v>
      </c>
      <c r="D38" s="255" t="s">
        <v>160</v>
      </c>
      <c r="E38" s="256" t="s">
        <v>143</v>
      </c>
      <c r="F38" s="252">
        <v>2.6</v>
      </c>
      <c r="G38" s="188">
        <v>63</v>
      </c>
      <c r="H38" s="188">
        <f t="shared" si="0"/>
        <v>163.80000000000001</v>
      </c>
    </row>
    <row r="39" spans="1:10" x14ac:dyDescent="0.25">
      <c r="A39" s="252">
        <v>23</v>
      </c>
      <c r="B39" s="252" t="s">
        <v>109</v>
      </c>
      <c r="C39" s="255" t="s">
        <v>161</v>
      </c>
      <c r="D39" s="255" t="s">
        <v>162</v>
      </c>
      <c r="E39" s="256" t="s">
        <v>155</v>
      </c>
      <c r="F39" s="252">
        <v>1.31355E-2</v>
      </c>
      <c r="G39" s="188">
        <v>12430</v>
      </c>
      <c r="H39" s="188">
        <f t="shared" si="0"/>
        <v>163.27000000000001</v>
      </c>
    </row>
    <row r="40" spans="1:10" x14ac:dyDescent="0.25">
      <c r="A40" s="252">
        <v>24</v>
      </c>
      <c r="B40" s="252" t="s">
        <v>109</v>
      </c>
      <c r="C40" s="255" t="s">
        <v>150</v>
      </c>
      <c r="D40" s="255" t="s">
        <v>151</v>
      </c>
      <c r="E40" s="256" t="s">
        <v>152</v>
      </c>
      <c r="F40" s="252">
        <v>4</v>
      </c>
      <c r="G40" s="188">
        <v>38.42</v>
      </c>
      <c r="H40" s="188">
        <f t="shared" si="0"/>
        <v>153.68</v>
      </c>
    </row>
    <row r="41" spans="1:10" x14ac:dyDescent="0.25">
      <c r="A41" s="252">
        <v>25</v>
      </c>
      <c r="B41" s="252" t="s">
        <v>109</v>
      </c>
      <c r="C41" s="255" t="s">
        <v>163</v>
      </c>
      <c r="D41" s="255" t="s">
        <v>164</v>
      </c>
      <c r="E41" s="256" t="s">
        <v>165</v>
      </c>
      <c r="F41" s="252">
        <v>0.67800000000000005</v>
      </c>
      <c r="G41" s="188">
        <v>112.57</v>
      </c>
      <c r="H41" s="188">
        <f t="shared" si="0"/>
        <v>76.319999999999993</v>
      </c>
    </row>
    <row r="42" spans="1:10" x14ac:dyDescent="0.25">
      <c r="A42" s="252">
        <v>26</v>
      </c>
      <c r="B42" s="252" t="s">
        <v>109</v>
      </c>
      <c r="C42" s="255" t="s">
        <v>166</v>
      </c>
      <c r="D42" s="255" t="s">
        <v>167</v>
      </c>
      <c r="E42" s="256" t="s">
        <v>143</v>
      </c>
      <c r="F42" s="252">
        <v>0.35199999999999998</v>
      </c>
      <c r="G42" s="188">
        <v>164</v>
      </c>
      <c r="H42" s="188">
        <f t="shared" si="0"/>
        <v>57.73</v>
      </c>
    </row>
    <row r="43" spans="1:10" x14ac:dyDescent="0.25">
      <c r="A43" s="252">
        <v>27</v>
      </c>
      <c r="B43" s="252" t="s">
        <v>109</v>
      </c>
      <c r="C43" s="255" t="s">
        <v>168</v>
      </c>
      <c r="D43" s="255" t="s">
        <v>169</v>
      </c>
      <c r="E43" s="256" t="s">
        <v>170</v>
      </c>
      <c r="F43" s="252">
        <v>1.3</v>
      </c>
      <c r="G43" s="188">
        <v>39</v>
      </c>
      <c r="H43" s="188">
        <f t="shared" si="0"/>
        <v>50.7</v>
      </c>
    </row>
    <row r="44" spans="1:10" ht="47.25" customHeight="1" x14ac:dyDescent="0.25">
      <c r="A44" s="252">
        <v>28</v>
      </c>
      <c r="B44" s="252" t="s">
        <v>109</v>
      </c>
      <c r="C44" s="255" t="s">
        <v>171</v>
      </c>
      <c r="D44" s="255" t="s">
        <v>172</v>
      </c>
      <c r="E44" s="256" t="s">
        <v>165</v>
      </c>
      <c r="F44" s="252">
        <v>0.49199999999999999</v>
      </c>
      <c r="G44" s="188">
        <v>91.29</v>
      </c>
      <c r="H44" s="188">
        <f t="shared" si="0"/>
        <v>44.91</v>
      </c>
    </row>
    <row r="45" spans="1:10" x14ac:dyDescent="0.25">
      <c r="A45" s="252">
        <v>29</v>
      </c>
      <c r="B45" s="252" t="s">
        <v>109</v>
      </c>
      <c r="C45" s="255" t="s">
        <v>173</v>
      </c>
      <c r="D45" s="255" t="s">
        <v>174</v>
      </c>
      <c r="E45" s="256" t="s">
        <v>155</v>
      </c>
      <c r="F45" s="252">
        <v>3.4020000000000001E-3</v>
      </c>
      <c r="G45" s="188">
        <v>10200</v>
      </c>
      <c r="H45" s="188">
        <f t="shared" si="0"/>
        <v>34.700000000000003</v>
      </c>
    </row>
    <row r="46" spans="1:10" x14ac:dyDescent="0.25">
      <c r="A46" s="252">
        <v>30</v>
      </c>
      <c r="B46" s="252" t="s">
        <v>109</v>
      </c>
      <c r="C46" s="255" t="s">
        <v>175</v>
      </c>
      <c r="D46" s="255" t="s">
        <v>176</v>
      </c>
      <c r="E46" s="256" t="s">
        <v>155</v>
      </c>
      <c r="F46" s="252">
        <v>3.1185000000000001E-2</v>
      </c>
      <c r="G46" s="188">
        <v>729.98</v>
      </c>
      <c r="H46" s="188">
        <f t="shared" si="0"/>
        <v>22.76</v>
      </c>
      <c r="J46" s="163"/>
    </row>
    <row r="47" spans="1:10" ht="47.25" customHeight="1" x14ac:dyDescent="0.25">
      <c r="A47" s="252">
        <v>31</v>
      </c>
      <c r="B47" s="252" t="s">
        <v>109</v>
      </c>
      <c r="C47" s="255" t="s">
        <v>177</v>
      </c>
      <c r="D47" s="255" t="s">
        <v>178</v>
      </c>
      <c r="E47" s="256" t="s">
        <v>165</v>
      </c>
      <c r="F47" s="252">
        <v>0.52</v>
      </c>
      <c r="G47" s="188">
        <v>30.4</v>
      </c>
      <c r="H47" s="188">
        <f t="shared" si="0"/>
        <v>15.81</v>
      </c>
      <c r="J47" s="163"/>
    </row>
    <row r="48" spans="1:10" x14ac:dyDescent="0.25">
      <c r="A48" s="252">
        <v>32</v>
      </c>
      <c r="B48" s="252" t="s">
        <v>109</v>
      </c>
      <c r="C48" s="255" t="s">
        <v>179</v>
      </c>
      <c r="D48" s="255" t="s">
        <v>180</v>
      </c>
      <c r="E48" s="256" t="s">
        <v>143</v>
      </c>
      <c r="F48" s="252">
        <v>0.182</v>
      </c>
      <c r="G48" s="188">
        <v>86</v>
      </c>
      <c r="H48" s="188">
        <f t="shared" si="0"/>
        <v>15.65</v>
      </c>
      <c r="J48" s="163"/>
    </row>
    <row r="49" spans="1:10" x14ac:dyDescent="0.25">
      <c r="A49" s="252">
        <v>33</v>
      </c>
      <c r="B49" s="252" t="s">
        <v>109</v>
      </c>
      <c r="C49" s="255" t="s">
        <v>181</v>
      </c>
      <c r="D49" s="255" t="s">
        <v>182</v>
      </c>
      <c r="E49" s="256" t="s">
        <v>165</v>
      </c>
      <c r="F49" s="252">
        <v>0.26</v>
      </c>
      <c r="G49" s="188">
        <v>44.97</v>
      </c>
      <c r="H49" s="188">
        <f t="shared" si="0"/>
        <v>11.69</v>
      </c>
      <c r="J49" s="163"/>
    </row>
    <row r="50" spans="1:10" x14ac:dyDescent="0.25">
      <c r="A50" s="252">
        <v>34</v>
      </c>
      <c r="B50" s="252" t="s">
        <v>109</v>
      </c>
      <c r="C50" s="255" t="s">
        <v>183</v>
      </c>
      <c r="D50" s="255" t="s">
        <v>184</v>
      </c>
      <c r="E50" s="256" t="s">
        <v>165</v>
      </c>
      <c r="F50" s="252">
        <v>0.39</v>
      </c>
      <c r="G50" s="188">
        <v>28.6</v>
      </c>
      <c r="H50" s="188">
        <f t="shared" si="0"/>
        <v>11.15</v>
      </c>
      <c r="J50" s="163"/>
    </row>
    <row r="51" spans="1:10" x14ac:dyDescent="0.25">
      <c r="A51" s="252">
        <v>35</v>
      </c>
      <c r="B51" s="252" t="s">
        <v>109</v>
      </c>
      <c r="C51" s="255" t="s">
        <v>185</v>
      </c>
      <c r="D51" s="255" t="s">
        <v>186</v>
      </c>
      <c r="E51" s="256" t="s">
        <v>165</v>
      </c>
      <c r="F51" s="252">
        <v>0.2034</v>
      </c>
      <c r="G51" s="188">
        <v>47.57</v>
      </c>
      <c r="H51" s="188">
        <f t="shared" si="0"/>
        <v>9.68</v>
      </c>
      <c r="J51" s="163"/>
    </row>
    <row r="52" spans="1:10" x14ac:dyDescent="0.25">
      <c r="A52" s="252">
        <v>36</v>
      </c>
      <c r="B52" s="252" t="s">
        <v>109</v>
      </c>
      <c r="C52" s="255" t="s">
        <v>187</v>
      </c>
      <c r="D52" s="255" t="s">
        <v>188</v>
      </c>
      <c r="E52" s="256" t="s">
        <v>165</v>
      </c>
      <c r="F52" s="252">
        <v>0.91</v>
      </c>
      <c r="G52" s="188">
        <v>10.57</v>
      </c>
      <c r="H52" s="188">
        <f t="shared" si="0"/>
        <v>9.6199999999999992</v>
      </c>
      <c r="J52" s="163"/>
    </row>
    <row r="53" spans="1:10" x14ac:dyDescent="0.25">
      <c r="A53" s="252">
        <v>37</v>
      </c>
      <c r="B53" s="252" t="s">
        <v>109</v>
      </c>
      <c r="C53" s="255" t="s">
        <v>189</v>
      </c>
      <c r="D53" s="255" t="s">
        <v>190</v>
      </c>
      <c r="E53" s="256" t="s">
        <v>165</v>
      </c>
      <c r="F53" s="252">
        <v>0.26</v>
      </c>
      <c r="G53" s="188">
        <v>35.630000000000003</v>
      </c>
      <c r="H53" s="188">
        <f t="shared" si="0"/>
        <v>9.26</v>
      </c>
      <c r="J53" s="163"/>
    </row>
    <row r="54" spans="1:10" ht="31.5" customHeight="1" x14ac:dyDescent="0.25">
      <c r="A54" s="252">
        <v>38</v>
      </c>
      <c r="B54" s="252" t="s">
        <v>109</v>
      </c>
      <c r="C54" s="255" t="s">
        <v>191</v>
      </c>
      <c r="D54" s="255" t="s">
        <v>192</v>
      </c>
      <c r="E54" s="256" t="s">
        <v>155</v>
      </c>
      <c r="F54" s="252">
        <v>3.39E-4</v>
      </c>
      <c r="G54" s="188">
        <v>22419</v>
      </c>
      <c r="H54" s="188">
        <f t="shared" si="0"/>
        <v>7.6</v>
      </c>
      <c r="J54" s="163"/>
    </row>
    <row r="55" spans="1:10" x14ac:dyDescent="0.25">
      <c r="A55" s="252">
        <v>39</v>
      </c>
      <c r="B55" s="252" t="s">
        <v>109</v>
      </c>
      <c r="C55" s="255" t="s">
        <v>193</v>
      </c>
      <c r="D55" s="255" t="s">
        <v>194</v>
      </c>
      <c r="E55" s="256" t="s">
        <v>165</v>
      </c>
      <c r="F55" s="252">
        <v>0.63700000000000001</v>
      </c>
      <c r="G55" s="188">
        <v>9.0399999999999991</v>
      </c>
      <c r="H55" s="188">
        <f t="shared" si="0"/>
        <v>5.76</v>
      </c>
      <c r="J55" s="163"/>
    </row>
    <row r="56" spans="1:10" x14ac:dyDescent="0.25">
      <c r="A56" s="252">
        <v>40</v>
      </c>
      <c r="B56" s="252" t="s">
        <v>109</v>
      </c>
      <c r="C56" s="255" t="s">
        <v>195</v>
      </c>
      <c r="D56" s="255" t="s">
        <v>196</v>
      </c>
      <c r="E56" s="256" t="s">
        <v>165</v>
      </c>
      <c r="F56" s="252">
        <v>2.5999999999999999E-2</v>
      </c>
      <c r="G56" s="188">
        <v>133.05000000000001</v>
      </c>
      <c r="H56" s="188">
        <f t="shared" si="0"/>
        <v>3.46</v>
      </c>
      <c r="J56" s="163"/>
    </row>
    <row r="57" spans="1:10" ht="31.5" customHeight="1" x14ac:dyDescent="0.25">
      <c r="A57" s="252">
        <v>41</v>
      </c>
      <c r="B57" s="252" t="s">
        <v>109</v>
      </c>
      <c r="C57" s="255" t="s">
        <v>197</v>
      </c>
      <c r="D57" s="255" t="s">
        <v>198</v>
      </c>
      <c r="E57" s="256" t="s">
        <v>155</v>
      </c>
      <c r="F57" s="252">
        <v>2.0000000000000002E-5</v>
      </c>
      <c r="G57" s="188">
        <v>65750</v>
      </c>
      <c r="H57" s="188">
        <f t="shared" si="0"/>
        <v>1.32</v>
      </c>
      <c r="J57" s="163"/>
    </row>
    <row r="58" spans="1:10" x14ac:dyDescent="0.25">
      <c r="A58" s="252">
        <v>42</v>
      </c>
      <c r="B58" s="252" t="s">
        <v>109</v>
      </c>
      <c r="C58" s="255" t="s">
        <v>199</v>
      </c>
      <c r="D58" s="255" t="s">
        <v>200</v>
      </c>
      <c r="E58" s="256" t="s">
        <v>165</v>
      </c>
      <c r="F58" s="252">
        <v>4.0000000000000001E-3</v>
      </c>
      <c r="G58" s="188">
        <v>155</v>
      </c>
      <c r="H58" s="188">
        <f t="shared" si="0"/>
        <v>0.62</v>
      </c>
      <c r="J58" s="163"/>
    </row>
    <row r="59" spans="1:10" x14ac:dyDescent="0.25">
      <c r="A59" s="252">
        <v>43</v>
      </c>
      <c r="B59" s="252" t="s">
        <v>109</v>
      </c>
      <c r="C59" s="255" t="s">
        <v>201</v>
      </c>
      <c r="D59" s="255" t="s">
        <v>202</v>
      </c>
      <c r="E59" s="256" t="s">
        <v>165</v>
      </c>
      <c r="F59" s="252">
        <v>5.1999999999999998E-2</v>
      </c>
      <c r="G59" s="188">
        <v>11.5</v>
      </c>
      <c r="H59" s="188">
        <f t="shared" si="0"/>
        <v>0.6</v>
      </c>
      <c r="J59" s="163"/>
    </row>
    <row r="62" spans="1:10" x14ac:dyDescent="0.25">
      <c r="B62" s="168" t="s">
        <v>75</v>
      </c>
    </row>
    <row r="63" spans="1:10" x14ac:dyDescent="0.25">
      <c r="B63" s="180" t="s">
        <v>76</v>
      </c>
    </row>
    <row r="65" spans="2:2" x14ac:dyDescent="0.25">
      <c r="B65" s="168" t="s">
        <v>77</v>
      </c>
    </row>
    <row r="66" spans="2:2" x14ac:dyDescent="0.25">
      <c r="B66" s="180" t="s">
        <v>78</v>
      </c>
    </row>
  </sheetData>
  <mergeCells count="15">
    <mergeCell ref="A18:E18"/>
    <mergeCell ref="A29:E29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3:E23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1" workbookViewId="0">
      <selection activeCell="E58" sqref="E58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6" width="11.42578125" style="51" customWidth="1"/>
    <col min="7" max="10" width="9.140625" style="51" customWidth="1"/>
    <col min="11" max="11" width="13.5703125" style="51" customWidth="1"/>
    <col min="12" max="12" width="9.14062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60" t="s">
        <v>203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15" t="s">
        <v>204</v>
      </c>
      <c r="C5" s="315"/>
      <c r="D5" s="315"/>
      <c r="E5" s="315"/>
    </row>
    <row r="6" spans="2:5" x14ac:dyDescent="0.25">
      <c r="B6" s="167"/>
      <c r="C6" s="153"/>
      <c r="D6" s="153"/>
      <c r="E6" s="153"/>
    </row>
    <row r="7" spans="2:5" ht="25.5" customHeight="1" x14ac:dyDescent="0.25">
      <c r="B7" s="335" t="s">
        <v>47</v>
      </c>
      <c r="C7" s="335"/>
      <c r="D7" s="335"/>
      <c r="E7" s="335"/>
    </row>
    <row r="8" spans="2:5" x14ac:dyDescent="0.25">
      <c r="B8" s="336" t="s">
        <v>49</v>
      </c>
      <c r="C8" s="336"/>
      <c r="D8" s="336"/>
      <c r="E8" s="336"/>
    </row>
    <row r="9" spans="2:5" x14ac:dyDescent="0.25">
      <c r="B9" s="167"/>
      <c r="C9" s="153"/>
      <c r="D9" s="153"/>
      <c r="E9" s="153"/>
    </row>
    <row r="10" spans="2:5" ht="51" customHeight="1" x14ac:dyDescent="0.25">
      <c r="B10" s="296" t="s">
        <v>205</v>
      </c>
      <c r="C10" s="296" t="s">
        <v>206</v>
      </c>
      <c r="D10" s="296" t="s">
        <v>207</v>
      </c>
      <c r="E10" s="296" t="s">
        <v>208</v>
      </c>
    </row>
    <row r="11" spans="2:5" x14ac:dyDescent="0.25">
      <c r="B11" s="154" t="s">
        <v>209</v>
      </c>
      <c r="C11" s="155">
        <f>'Прил.5 Расчет СМР и ОБ'!J15</f>
        <v>99142.78</v>
      </c>
      <c r="D11" s="156">
        <f t="shared" ref="D11:D18" si="0">C11/$C$24</f>
        <v>0.26264925074209444</v>
      </c>
      <c r="E11" s="156">
        <f t="shared" ref="E11:E18" si="1">C11/$C$40</f>
        <v>0.10451673581859725</v>
      </c>
    </row>
    <row r="12" spans="2:5" x14ac:dyDescent="0.25">
      <c r="B12" s="154" t="s">
        <v>210</v>
      </c>
      <c r="C12" s="155">
        <f>'Прил.5 Расчет СМР и ОБ'!J21</f>
        <v>9462.93</v>
      </c>
      <c r="D12" s="156">
        <f t="shared" si="0"/>
        <v>2.5069213051367813E-2</v>
      </c>
      <c r="E12" s="156">
        <f t="shared" si="1"/>
        <v>9.9758606212159723E-3</v>
      </c>
    </row>
    <row r="13" spans="2:5" x14ac:dyDescent="0.25">
      <c r="B13" s="154" t="s">
        <v>211</v>
      </c>
      <c r="C13" s="155">
        <f>'Прил.5 Расчет СМР и ОБ'!J23</f>
        <v>302.13</v>
      </c>
      <c r="D13" s="156">
        <f t="shared" si="0"/>
        <v>8.0040339928645328E-4</v>
      </c>
      <c r="E13" s="156">
        <f t="shared" si="1"/>
        <v>3.1850671720999536E-4</v>
      </c>
    </row>
    <row r="14" spans="2:5" x14ac:dyDescent="0.25">
      <c r="B14" s="154" t="s">
        <v>212</v>
      </c>
      <c r="C14" s="155">
        <f>C13+C12</f>
        <v>9765.06</v>
      </c>
      <c r="D14" s="156">
        <f t="shared" si="0"/>
        <v>2.5869616450654265E-2</v>
      </c>
      <c r="E14" s="156">
        <f t="shared" si="1"/>
        <v>1.0294367338425967E-2</v>
      </c>
    </row>
    <row r="15" spans="2:5" x14ac:dyDescent="0.25">
      <c r="B15" s="154" t="s">
        <v>213</v>
      </c>
      <c r="C15" s="155">
        <f>'Прил.5 Расчет СМР и ОБ'!J17</f>
        <v>3478.07</v>
      </c>
      <c r="D15" s="156">
        <f t="shared" si="0"/>
        <v>9.2141099889326925E-3</v>
      </c>
      <c r="E15" s="156">
        <f t="shared" si="1"/>
        <v>3.6665960279567361E-3</v>
      </c>
    </row>
    <row r="16" spans="2:5" x14ac:dyDescent="0.25">
      <c r="B16" s="154" t="s">
        <v>214</v>
      </c>
      <c r="C16" s="155">
        <f>'Прил.5 Расчет СМР и ОБ'!J42</f>
        <v>110431.3</v>
      </c>
      <c r="D16" s="156">
        <f t="shared" si="0"/>
        <v>0.29255482046675968</v>
      </c>
      <c r="E16" s="156">
        <f t="shared" si="1"/>
        <v>0.11641714109897118</v>
      </c>
    </row>
    <row r="17" spans="2:6" x14ac:dyDescent="0.25">
      <c r="B17" s="154" t="s">
        <v>215</v>
      </c>
      <c r="C17" s="155">
        <f>'Прил.5 Расчет СМР и ОБ'!J69</f>
        <v>16516.25</v>
      </c>
      <c r="D17" s="156">
        <f t="shared" si="0"/>
        <v>4.3754882479280055E-2</v>
      </c>
      <c r="E17" s="156">
        <f t="shared" si="1"/>
        <v>1.7411500242013656E-2</v>
      </c>
    </row>
    <row r="18" spans="2:6" x14ac:dyDescent="0.25">
      <c r="B18" s="154" t="s">
        <v>216</v>
      </c>
      <c r="C18" s="155">
        <f>C17+C16</f>
        <v>126947.55</v>
      </c>
      <c r="D18" s="156">
        <f t="shared" si="0"/>
        <v>0.33630970294603973</v>
      </c>
      <c r="E18" s="156">
        <f t="shared" si="1"/>
        <v>0.13382864134098485</v>
      </c>
    </row>
    <row r="19" spans="2:6" x14ac:dyDescent="0.25">
      <c r="B19" s="154" t="s">
        <v>217</v>
      </c>
      <c r="C19" s="155">
        <f>C18+C14+C11</f>
        <v>235855.39</v>
      </c>
      <c r="D19" s="156"/>
      <c r="E19" s="154"/>
    </row>
    <row r="20" spans="2:6" x14ac:dyDescent="0.25">
      <c r="B20" s="154" t="s">
        <v>218</v>
      </c>
      <c r="C20" s="155">
        <f>ROUND(C21*(C11+C15),2)</f>
        <v>48231.8</v>
      </c>
      <c r="D20" s="156">
        <f>C20/$C$24</f>
        <v>0.12777578086818375</v>
      </c>
      <c r="E20" s="156">
        <f>C20/$C$40</f>
        <v>5.0846166494982477E-2</v>
      </c>
    </row>
    <row r="21" spans="2:6" x14ac:dyDescent="0.25">
      <c r="B21" s="154" t="s">
        <v>219</v>
      </c>
      <c r="C21" s="159">
        <f>'Прил.5 Расчет СМР и ОБ'!D73</f>
        <v>0.47</v>
      </c>
      <c r="D21" s="156"/>
      <c r="E21" s="154"/>
    </row>
    <row r="22" spans="2:6" x14ac:dyDescent="0.25">
      <c r="B22" s="154" t="s">
        <v>220</v>
      </c>
      <c r="C22" s="155">
        <f>ROUND(C23*(C11+C15),2)</f>
        <v>93384.97</v>
      </c>
      <c r="D22" s="156">
        <f>C22/$C$24</f>
        <v>0.24739564899302771</v>
      </c>
      <c r="E22" s="156">
        <f>C22/$C$40</f>
        <v>9.8446828290649394E-2</v>
      </c>
    </row>
    <row r="23" spans="2:6" x14ac:dyDescent="0.25">
      <c r="B23" s="154" t="s">
        <v>221</v>
      </c>
      <c r="C23" s="159">
        <f>'Прил.5 Расчет СМР и ОБ'!D72</f>
        <v>0.91</v>
      </c>
      <c r="D23" s="156"/>
      <c r="E23" s="154"/>
    </row>
    <row r="24" spans="2:6" x14ac:dyDescent="0.25">
      <c r="B24" s="154" t="s">
        <v>222</v>
      </c>
      <c r="C24" s="155">
        <f>C19+C20+C22</f>
        <v>377472.16000000003</v>
      </c>
      <c r="D24" s="156">
        <f>C24/$C$24</f>
        <v>1</v>
      </c>
      <c r="E24" s="156">
        <f>C24/$C$40</f>
        <v>0.39793273928363992</v>
      </c>
    </row>
    <row r="25" spans="2:6" ht="25.5" customHeight="1" x14ac:dyDescent="0.25">
      <c r="B25" s="154" t="s">
        <v>223</v>
      </c>
      <c r="C25" s="155">
        <f>'Прил.5 Расчет СМР и ОБ'!J34</f>
        <v>468086.98</v>
      </c>
      <c r="D25" s="156"/>
      <c r="E25" s="156">
        <f>C25/$C$40</f>
        <v>0.49345926378890131</v>
      </c>
    </row>
    <row r="26" spans="2:6" ht="25.5" customHeight="1" x14ac:dyDescent="0.25">
      <c r="B26" s="154" t="s">
        <v>224</v>
      </c>
      <c r="C26" s="155">
        <f>'Прил.5 Расчет СМР и ОБ'!J35</f>
        <v>468086.98</v>
      </c>
      <c r="D26" s="156"/>
      <c r="E26" s="156">
        <f>C26/$C$40</f>
        <v>0.49345926378890131</v>
      </c>
    </row>
    <row r="27" spans="2:6" x14ac:dyDescent="0.25">
      <c r="B27" s="154" t="s">
        <v>225</v>
      </c>
      <c r="C27" s="158">
        <f>C24+C25</f>
        <v>845559.14</v>
      </c>
      <c r="D27" s="156"/>
      <c r="E27" s="156">
        <f>C27/$C$40</f>
        <v>0.89139200307254129</v>
      </c>
    </row>
    <row r="28" spans="2:6" ht="33" customHeight="1" x14ac:dyDescent="0.25">
      <c r="B28" s="154" t="s">
        <v>226</v>
      </c>
      <c r="C28" s="154"/>
      <c r="D28" s="154"/>
      <c r="E28" s="154"/>
      <c r="F28" s="157"/>
    </row>
    <row r="29" spans="2:6" ht="25.5" customHeight="1" x14ac:dyDescent="0.25">
      <c r="B29" s="154" t="s">
        <v>227</v>
      </c>
      <c r="C29" s="158">
        <f>ROUND(C24*3.9%,2)</f>
        <v>14721.41</v>
      </c>
      <c r="D29" s="154"/>
      <c r="E29" s="156">
        <f t="shared" ref="E29:E38" si="2">C29/$C$40</f>
        <v>1.5519372362236116E-2</v>
      </c>
    </row>
    <row r="30" spans="2:6" ht="38.25" customHeight="1" x14ac:dyDescent="0.25">
      <c r="B30" s="298" t="s">
        <v>228</v>
      </c>
      <c r="C30" s="299">
        <f>ROUND((C24+C29)*2.1%,2)</f>
        <v>8236.06</v>
      </c>
      <c r="D30" s="298"/>
      <c r="E30" s="156">
        <f t="shared" si="2"/>
        <v>8.6824891051684849E-3</v>
      </c>
      <c r="F30" s="157"/>
    </row>
    <row r="31" spans="2:6" x14ac:dyDescent="0.25">
      <c r="B31" s="298" t="s">
        <v>229</v>
      </c>
      <c r="C31" s="299">
        <v>31380</v>
      </c>
      <c r="D31" s="298"/>
      <c r="E31" s="156">
        <f t="shared" si="2"/>
        <v>3.3080928031144388E-2</v>
      </c>
    </row>
    <row r="32" spans="2:6" ht="25.5" customHeight="1" x14ac:dyDescent="0.25">
      <c r="B32" s="298" t="s">
        <v>230</v>
      </c>
      <c r="C32" s="299">
        <f>ROUND($C$27*0,2)</f>
        <v>0</v>
      </c>
      <c r="D32" s="298"/>
      <c r="E32" s="156">
        <f t="shared" si="2"/>
        <v>0</v>
      </c>
      <c r="F32" s="297"/>
    </row>
    <row r="33" spans="2:11" ht="25.5" customHeight="1" x14ac:dyDescent="0.25">
      <c r="B33" s="298" t="s">
        <v>231</v>
      </c>
      <c r="C33" s="299">
        <f>ROUND($C$27*0,2)</f>
        <v>0</v>
      </c>
      <c r="D33" s="298"/>
      <c r="E33" s="156">
        <f t="shared" si="2"/>
        <v>0</v>
      </c>
    </row>
    <row r="34" spans="2:11" ht="51" customHeight="1" x14ac:dyDescent="0.25">
      <c r="B34" s="154" t="s">
        <v>232</v>
      </c>
      <c r="C34" s="299">
        <f>ROUND($C$27*0,2)</f>
        <v>0</v>
      </c>
      <c r="D34" s="154"/>
      <c r="E34" s="156">
        <f t="shared" si="2"/>
        <v>0</v>
      </c>
      <c r="F34" s="49"/>
      <c r="G34" s="161"/>
    </row>
    <row r="35" spans="2:11" ht="76.5" customHeight="1" x14ac:dyDescent="0.25">
      <c r="B35" s="154" t="s">
        <v>233</v>
      </c>
      <c r="C35" s="158">
        <v>0</v>
      </c>
      <c r="D35" s="154"/>
      <c r="E35" s="156">
        <f t="shared" si="2"/>
        <v>0</v>
      </c>
    </row>
    <row r="36" spans="2:11" ht="25.5" customHeight="1" x14ac:dyDescent="0.25">
      <c r="B36" s="154" t="s">
        <v>234</v>
      </c>
      <c r="C36" s="158">
        <f>ROUND((C27+C32+C33+C34+C35+C29+C31+C30)*2.14%,2)</f>
        <v>19257.79</v>
      </c>
      <c r="D36" s="154"/>
      <c r="E36" s="156">
        <f t="shared" si="2"/>
        <v>2.0301643245025244E-2</v>
      </c>
      <c r="K36" s="157"/>
    </row>
    <row r="37" spans="2:11" x14ac:dyDescent="0.25">
      <c r="B37" s="154" t="s">
        <v>235</v>
      </c>
      <c r="C37" s="158">
        <f>ROUND((C27+C32+C33+C34+C35+C29+C31+C30)*0.2%,2)</f>
        <v>1799.79</v>
      </c>
      <c r="D37" s="154"/>
      <c r="E37" s="156">
        <f t="shared" si="2"/>
        <v>1.8973461906046324E-3</v>
      </c>
      <c r="K37" s="157"/>
    </row>
    <row r="38" spans="2:11" ht="38.25" customHeight="1" x14ac:dyDescent="0.25">
      <c r="B38" s="154" t="s">
        <v>236</v>
      </c>
      <c r="C38" s="155">
        <f>C27+C32+C33+C34+C35+C29+C31+C30+C36+C37</f>
        <v>920954.19000000018</v>
      </c>
      <c r="D38" s="154"/>
      <c r="E38" s="156">
        <f t="shared" si="2"/>
        <v>0.97087378200672025</v>
      </c>
    </row>
    <row r="39" spans="2:11" ht="13.5" customHeight="1" x14ac:dyDescent="0.25">
      <c r="B39" s="154" t="s">
        <v>237</v>
      </c>
      <c r="C39" s="155">
        <f>ROUND(C38*3%,2)</f>
        <v>27628.63</v>
      </c>
      <c r="D39" s="154"/>
      <c r="E39" s="156">
        <f>C39/$C$38</f>
        <v>3.0000004669070452E-2</v>
      </c>
    </row>
    <row r="40" spans="2:11" x14ac:dyDescent="0.25">
      <c r="B40" s="154" t="s">
        <v>238</v>
      </c>
      <c r="C40" s="155">
        <f>C39+C38</f>
        <v>948582.82000000018</v>
      </c>
      <c r="D40" s="154"/>
      <c r="E40" s="156">
        <f>C40/$C$40</f>
        <v>1</v>
      </c>
    </row>
    <row r="41" spans="2:11" x14ac:dyDescent="0.25">
      <c r="B41" s="154" t="s">
        <v>239</v>
      </c>
      <c r="C41" s="155">
        <f>C40/'Прил.5 Расчет СМР и ОБ'!E76</f>
        <v>948582.82000000018</v>
      </c>
      <c r="D41" s="154"/>
      <c r="E41" s="154"/>
    </row>
    <row r="42" spans="2:11" x14ac:dyDescent="0.25">
      <c r="B42" s="162"/>
      <c r="C42" s="153"/>
      <c r="D42" s="153"/>
      <c r="E42" s="153"/>
    </row>
    <row r="43" spans="2:11" x14ac:dyDescent="0.25">
      <c r="B43" s="162" t="s">
        <v>240</v>
      </c>
      <c r="C43" s="153"/>
      <c r="D43" s="153"/>
      <c r="E43" s="153"/>
    </row>
    <row r="44" spans="2:11" x14ac:dyDescent="0.25">
      <c r="B44" s="162" t="s">
        <v>241</v>
      </c>
      <c r="C44" s="153"/>
      <c r="D44" s="153"/>
      <c r="E44" s="153"/>
    </row>
    <row r="45" spans="2:11" x14ac:dyDescent="0.25">
      <c r="B45" s="162"/>
      <c r="C45" s="153"/>
      <c r="D45" s="153"/>
      <c r="E45" s="153"/>
    </row>
    <row r="46" spans="2:11" x14ac:dyDescent="0.25">
      <c r="B46" s="162" t="s">
        <v>242</v>
      </c>
      <c r="C46" s="153"/>
      <c r="D46" s="153"/>
      <c r="E46" s="153"/>
    </row>
    <row r="47" spans="2:11" x14ac:dyDescent="0.25">
      <c r="B47" s="336" t="s">
        <v>243</v>
      </c>
      <c r="C47" s="336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2"/>
  <sheetViews>
    <sheetView tabSelected="1" view="pageBreakPreview" zoomScale="85" zoomScaleSheetLayoutView="85" workbookViewId="0">
      <selection activeCell="R26" sqref="R26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21" customFormat="1" x14ac:dyDescent="0.25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</row>
    <row r="2" spans="1:14" s="221" customFormat="1" ht="15.75" customHeight="1" x14ac:dyDescent="0.25">
      <c r="A2" s="220"/>
      <c r="B2" s="220"/>
      <c r="C2" s="220"/>
      <c r="D2" s="220"/>
      <c r="E2" s="220"/>
      <c r="F2" s="220"/>
      <c r="G2" s="220"/>
      <c r="H2" s="352" t="s">
        <v>244</v>
      </c>
      <c r="I2" s="352"/>
      <c r="J2" s="352"/>
      <c r="K2" s="220"/>
      <c r="L2" s="220"/>
      <c r="M2" s="220"/>
      <c r="N2" s="220"/>
    </row>
    <row r="3" spans="1:14" s="221" customFormat="1" x14ac:dyDescent="0.25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</row>
    <row r="4" spans="1:14" s="222" customFormat="1" ht="12.75" customHeight="1" x14ac:dyDescent="0.2">
      <c r="A4" s="315" t="s">
        <v>245</v>
      </c>
      <c r="B4" s="315"/>
      <c r="C4" s="315"/>
      <c r="D4" s="315"/>
      <c r="E4" s="315"/>
      <c r="F4" s="315"/>
      <c r="G4" s="315"/>
      <c r="H4" s="315"/>
      <c r="I4" s="315"/>
      <c r="J4" s="315"/>
    </row>
    <row r="5" spans="1:14" s="222" customFormat="1" ht="12.75" customHeight="1" x14ac:dyDescent="0.2">
      <c r="A5" s="263"/>
      <c r="B5" s="263"/>
      <c r="C5" s="223"/>
      <c r="D5" s="263"/>
      <c r="E5" s="263"/>
      <c r="F5" s="263"/>
      <c r="G5" s="263"/>
      <c r="H5" s="263"/>
      <c r="I5" s="263"/>
      <c r="J5" s="263"/>
    </row>
    <row r="6" spans="1:14" s="222" customFormat="1" ht="25.5" customHeight="1" x14ac:dyDescent="0.2">
      <c r="A6" s="224" t="s">
        <v>246</v>
      </c>
      <c r="B6" s="225"/>
      <c r="C6" s="225"/>
      <c r="D6" s="356" t="s">
        <v>247</v>
      </c>
      <c r="E6" s="356"/>
      <c r="F6" s="356"/>
      <c r="G6" s="356"/>
      <c r="H6" s="356"/>
      <c r="I6" s="356"/>
      <c r="J6" s="356"/>
    </row>
    <row r="7" spans="1:14" s="222" customFormat="1" ht="12.75" customHeight="1" x14ac:dyDescent="0.2">
      <c r="A7" s="318" t="s">
        <v>49</v>
      </c>
      <c r="B7" s="335"/>
      <c r="C7" s="335"/>
      <c r="D7" s="335"/>
      <c r="E7" s="335"/>
      <c r="F7" s="335"/>
      <c r="G7" s="335"/>
      <c r="H7" s="335"/>
      <c r="I7" s="226"/>
      <c r="J7" s="226"/>
    </row>
    <row r="8" spans="1:14" s="4" customFormat="1" ht="13.5" customHeight="1" x14ac:dyDescent="0.2">
      <c r="A8" s="318"/>
      <c r="B8" s="335"/>
      <c r="C8" s="335"/>
      <c r="D8" s="335"/>
      <c r="E8" s="335"/>
      <c r="F8" s="335"/>
      <c r="G8" s="335"/>
      <c r="H8" s="335"/>
    </row>
    <row r="9" spans="1:14" s="221" customFormat="1" ht="27" customHeight="1" x14ac:dyDescent="0.25">
      <c r="A9" s="344" t="s">
        <v>13</v>
      </c>
      <c r="B9" s="344" t="s">
        <v>100</v>
      </c>
      <c r="C9" s="344" t="s">
        <v>205</v>
      </c>
      <c r="D9" s="344" t="s">
        <v>102</v>
      </c>
      <c r="E9" s="338" t="s">
        <v>248</v>
      </c>
      <c r="F9" s="353" t="s">
        <v>104</v>
      </c>
      <c r="G9" s="354"/>
      <c r="H9" s="338" t="s">
        <v>249</v>
      </c>
      <c r="I9" s="353" t="s">
        <v>250</v>
      </c>
      <c r="J9" s="354"/>
      <c r="K9" s="220"/>
      <c r="L9" s="220"/>
      <c r="M9" s="220"/>
      <c r="N9" s="220"/>
    </row>
    <row r="10" spans="1:14" s="221" customFormat="1" ht="28.5" customHeight="1" x14ac:dyDescent="0.25">
      <c r="A10" s="344"/>
      <c r="B10" s="344"/>
      <c r="C10" s="344"/>
      <c r="D10" s="344"/>
      <c r="E10" s="355"/>
      <c r="F10" s="144" t="s">
        <v>251</v>
      </c>
      <c r="G10" s="144" t="s">
        <v>106</v>
      </c>
      <c r="H10" s="355"/>
      <c r="I10" s="144" t="s">
        <v>251</v>
      </c>
      <c r="J10" s="144" t="s">
        <v>106</v>
      </c>
      <c r="K10" s="220"/>
      <c r="L10" s="220"/>
      <c r="M10" s="220"/>
      <c r="N10" s="220"/>
    </row>
    <row r="11" spans="1:14" s="221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62">
        <v>9</v>
      </c>
      <c r="J11" s="262">
        <v>10</v>
      </c>
      <c r="K11" s="220"/>
      <c r="L11" s="220"/>
      <c r="M11" s="220"/>
      <c r="N11" s="220"/>
    </row>
    <row r="12" spans="1:14" x14ac:dyDescent="0.25">
      <c r="A12" s="2"/>
      <c r="B12" s="342" t="s">
        <v>252</v>
      </c>
      <c r="C12" s="343"/>
      <c r="D12" s="344"/>
      <c r="E12" s="345"/>
      <c r="F12" s="346"/>
      <c r="G12" s="346"/>
      <c r="H12" s="347"/>
      <c r="I12" s="227"/>
      <c r="J12" s="227"/>
    </row>
    <row r="13" spans="1:14" ht="25.5" customHeight="1" x14ac:dyDescent="0.25">
      <c r="A13" s="2">
        <v>1</v>
      </c>
      <c r="B13" s="228" t="s">
        <v>253</v>
      </c>
      <c r="C13" s="229" t="s">
        <v>254</v>
      </c>
      <c r="D13" s="144" t="s">
        <v>255</v>
      </c>
      <c r="E13" s="230">
        <f>G13/F13</f>
        <v>117.71783295711062</v>
      </c>
      <c r="F13" s="189">
        <v>8.86</v>
      </c>
      <c r="G13" s="189">
        <f>SUM(Прил.3!H14:H17)</f>
        <v>1042.98</v>
      </c>
      <c r="H13" s="231">
        <f>G13/$G$15</f>
        <v>0.35020482170438522</v>
      </c>
      <c r="I13" s="232">
        <f>ФОТр.тек.!E13</f>
        <v>408.58149402404001</v>
      </c>
      <c r="J13" s="232">
        <f>ROUND(I13*E13,2)</f>
        <v>48097.33</v>
      </c>
    </row>
    <row r="14" spans="1:14" x14ac:dyDescent="0.25">
      <c r="A14" s="2">
        <v>2</v>
      </c>
      <c r="B14" s="228" t="s">
        <v>256</v>
      </c>
      <c r="C14" s="229" t="s">
        <v>111</v>
      </c>
      <c r="D14" s="144" t="s">
        <v>255</v>
      </c>
      <c r="E14" s="230">
        <v>124.93333333333</v>
      </c>
      <c r="F14" s="214">
        <v>15.49</v>
      </c>
      <c r="G14" s="189">
        <f>Прил.3!H13</f>
        <v>1935.22</v>
      </c>
      <c r="H14" s="231">
        <f>G14/$G$15</f>
        <v>0.64979517829561484</v>
      </c>
      <c r="I14" s="281">
        <f>ФОТр.тек.!E13</f>
        <v>408.58149402404001</v>
      </c>
      <c r="J14" s="232">
        <f>ROUND(I14*E14,2)</f>
        <v>51045.45</v>
      </c>
    </row>
    <row r="15" spans="1:14" s="14" customFormat="1" ht="25.5" customHeight="1" x14ac:dyDescent="0.2">
      <c r="A15" s="2"/>
      <c r="B15" s="2"/>
      <c r="C15" s="264" t="s">
        <v>257</v>
      </c>
      <c r="D15" s="2" t="s">
        <v>255</v>
      </c>
      <c r="E15" s="233">
        <f>SUM(E13:E14)</f>
        <v>242.65116629044061</v>
      </c>
      <c r="F15" s="28"/>
      <c r="G15" s="28">
        <f>SUM(G13:G14)</f>
        <v>2978.2</v>
      </c>
      <c r="H15" s="267">
        <v>1</v>
      </c>
      <c r="I15" s="227"/>
      <c r="J15" s="189">
        <f>SUM(J13:J14)</f>
        <v>99142.78</v>
      </c>
    </row>
    <row r="16" spans="1:14" s="14" customFormat="1" ht="14.25" customHeight="1" x14ac:dyDescent="0.2">
      <c r="A16" s="2"/>
      <c r="B16" s="343" t="s">
        <v>121</v>
      </c>
      <c r="C16" s="343"/>
      <c r="D16" s="344"/>
      <c r="E16" s="345"/>
      <c r="F16" s="346"/>
      <c r="G16" s="346"/>
      <c r="H16" s="347"/>
      <c r="I16" s="227"/>
      <c r="J16" s="227"/>
    </row>
    <row r="17" spans="1:12" s="14" customFormat="1" ht="14.25" customHeight="1" x14ac:dyDescent="0.2">
      <c r="A17" s="2">
        <v>3</v>
      </c>
      <c r="B17" s="2">
        <v>2</v>
      </c>
      <c r="C17" s="9" t="s">
        <v>121</v>
      </c>
      <c r="D17" s="2" t="s">
        <v>255</v>
      </c>
      <c r="E17" s="233">
        <f>Прил.3!F19</f>
        <v>7.8066000000000004</v>
      </c>
      <c r="F17" s="28">
        <f>G17/E17</f>
        <v>10.059436886736863</v>
      </c>
      <c r="G17" s="28">
        <f>Прил.3!H18</f>
        <v>78.53</v>
      </c>
      <c r="H17" s="267">
        <v>1</v>
      </c>
      <c r="I17" s="232">
        <f>ROUND(F17*Прил.10!D11,2)</f>
        <v>445.53</v>
      </c>
      <c r="J17" s="232">
        <f>ROUND(I17*E17,2)</f>
        <v>3478.07</v>
      </c>
    </row>
    <row r="18" spans="1:12" s="14" customFormat="1" ht="14.25" customHeight="1" x14ac:dyDescent="0.2">
      <c r="A18" s="2"/>
      <c r="B18" s="342" t="s">
        <v>122</v>
      </c>
      <c r="C18" s="343"/>
      <c r="D18" s="344"/>
      <c r="E18" s="345"/>
      <c r="F18" s="346"/>
      <c r="G18" s="346"/>
      <c r="H18" s="347"/>
      <c r="I18" s="227"/>
      <c r="J18" s="227"/>
    </row>
    <row r="19" spans="1:12" s="14" customFormat="1" ht="14.25" customHeight="1" x14ac:dyDescent="0.2">
      <c r="A19" s="2"/>
      <c r="B19" s="343" t="s">
        <v>258</v>
      </c>
      <c r="C19" s="343"/>
      <c r="D19" s="344"/>
      <c r="E19" s="345"/>
      <c r="F19" s="346"/>
      <c r="G19" s="346"/>
      <c r="H19" s="347"/>
      <c r="I19" s="227"/>
      <c r="J19" s="227"/>
    </row>
    <row r="20" spans="1:12" s="14" customFormat="1" ht="14.25" customHeight="1" x14ac:dyDescent="0.2">
      <c r="A20" s="2">
        <v>4</v>
      </c>
      <c r="B20" s="275" t="s">
        <v>123</v>
      </c>
      <c r="C20" s="276" t="s">
        <v>124</v>
      </c>
      <c r="D20" s="277" t="s">
        <v>125</v>
      </c>
      <c r="E20" s="233">
        <v>7.8066000000000004</v>
      </c>
      <c r="F20" s="278">
        <v>89.99</v>
      </c>
      <c r="G20" s="237">
        <f>ROUND(E20*F20,2)</f>
        <v>702.52</v>
      </c>
      <c r="H20" s="279">
        <f>G20/$G$24</f>
        <v>0.96905993516794264</v>
      </c>
      <c r="I20" s="189">
        <f>ROUND(F20*Прил.10!$D$12,2)</f>
        <v>1212.17</v>
      </c>
      <c r="J20" s="189">
        <f>ROUND(I20*E20,2)</f>
        <v>9462.93</v>
      </c>
    </row>
    <row r="21" spans="1:12" s="14" customFormat="1" ht="14.25" customHeight="1" x14ac:dyDescent="0.2">
      <c r="A21" s="2"/>
      <c r="B21" s="2"/>
      <c r="C21" s="9" t="s">
        <v>259</v>
      </c>
      <c r="D21" s="2"/>
      <c r="E21" s="233"/>
      <c r="F21" s="28"/>
      <c r="G21" s="28">
        <f>SUM(G20:G20)</f>
        <v>702.52</v>
      </c>
      <c r="H21" s="267">
        <f>G21/G24</f>
        <v>0.96905993516794264</v>
      </c>
      <c r="I21" s="280"/>
      <c r="J21" s="28">
        <f>SUM(J20:J20)</f>
        <v>9462.93</v>
      </c>
      <c r="K21" s="245"/>
    </row>
    <row r="22" spans="1:12" s="14" customFormat="1" ht="25.5" customHeight="1" outlineLevel="1" x14ac:dyDescent="0.2">
      <c r="A22" s="2">
        <v>5</v>
      </c>
      <c r="B22" s="275" t="s">
        <v>126</v>
      </c>
      <c r="C22" s="276" t="s">
        <v>127</v>
      </c>
      <c r="D22" s="277" t="s">
        <v>125</v>
      </c>
      <c r="E22" s="233">
        <v>2.7690000000000001</v>
      </c>
      <c r="F22" s="278">
        <v>8.1</v>
      </c>
      <c r="G22" s="237">
        <f>ROUND(E22*F22,2)</f>
        <v>22.43</v>
      </c>
      <c r="H22" s="279">
        <f>G22/$G$24</f>
        <v>3.0940064832057385E-2</v>
      </c>
      <c r="I22" s="189">
        <f>ROUND(F22*Прил.10!$D$12,2)</f>
        <v>109.11</v>
      </c>
      <c r="J22" s="189">
        <f>ROUND(I22*E22,2)</f>
        <v>302.13</v>
      </c>
    </row>
    <row r="23" spans="1:12" s="14" customFormat="1" ht="14.25" customHeight="1" x14ac:dyDescent="0.2">
      <c r="A23" s="2"/>
      <c r="B23" s="2"/>
      <c r="C23" s="9" t="s">
        <v>260</v>
      </c>
      <c r="D23" s="2"/>
      <c r="E23" s="265"/>
      <c r="F23" s="28"/>
      <c r="G23" s="280">
        <f>SUM(G22:G22)</f>
        <v>22.43</v>
      </c>
      <c r="H23" s="238">
        <f>G23/G24</f>
        <v>3.0940064832057385E-2</v>
      </c>
      <c r="I23" s="281"/>
      <c r="J23" s="280">
        <f>SUM(J22:J22)</f>
        <v>302.13</v>
      </c>
    </row>
    <row r="24" spans="1:12" s="14" customFormat="1" ht="25.5" customHeight="1" x14ac:dyDescent="0.2">
      <c r="A24" s="2"/>
      <c r="B24" s="2"/>
      <c r="C24" s="264" t="s">
        <v>261</v>
      </c>
      <c r="D24" s="2"/>
      <c r="E24" s="265"/>
      <c r="F24" s="28"/>
      <c r="G24" s="28">
        <f>G23+G21</f>
        <v>724.94999999999993</v>
      </c>
      <c r="H24" s="282">
        <f>H23+H21</f>
        <v>1</v>
      </c>
      <c r="I24" s="283"/>
      <c r="J24" s="284">
        <f>J23+J21</f>
        <v>9765.06</v>
      </c>
    </row>
    <row r="25" spans="1:12" s="14" customFormat="1" ht="14.25" customHeight="1" x14ac:dyDescent="0.2">
      <c r="A25" s="2"/>
      <c r="B25" s="342" t="s">
        <v>43</v>
      </c>
      <c r="C25" s="342"/>
      <c r="D25" s="348"/>
      <c r="E25" s="349"/>
      <c r="F25" s="350"/>
      <c r="G25" s="350"/>
      <c r="H25" s="351"/>
      <c r="I25" s="227"/>
      <c r="J25" s="227"/>
    </row>
    <row r="26" spans="1:12" x14ac:dyDescent="0.25">
      <c r="A26" s="210"/>
      <c r="B26" s="343" t="s">
        <v>262</v>
      </c>
      <c r="C26" s="343"/>
      <c r="D26" s="344"/>
      <c r="E26" s="345"/>
      <c r="F26" s="346"/>
      <c r="G26" s="346"/>
      <c r="H26" s="347"/>
      <c r="I26" s="285"/>
      <c r="J26" s="285"/>
      <c r="K26" s="286"/>
      <c r="L26" s="286"/>
    </row>
    <row r="27" spans="1:12" s="14" customFormat="1" ht="25.5" customHeight="1" x14ac:dyDescent="0.2">
      <c r="A27" s="2">
        <v>6</v>
      </c>
      <c r="B27" s="234" t="s">
        <v>128</v>
      </c>
      <c r="C27" s="150" t="s">
        <v>129</v>
      </c>
      <c r="D27" s="234" t="s">
        <v>130</v>
      </c>
      <c r="E27" s="235">
        <v>2</v>
      </c>
      <c r="F27" s="236">
        <v>15956.83</v>
      </c>
      <c r="G27" s="237">
        <f>ROUND(E27*F27,2)</f>
        <v>31913.66</v>
      </c>
      <c r="H27" s="238">
        <f>G27/$G$70</f>
        <v>2.021197658187603</v>
      </c>
      <c r="I27" s="189">
        <f>ROUND(F27*Прил.10!$D$14,2)</f>
        <v>99889.76</v>
      </c>
      <c r="J27" s="189">
        <f>ROUND(I27*E27,2)</f>
        <v>199779.52</v>
      </c>
    </row>
    <row r="28" spans="1:12" s="14" customFormat="1" ht="25.5" customHeight="1" x14ac:dyDescent="0.2">
      <c r="A28" s="2">
        <v>7</v>
      </c>
      <c r="B28" s="234" t="s">
        <v>131</v>
      </c>
      <c r="C28" s="150" t="s">
        <v>132</v>
      </c>
      <c r="D28" s="234" t="s">
        <v>130</v>
      </c>
      <c r="E28" s="235">
        <v>13</v>
      </c>
      <c r="F28" s="236">
        <v>1444.49</v>
      </c>
      <c r="G28" s="237">
        <f>ROUND(E28*F28,2)</f>
        <v>18778.37</v>
      </c>
      <c r="H28" s="238">
        <f>G28/$G$70</f>
        <v>1.1892962909481501</v>
      </c>
      <c r="I28" s="189">
        <f>ROUND(F28*Прил.10!$D$14,2)</f>
        <v>9042.51</v>
      </c>
      <c r="J28" s="189">
        <f>ROUND(I28*E28,2)</f>
        <v>117552.63</v>
      </c>
    </row>
    <row r="29" spans="1:12" s="14" customFormat="1" ht="25.5" customHeight="1" x14ac:dyDescent="0.2">
      <c r="A29" s="2">
        <v>8</v>
      </c>
      <c r="B29" s="234" t="s">
        <v>133</v>
      </c>
      <c r="C29" s="150" t="s">
        <v>134</v>
      </c>
      <c r="D29" s="234" t="s">
        <v>130</v>
      </c>
      <c r="E29" s="235">
        <v>13</v>
      </c>
      <c r="F29" s="236">
        <v>1121.5</v>
      </c>
      <c r="G29" s="237">
        <f>ROUND(E29*F29,2)</f>
        <v>14579.5</v>
      </c>
      <c r="H29" s="238">
        <f>G29/$G$70</f>
        <v>0.92336796398614762</v>
      </c>
      <c r="I29" s="189">
        <f>ROUND(F29*Прил.10!$D$14,2)</f>
        <v>7020.59</v>
      </c>
      <c r="J29" s="189">
        <f>ROUND(I29*E29,2)</f>
        <v>91267.67</v>
      </c>
    </row>
    <row r="30" spans="1:12" x14ac:dyDescent="0.25">
      <c r="A30" s="2"/>
      <c r="B30" s="210"/>
      <c r="C30" s="135" t="s">
        <v>263</v>
      </c>
      <c r="D30" s="277"/>
      <c r="E30" s="233"/>
      <c r="F30" s="270"/>
      <c r="G30" s="214">
        <f>SUM(G27:G29)</f>
        <v>65271.53</v>
      </c>
      <c r="H30" s="238">
        <f>G30/$G$34</f>
        <v>0.87291430595042918</v>
      </c>
      <c r="I30" s="287"/>
      <c r="J30" s="214">
        <f>SUM(J27:J29)</f>
        <v>408599.82</v>
      </c>
      <c r="K30" s="286"/>
      <c r="L30" s="286"/>
    </row>
    <row r="31" spans="1:12" s="14" customFormat="1" ht="25.5" customHeight="1" outlineLevel="1" x14ac:dyDescent="0.2">
      <c r="A31" s="2">
        <v>9</v>
      </c>
      <c r="B31" s="234" t="s">
        <v>133</v>
      </c>
      <c r="C31" s="150" t="s">
        <v>134</v>
      </c>
      <c r="D31" s="234" t="s">
        <v>130</v>
      </c>
      <c r="E31" s="235">
        <v>6</v>
      </c>
      <c r="F31" s="236">
        <v>1121.5</v>
      </c>
      <c r="G31" s="237">
        <f>ROUND(E31*F31,2)</f>
        <v>6729</v>
      </c>
      <c r="H31" s="238">
        <f>G31/$G$70</f>
        <v>0.42616982953206817</v>
      </c>
      <c r="I31" s="189">
        <f>ROUND(F31*Прил.10!$D$14,2)</f>
        <v>7020.59</v>
      </c>
      <c r="J31" s="189">
        <f>ROUND(I31*E31,2)</f>
        <v>42123.54</v>
      </c>
    </row>
    <row r="32" spans="1:12" s="14" customFormat="1" ht="14.25" customHeight="1" outlineLevel="1" x14ac:dyDescent="0.2">
      <c r="A32" s="2">
        <v>10</v>
      </c>
      <c r="B32" s="234" t="s">
        <v>135</v>
      </c>
      <c r="C32" s="150" t="s">
        <v>136</v>
      </c>
      <c r="D32" s="234" t="s">
        <v>130</v>
      </c>
      <c r="E32" s="235">
        <v>2</v>
      </c>
      <c r="F32" s="236">
        <v>1386.87</v>
      </c>
      <c r="G32" s="237">
        <f>ROUND(E32*F32,2)</f>
        <v>2773.74</v>
      </c>
      <c r="H32" s="238">
        <f>G32/$G$70</f>
        <v>0.17567012973194807</v>
      </c>
      <c r="I32" s="189">
        <f>ROUND(F32*Прил.10!$D$14,2)</f>
        <v>8681.81</v>
      </c>
      <c r="J32" s="189">
        <f>ROUND(I32*E32,2)</f>
        <v>17363.62</v>
      </c>
    </row>
    <row r="33" spans="1:12" x14ac:dyDescent="0.25">
      <c r="A33" s="2"/>
      <c r="B33" s="210"/>
      <c r="C33" s="135" t="s">
        <v>264</v>
      </c>
      <c r="D33" s="210"/>
      <c r="E33" s="233"/>
      <c r="F33" s="270"/>
      <c r="G33" s="214">
        <f>SUM(G31:G32)</f>
        <v>9502.74</v>
      </c>
      <c r="H33" s="238">
        <f>G33/$G$34</f>
        <v>0.12708569404957079</v>
      </c>
      <c r="I33" s="287"/>
      <c r="J33" s="214">
        <f>SUM(J31:J32)</f>
        <v>59487.16</v>
      </c>
      <c r="K33" s="286"/>
      <c r="L33" s="286"/>
    </row>
    <row r="34" spans="1:12" x14ac:dyDescent="0.25">
      <c r="A34" s="210"/>
      <c r="B34" s="210"/>
      <c r="C34" s="212" t="s">
        <v>265</v>
      </c>
      <c r="D34" s="210"/>
      <c r="E34" s="288"/>
      <c r="F34" s="270"/>
      <c r="G34" s="214">
        <f>G30+G33</f>
        <v>74774.27</v>
      </c>
      <c r="H34" s="267">
        <f>H33+H30</f>
        <v>1</v>
      </c>
      <c r="I34" s="287"/>
      <c r="J34" s="214">
        <f>J33+J30</f>
        <v>468086.98</v>
      </c>
      <c r="K34" s="286"/>
      <c r="L34" s="286"/>
    </row>
    <row r="35" spans="1:12" ht="25.5" customHeight="1" x14ac:dyDescent="0.25">
      <c r="A35" s="210"/>
      <c r="B35" s="210"/>
      <c r="C35" s="135" t="s">
        <v>266</v>
      </c>
      <c r="D35" s="210"/>
      <c r="E35" s="289"/>
      <c r="F35" s="270"/>
      <c r="G35" s="214">
        <f>'Прил.6 Расчет ОБ'!G17</f>
        <v>74774.27</v>
      </c>
      <c r="H35" s="290"/>
      <c r="I35" s="287"/>
      <c r="J35" s="214">
        <f>J34</f>
        <v>468086.98</v>
      </c>
      <c r="K35" s="286"/>
      <c r="L35" s="286"/>
    </row>
    <row r="36" spans="1:12" s="14" customFormat="1" ht="14.25" customHeight="1" x14ac:dyDescent="0.2">
      <c r="A36" s="2"/>
      <c r="B36" s="342" t="s">
        <v>137</v>
      </c>
      <c r="C36" s="342"/>
      <c r="D36" s="348"/>
      <c r="E36" s="349"/>
      <c r="F36" s="350"/>
      <c r="G36" s="350"/>
      <c r="H36" s="351"/>
      <c r="I36" s="227"/>
      <c r="J36" s="227"/>
    </row>
    <row r="37" spans="1:12" s="14" customFormat="1" ht="14.25" customHeight="1" x14ac:dyDescent="0.2">
      <c r="A37" s="291"/>
      <c r="B37" s="337" t="s">
        <v>267</v>
      </c>
      <c r="C37" s="337"/>
      <c r="D37" s="338"/>
      <c r="E37" s="339"/>
      <c r="F37" s="340"/>
      <c r="G37" s="340"/>
      <c r="H37" s="341"/>
      <c r="I37" s="292"/>
      <c r="J37" s="292"/>
    </row>
    <row r="38" spans="1:12" s="14" customFormat="1" ht="25.5" customHeight="1" x14ac:dyDescent="0.2">
      <c r="A38" s="234">
        <v>11</v>
      </c>
      <c r="B38" s="234" t="s">
        <v>138</v>
      </c>
      <c r="C38" s="150" t="s">
        <v>139</v>
      </c>
      <c r="D38" s="234" t="s">
        <v>140</v>
      </c>
      <c r="E38" s="235">
        <v>1.3270200000000001</v>
      </c>
      <c r="F38" s="236">
        <v>5545.45</v>
      </c>
      <c r="G38" s="237">
        <f>ROUND(E38*F38,2)</f>
        <v>7358.92</v>
      </c>
      <c r="H38" s="238">
        <f t="shared" ref="H38:H70" si="0">G38/$G$70</f>
        <v>0.46606474690743455</v>
      </c>
      <c r="I38" s="189">
        <f>ROUND(F38*Прил.10!$D$13,2)</f>
        <v>44585.42</v>
      </c>
      <c r="J38" s="189">
        <f>ROUND(I38*E38,2)</f>
        <v>59165.74</v>
      </c>
    </row>
    <row r="39" spans="1:12" s="14" customFormat="1" ht="14.25" customHeight="1" x14ac:dyDescent="0.2">
      <c r="A39" s="234">
        <v>12</v>
      </c>
      <c r="B39" s="234" t="s">
        <v>141</v>
      </c>
      <c r="C39" s="150" t="s">
        <v>142</v>
      </c>
      <c r="D39" s="234" t="s">
        <v>143</v>
      </c>
      <c r="E39" s="235">
        <v>29.484000000000002</v>
      </c>
      <c r="F39" s="236">
        <v>155.74</v>
      </c>
      <c r="G39" s="237">
        <f>ROUND(E39*F39,2)</f>
        <v>4591.84</v>
      </c>
      <c r="H39" s="238">
        <f t="shared" si="0"/>
        <v>0.29081641700676653</v>
      </c>
      <c r="I39" s="189">
        <f>ROUND(F39*Прил.10!$D$13,2)</f>
        <v>1252.1500000000001</v>
      </c>
      <c r="J39" s="189">
        <f>ROUND(I39*E39,2)</f>
        <v>36918.39</v>
      </c>
    </row>
    <row r="40" spans="1:12" s="14" customFormat="1" ht="25.5" customHeight="1" x14ac:dyDescent="0.2">
      <c r="A40" s="234">
        <v>13</v>
      </c>
      <c r="B40" s="234" t="s">
        <v>144</v>
      </c>
      <c r="C40" s="150" t="s">
        <v>145</v>
      </c>
      <c r="D40" s="234" t="s">
        <v>140</v>
      </c>
      <c r="E40" s="235">
        <v>0.34883999999999998</v>
      </c>
      <c r="F40" s="236">
        <v>4077.61</v>
      </c>
      <c r="G40" s="237">
        <f>ROUND(E40*F40,2)</f>
        <v>1422.43</v>
      </c>
      <c r="H40" s="238">
        <f t="shared" si="0"/>
        <v>9.0087197298454408E-2</v>
      </c>
      <c r="I40" s="189">
        <f>ROUND(F40*Прил.10!$D$13,2)</f>
        <v>32783.980000000003</v>
      </c>
      <c r="J40" s="189">
        <f>ROUND(I40*E40,2)</f>
        <v>11436.36</v>
      </c>
    </row>
    <row r="41" spans="1:12" s="14" customFormat="1" ht="14.25" customHeight="1" x14ac:dyDescent="0.2">
      <c r="A41" s="234">
        <v>14</v>
      </c>
      <c r="B41" s="234" t="s">
        <v>146</v>
      </c>
      <c r="C41" s="150" t="s">
        <v>147</v>
      </c>
      <c r="D41" s="234" t="s">
        <v>140</v>
      </c>
      <c r="E41" s="235">
        <v>0.19900000000000001</v>
      </c>
      <c r="F41" s="236">
        <v>1819.3</v>
      </c>
      <c r="G41" s="237">
        <f>ROUND(E41*F41,2)</f>
        <v>362.04</v>
      </c>
      <c r="H41" s="238">
        <f t="shared" si="0"/>
        <v>2.2929190828323669E-2</v>
      </c>
      <c r="I41" s="189">
        <f>ROUND(F41*Прил.10!$D$13,2)</f>
        <v>14627.17</v>
      </c>
      <c r="J41" s="189">
        <f>ROUND(I41*E41,2)</f>
        <v>2910.81</v>
      </c>
    </row>
    <row r="42" spans="1:12" s="14" customFormat="1" ht="14.25" customHeight="1" x14ac:dyDescent="0.2">
      <c r="A42" s="239"/>
      <c r="B42" s="239"/>
      <c r="C42" s="240" t="s">
        <v>268</v>
      </c>
      <c r="D42" s="241"/>
      <c r="E42" s="242"/>
      <c r="F42" s="243"/>
      <c r="G42" s="244">
        <f>SUM(G38:G41)</f>
        <v>13735.230000000001</v>
      </c>
      <c r="H42" s="238">
        <f t="shared" si="0"/>
        <v>0.86989755204097918</v>
      </c>
      <c r="I42" s="189"/>
      <c r="J42" s="244">
        <f>SUM(J38:J41)</f>
        <v>110431.3</v>
      </c>
      <c r="K42" s="245"/>
      <c r="L42" s="245"/>
    </row>
    <row r="43" spans="1:12" s="14" customFormat="1" ht="63.75" customHeight="1" outlineLevel="1" x14ac:dyDescent="0.2">
      <c r="A43" s="234">
        <v>15</v>
      </c>
      <c r="B43" s="234" t="s">
        <v>148</v>
      </c>
      <c r="C43" s="150" t="s">
        <v>149</v>
      </c>
      <c r="D43" s="234" t="s">
        <v>140</v>
      </c>
      <c r="E43" s="235">
        <v>0.12</v>
      </c>
      <c r="F43" s="236">
        <v>3005.8</v>
      </c>
      <c r="G43" s="237">
        <f t="shared" ref="G43:G68" si="1">ROUND(E43*F43,2)</f>
        <v>360.7</v>
      </c>
      <c r="H43" s="238">
        <f t="shared" si="0"/>
        <v>2.2844324195603654E-2</v>
      </c>
      <c r="I43" s="189">
        <f>ROUND(F43*Прил.10!$D$13,2)</f>
        <v>24166.63</v>
      </c>
      <c r="J43" s="189">
        <f t="shared" ref="J43:J68" si="2">ROUND(I43*E43,2)</f>
        <v>2900</v>
      </c>
    </row>
    <row r="44" spans="1:12" s="14" customFormat="1" ht="14.25" customHeight="1" outlineLevel="1" x14ac:dyDescent="0.2">
      <c r="A44" s="234">
        <v>16</v>
      </c>
      <c r="B44" s="234" t="s">
        <v>150</v>
      </c>
      <c r="C44" s="150" t="s">
        <v>151</v>
      </c>
      <c r="D44" s="234" t="s">
        <v>152</v>
      </c>
      <c r="E44" s="235">
        <v>9</v>
      </c>
      <c r="F44" s="236">
        <v>38.42</v>
      </c>
      <c r="G44" s="237">
        <f t="shared" si="1"/>
        <v>345.78</v>
      </c>
      <c r="H44" s="238">
        <f t="shared" si="0"/>
        <v>2.1899391240243499E-2</v>
      </c>
      <c r="I44" s="189">
        <f>ROUND(F44*Прил.10!$D$13,2)</f>
        <v>308.89999999999998</v>
      </c>
      <c r="J44" s="189">
        <f t="shared" si="2"/>
        <v>2780.1</v>
      </c>
    </row>
    <row r="45" spans="1:12" s="14" customFormat="1" ht="25.5" customHeight="1" outlineLevel="1" x14ac:dyDescent="0.2">
      <c r="A45" s="234">
        <v>17</v>
      </c>
      <c r="B45" s="234" t="s">
        <v>153</v>
      </c>
      <c r="C45" s="150" t="s">
        <v>154</v>
      </c>
      <c r="D45" s="234" t="s">
        <v>155</v>
      </c>
      <c r="E45" s="235">
        <v>2.5999999999999999E-2</v>
      </c>
      <c r="F45" s="236">
        <v>11500</v>
      </c>
      <c r="G45" s="237">
        <f t="shared" si="1"/>
        <v>299</v>
      </c>
      <c r="H45" s="238">
        <f t="shared" si="0"/>
        <v>1.8936659092003028E-2</v>
      </c>
      <c r="I45" s="189">
        <f>ROUND(F45*Прил.10!$D$13,2)</f>
        <v>92460</v>
      </c>
      <c r="J45" s="189">
        <f t="shared" si="2"/>
        <v>2403.96</v>
      </c>
    </row>
    <row r="46" spans="1:12" s="14" customFormat="1" ht="25.5" customHeight="1" outlineLevel="1" x14ac:dyDescent="0.2">
      <c r="A46" s="234">
        <v>18</v>
      </c>
      <c r="B46" s="234" t="s">
        <v>156</v>
      </c>
      <c r="C46" s="150" t="s">
        <v>157</v>
      </c>
      <c r="D46" s="234" t="s">
        <v>158</v>
      </c>
      <c r="E46" s="235">
        <v>178.68</v>
      </c>
      <c r="F46" s="236">
        <v>1</v>
      </c>
      <c r="G46" s="237">
        <f t="shared" si="1"/>
        <v>178.68</v>
      </c>
      <c r="H46" s="238">
        <f t="shared" si="0"/>
        <v>1.131639547344181E-2</v>
      </c>
      <c r="I46" s="189">
        <f>ROUND(F46*Прил.10!$D$13,2)</f>
        <v>8.0399999999999991</v>
      </c>
      <c r="J46" s="189">
        <f t="shared" si="2"/>
        <v>1436.59</v>
      </c>
    </row>
    <row r="47" spans="1:12" s="14" customFormat="1" ht="14.25" customHeight="1" outlineLevel="1" x14ac:dyDescent="0.2">
      <c r="A47" s="234">
        <v>19</v>
      </c>
      <c r="B47" s="234" t="s">
        <v>159</v>
      </c>
      <c r="C47" s="150" t="s">
        <v>160</v>
      </c>
      <c r="D47" s="234" t="s">
        <v>143</v>
      </c>
      <c r="E47" s="235">
        <v>2.6</v>
      </c>
      <c r="F47" s="236">
        <v>63</v>
      </c>
      <c r="G47" s="237">
        <f t="shared" si="1"/>
        <v>163.80000000000001</v>
      </c>
      <c r="H47" s="238">
        <f t="shared" si="0"/>
        <v>1.0373995850401659E-2</v>
      </c>
      <c r="I47" s="189">
        <f>ROUND(F47*Прил.10!$D$13,2)</f>
        <v>506.52</v>
      </c>
      <c r="J47" s="189">
        <f t="shared" si="2"/>
        <v>1316.95</v>
      </c>
    </row>
    <row r="48" spans="1:12" s="14" customFormat="1" ht="14.25" customHeight="1" outlineLevel="1" x14ac:dyDescent="0.2">
      <c r="A48" s="234">
        <v>20</v>
      </c>
      <c r="B48" s="234" t="s">
        <v>161</v>
      </c>
      <c r="C48" s="150" t="s">
        <v>162</v>
      </c>
      <c r="D48" s="234" t="s">
        <v>155</v>
      </c>
      <c r="E48" s="235">
        <v>1.31355E-2</v>
      </c>
      <c r="F48" s="236">
        <v>12430</v>
      </c>
      <c r="G48" s="237">
        <f t="shared" si="1"/>
        <v>163.27000000000001</v>
      </c>
      <c r="H48" s="238">
        <f t="shared" si="0"/>
        <v>1.0340429197161655E-2</v>
      </c>
      <c r="I48" s="189">
        <f>ROUND(F48*Прил.10!$D$13,2)</f>
        <v>99937.2</v>
      </c>
      <c r="J48" s="189">
        <f t="shared" si="2"/>
        <v>1312.73</v>
      </c>
    </row>
    <row r="49" spans="1:10" s="14" customFormat="1" ht="14.25" customHeight="1" outlineLevel="1" x14ac:dyDescent="0.2">
      <c r="A49" s="234">
        <v>21</v>
      </c>
      <c r="B49" s="234" t="s">
        <v>150</v>
      </c>
      <c r="C49" s="150" t="s">
        <v>151</v>
      </c>
      <c r="D49" s="234" t="s">
        <v>152</v>
      </c>
      <c r="E49" s="235">
        <v>4</v>
      </c>
      <c r="F49" s="236">
        <v>38.42</v>
      </c>
      <c r="G49" s="237">
        <f t="shared" si="1"/>
        <v>153.68</v>
      </c>
      <c r="H49" s="238">
        <f t="shared" si="0"/>
        <v>9.7330627734415563E-3</v>
      </c>
      <c r="I49" s="189">
        <f>ROUND(F49*Прил.10!$D$13,2)</f>
        <v>308.89999999999998</v>
      </c>
      <c r="J49" s="189">
        <f t="shared" si="2"/>
        <v>1235.5999999999999</v>
      </c>
    </row>
    <row r="50" spans="1:10" s="14" customFormat="1" ht="14.25" customHeight="1" outlineLevel="1" x14ac:dyDescent="0.2">
      <c r="A50" s="234">
        <v>22</v>
      </c>
      <c r="B50" s="234" t="s">
        <v>163</v>
      </c>
      <c r="C50" s="150" t="s">
        <v>164</v>
      </c>
      <c r="D50" s="234" t="s">
        <v>165</v>
      </c>
      <c r="E50" s="235">
        <v>0.67800000000000005</v>
      </c>
      <c r="F50" s="236">
        <v>112.57</v>
      </c>
      <c r="G50" s="237">
        <f t="shared" si="1"/>
        <v>76.319999999999993</v>
      </c>
      <c r="H50" s="238">
        <f t="shared" si="0"/>
        <v>4.8335980665607722E-3</v>
      </c>
      <c r="I50" s="189">
        <f>ROUND(F50*Прил.10!$D$13,2)</f>
        <v>905.06</v>
      </c>
      <c r="J50" s="189">
        <f t="shared" si="2"/>
        <v>613.63</v>
      </c>
    </row>
    <row r="51" spans="1:10" s="14" customFormat="1" ht="14.25" customHeight="1" outlineLevel="1" x14ac:dyDescent="0.2">
      <c r="A51" s="234">
        <v>23</v>
      </c>
      <c r="B51" s="234" t="s">
        <v>166</v>
      </c>
      <c r="C51" s="150" t="s">
        <v>167</v>
      </c>
      <c r="D51" s="234" t="s">
        <v>143</v>
      </c>
      <c r="E51" s="235">
        <v>0.35199999999999998</v>
      </c>
      <c r="F51" s="236">
        <v>164</v>
      </c>
      <c r="G51" s="237">
        <f t="shared" si="1"/>
        <v>57.73</v>
      </c>
      <c r="H51" s="238">
        <f t="shared" si="0"/>
        <v>3.6562318708405843E-3</v>
      </c>
      <c r="I51" s="189">
        <f>ROUND(F51*Прил.10!$D$13,2)</f>
        <v>1318.56</v>
      </c>
      <c r="J51" s="189">
        <f t="shared" si="2"/>
        <v>464.13</v>
      </c>
    </row>
    <row r="52" spans="1:10" s="14" customFormat="1" ht="14.25" customHeight="1" outlineLevel="1" x14ac:dyDescent="0.2">
      <c r="A52" s="234">
        <v>24</v>
      </c>
      <c r="B52" s="234" t="s">
        <v>168</v>
      </c>
      <c r="C52" s="150" t="s">
        <v>169</v>
      </c>
      <c r="D52" s="234" t="s">
        <v>170</v>
      </c>
      <c r="E52" s="235">
        <v>1.3</v>
      </c>
      <c r="F52" s="236">
        <v>39</v>
      </c>
      <c r="G52" s="237">
        <f t="shared" si="1"/>
        <v>50.7</v>
      </c>
      <c r="H52" s="238">
        <f t="shared" si="0"/>
        <v>3.2109987156005138E-3</v>
      </c>
      <c r="I52" s="189">
        <f>ROUND(F52*Прил.10!$D$13,2)</f>
        <v>313.56</v>
      </c>
      <c r="J52" s="189">
        <f t="shared" si="2"/>
        <v>407.63</v>
      </c>
    </row>
    <row r="53" spans="1:10" s="14" customFormat="1" ht="38.25" customHeight="1" outlineLevel="1" x14ac:dyDescent="0.2">
      <c r="A53" s="234">
        <v>25</v>
      </c>
      <c r="B53" s="234" t="s">
        <v>171</v>
      </c>
      <c r="C53" s="150" t="s">
        <v>172</v>
      </c>
      <c r="D53" s="234" t="s">
        <v>165</v>
      </c>
      <c r="E53" s="235">
        <v>0.49199999999999999</v>
      </c>
      <c r="F53" s="236">
        <v>91.29</v>
      </c>
      <c r="G53" s="237">
        <f t="shared" si="1"/>
        <v>44.91</v>
      </c>
      <c r="H53" s="238">
        <f t="shared" si="0"/>
        <v>2.8442988622804548E-3</v>
      </c>
      <c r="I53" s="189">
        <f>ROUND(F53*Прил.10!$D$13,2)</f>
        <v>733.97</v>
      </c>
      <c r="J53" s="189">
        <f t="shared" si="2"/>
        <v>361.11</v>
      </c>
    </row>
    <row r="54" spans="1:10" s="14" customFormat="1" ht="14.25" customHeight="1" outlineLevel="1" x14ac:dyDescent="0.2">
      <c r="A54" s="234">
        <v>26</v>
      </c>
      <c r="B54" s="234" t="s">
        <v>173</v>
      </c>
      <c r="C54" s="150" t="s">
        <v>174</v>
      </c>
      <c r="D54" s="234" t="s">
        <v>155</v>
      </c>
      <c r="E54" s="235">
        <v>3.4020000000000001E-3</v>
      </c>
      <c r="F54" s="236">
        <v>10200</v>
      </c>
      <c r="G54" s="237">
        <f t="shared" si="1"/>
        <v>34.700000000000003</v>
      </c>
      <c r="H54" s="238">
        <f t="shared" si="0"/>
        <v>2.1976657876003518E-3</v>
      </c>
      <c r="I54" s="189">
        <f>ROUND(F54*Прил.10!$D$13,2)</f>
        <v>82008</v>
      </c>
      <c r="J54" s="189">
        <f t="shared" si="2"/>
        <v>278.99</v>
      </c>
    </row>
    <row r="55" spans="1:10" s="14" customFormat="1" ht="14.25" customHeight="1" outlineLevel="1" x14ac:dyDescent="0.2">
      <c r="A55" s="234">
        <v>27</v>
      </c>
      <c r="B55" s="234" t="s">
        <v>175</v>
      </c>
      <c r="C55" s="150" t="s">
        <v>176</v>
      </c>
      <c r="D55" s="234" t="s">
        <v>155</v>
      </c>
      <c r="E55" s="235">
        <v>3.1185000000000001E-2</v>
      </c>
      <c r="F55" s="236">
        <v>729.98</v>
      </c>
      <c r="G55" s="237">
        <f t="shared" si="1"/>
        <v>22.76</v>
      </c>
      <c r="H55" s="238">
        <f t="shared" si="0"/>
        <v>1.4414660900802306E-3</v>
      </c>
      <c r="I55" s="189">
        <f>ROUND(F55*Прил.10!$D$13,2)</f>
        <v>5869.04</v>
      </c>
      <c r="J55" s="189">
        <f t="shared" si="2"/>
        <v>183.03</v>
      </c>
    </row>
    <row r="56" spans="1:10" s="14" customFormat="1" ht="38.25" customHeight="1" outlineLevel="1" x14ac:dyDescent="0.2">
      <c r="A56" s="234">
        <v>28</v>
      </c>
      <c r="B56" s="234" t="s">
        <v>177</v>
      </c>
      <c r="C56" s="150" t="s">
        <v>178</v>
      </c>
      <c r="D56" s="234" t="s">
        <v>165</v>
      </c>
      <c r="E56" s="235">
        <v>0.52</v>
      </c>
      <c r="F56" s="236">
        <v>30.4</v>
      </c>
      <c r="G56" s="237">
        <f t="shared" si="1"/>
        <v>15.81</v>
      </c>
      <c r="H56" s="238">
        <f t="shared" si="0"/>
        <v>1.0012995994801602E-3</v>
      </c>
      <c r="I56" s="189">
        <f>ROUND(F56*Прил.10!$D$13,2)</f>
        <v>244.42</v>
      </c>
      <c r="J56" s="189">
        <f t="shared" si="2"/>
        <v>127.1</v>
      </c>
    </row>
    <row r="57" spans="1:10" s="14" customFormat="1" ht="14.25" customHeight="1" outlineLevel="1" x14ac:dyDescent="0.2">
      <c r="A57" s="234">
        <v>29</v>
      </c>
      <c r="B57" s="234" t="s">
        <v>179</v>
      </c>
      <c r="C57" s="150" t="s">
        <v>180</v>
      </c>
      <c r="D57" s="234" t="s">
        <v>143</v>
      </c>
      <c r="E57" s="235">
        <v>0.182</v>
      </c>
      <c r="F57" s="236">
        <v>86</v>
      </c>
      <c r="G57" s="237">
        <f t="shared" si="1"/>
        <v>15.65</v>
      </c>
      <c r="H57" s="238">
        <f t="shared" si="0"/>
        <v>9.9116627020015861E-4</v>
      </c>
      <c r="I57" s="189">
        <f>ROUND(F57*Прил.10!$D$13,2)</f>
        <v>691.44</v>
      </c>
      <c r="J57" s="189">
        <f t="shared" si="2"/>
        <v>125.84</v>
      </c>
    </row>
    <row r="58" spans="1:10" s="14" customFormat="1" ht="14.25" customHeight="1" outlineLevel="1" x14ac:dyDescent="0.2">
      <c r="A58" s="234">
        <v>30</v>
      </c>
      <c r="B58" s="234" t="s">
        <v>181</v>
      </c>
      <c r="C58" s="150" t="s">
        <v>182</v>
      </c>
      <c r="D58" s="234" t="s">
        <v>165</v>
      </c>
      <c r="E58" s="235">
        <v>0.26</v>
      </c>
      <c r="F58" s="236">
        <v>44.97</v>
      </c>
      <c r="G58" s="237">
        <f t="shared" si="1"/>
        <v>11.69</v>
      </c>
      <c r="H58" s="238">
        <f t="shared" si="0"/>
        <v>7.4036637052011839E-4</v>
      </c>
      <c r="I58" s="189">
        <f>ROUND(F58*Прил.10!$D$13,2)</f>
        <v>361.56</v>
      </c>
      <c r="J58" s="189">
        <f t="shared" si="2"/>
        <v>94.01</v>
      </c>
    </row>
    <row r="59" spans="1:10" s="14" customFormat="1" ht="14.25" customHeight="1" outlineLevel="1" x14ac:dyDescent="0.2">
      <c r="A59" s="234">
        <v>31</v>
      </c>
      <c r="B59" s="234" t="s">
        <v>183</v>
      </c>
      <c r="C59" s="150" t="s">
        <v>184</v>
      </c>
      <c r="D59" s="234" t="s">
        <v>165</v>
      </c>
      <c r="E59" s="235">
        <v>0.39</v>
      </c>
      <c r="F59" s="236">
        <v>28.6</v>
      </c>
      <c r="G59" s="237">
        <f t="shared" si="1"/>
        <v>11.15</v>
      </c>
      <c r="H59" s="238">
        <f t="shared" si="0"/>
        <v>7.0616638420011296E-4</v>
      </c>
      <c r="I59" s="189">
        <f>ROUND(F59*Прил.10!$D$13,2)</f>
        <v>229.94</v>
      </c>
      <c r="J59" s="189">
        <f t="shared" si="2"/>
        <v>89.68</v>
      </c>
    </row>
    <row r="60" spans="1:10" s="14" customFormat="1" ht="14.25" customHeight="1" outlineLevel="1" x14ac:dyDescent="0.2">
      <c r="A60" s="234">
        <v>32</v>
      </c>
      <c r="B60" s="234" t="s">
        <v>185</v>
      </c>
      <c r="C60" s="150" t="s">
        <v>186</v>
      </c>
      <c r="D60" s="234" t="s">
        <v>165</v>
      </c>
      <c r="E60" s="235">
        <v>0.2034</v>
      </c>
      <c r="F60" s="236">
        <v>47.57</v>
      </c>
      <c r="G60" s="237">
        <f t="shared" si="1"/>
        <v>9.68</v>
      </c>
      <c r="H60" s="238">
        <f t="shared" si="0"/>
        <v>6.1306642144009799E-4</v>
      </c>
      <c r="I60" s="189">
        <f>ROUND(F60*Прил.10!$D$13,2)</f>
        <v>382.46</v>
      </c>
      <c r="J60" s="189">
        <f t="shared" si="2"/>
        <v>77.790000000000006</v>
      </c>
    </row>
    <row r="61" spans="1:10" s="14" customFormat="1" ht="25.5" customHeight="1" outlineLevel="1" x14ac:dyDescent="0.2">
      <c r="A61" s="234">
        <v>33</v>
      </c>
      <c r="B61" s="234" t="s">
        <v>187</v>
      </c>
      <c r="C61" s="150" t="s">
        <v>188</v>
      </c>
      <c r="D61" s="234" t="s">
        <v>165</v>
      </c>
      <c r="E61" s="235">
        <v>0.91</v>
      </c>
      <c r="F61" s="236">
        <v>10.57</v>
      </c>
      <c r="G61" s="237">
        <f t="shared" si="1"/>
        <v>9.6199999999999992</v>
      </c>
      <c r="H61" s="238">
        <f t="shared" si="0"/>
        <v>6.0926642296009741E-4</v>
      </c>
      <c r="I61" s="189">
        <f>ROUND(F61*Прил.10!$D$13,2)</f>
        <v>84.98</v>
      </c>
      <c r="J61" s="189">
        <f t="shared" si="2"/>
        <v>77.33</v>
      </c>
    </row>
    <row r="62" spans="1:10" s="14" customFormat="1" ht="14.25" customHeight="1" outlineLevel="1" x14ac:dyDescent="0.2">
      <c r="A62" s="234">
        <v>34</v>
      </c>
      <c r="B62" s="234" t="s">
        <v>189</v>
      </c>
      <c r="C62" s="150" t="s">
        <v>190</v>
      </c>
      <c r="D62" s="234" t="s">
        <v>165</v>
      </c>
      <c r="E62" s="235">
        <v>0.26</v>
      </c>
      <c r="F62" s="236">
        <v>35.630000000000003</v>
      </c>
      <c r="G62" s="237">
        <f t="shared" si="1"/>
        <v>9.26</v>
      </c>
      <c r="H62" s="238">
        <f t="shared" si="0"/>
        <v>5.8646643208009382E-4</v>
      </c>
      <c r="I62" s="189">
        <f>ROUND(F62*Прил.10!$D$13,2)</f>
        <v>286.47000000000003</v>
      </c>
      <c r="J62" s="189">
        <f t="shared" si="2"/>
        <v>74.48</v>
      </c>
    </row>
    <row r="63" spans="1:10" s="14" customFormat="1" ht="25.5" customHeight="1" outlineLevel="1" x14ac:dyDescent="0.2">
      <c r="A63" s="234">
        <v>35</v>
      </c>
      <c r="B63" s="234" t="s">
        <v>191</v>
      </c>
      <c r="C63" s="150" t="s">
        <v>192</v>
      </c>
      <c r="D63" s="234" t="s">
        <v>155</v>
      </c>
      <c r="E63" s="235">
        <v>3.39E-4</v>
      </c>
      <c r="F63" s="236">
        <v>22419</v>
      </c>
      <c r="G63" s="237">
        <f t="shared" si="1"/>
        <v>7.6</v>
      </c>
      <c r="H63" s="238">
        <f t="shared" si="0"/>
        <v>4.8133314080007697E-4</v>
      </c>
      <c r="I63" s="189">
        <f>ROUND(F63*Прил.10!$D$13,2)</f>
        <v>180248.76</v>
      </c>
      <c r="J63" s="189">
        <f t="shared" si="2"/>
        <v>61.1</v>
      </c>
    </row>
    <row r="64" spans="1:10" s="14" customFormat="1" ht="14.25" customHeight="1" outlineLevel="1" x14ac:dyDescent="0.2">
      <c r="A64" s="234">
        <v>36</v>
      </c>
      <c r="B64" s="234" t="s">
        <v>193</v>
      </c>
      <c r="C64" s="150" t="s">
        <v>194</v>
      </c>
      <c r="D64" s="234" t="s">
        <v>165</v>
      </c>
      <c r="E64" s="235">
        <v>0.63700000000000001</v>
      </c>
      <c r="F64" s="236">
        <v>9.0399999999999991</v>
      </c>
      <c r="G64" s="237">
        <f t="shared" si="1"/>
        <v>5.76</v>
      </c>
      <c r="H64" s="238">
        <f t="shared" si="0"/>
        <v>3.6479985408005832E-4</v>
      </c>
      <c r="I64" s="189">
        <f>ROUND(F64*Прил.10!$D$13,2)</f>
        <v>72.680000000000007</v>
      </c>
      <c r="J64" s="189">
        <f t="shared" si="2"/>
        <v>46.3</v>
      </c>
    </row>
    <row r="65" spans="1:10" s="14" customFormat="1" ht="14.25" customHeight="1" outlineLevel="1" x14ac:dyDescent="0.2">
      <c r="A65" s="234">
        <v>37</v>
      </c>
      <c r="B65" s="234" t="s">
        <v>195</v>
      </c>
      <c r="C65" s="150" t="s">
        <v>196</v>
      </c>
      <c r="D65" s="234" t="s">
        <v>165</v>
      </c>
      <c r="E65" s="235">
        <v>2.5999999999999999E-2</v>
      </c>
      <c r="F65" s="236">
        <v>133.05000000000001</v>
      </c>
      <c r="G65" s="237">
        <f t="shared" si="1"/>
        <v>3.46</v>
      </c>
      <c r="H65" s="238">
        <f t="shared" si="0"/>
        <v>2.1913324568003504E-4</v>
      </c>
      <c r="I65" s="189">
        <f>ROUND(F65*Прил.10!$D$13,2)</f>
        <v>1069.72</v>
      </c>
      <c r="J65" s="189">
        <f t="shared" si="2"/>
        <v>27.81</v>
      </c>
    </row>
    <row r="66" spans="1:10" s="14" customFormat="1" ht="25.5" customHeight="1" outlineLevel="1" x14ac:dyDescent="0.2">
      <c r="A66" s="234">
        <v>38</v>
      </c>
      <c r="B66" s="234" t="s">
        <v>197</v>
      </c>
      <c r="C66" s="150" t="s">
        <v>198</v>
      </c>
      <c r="D66" s="234" t="s">
        <v>155</v>
      </c>
      <c r="E66" s="235">
        <v>2.0000000000000002E-5</v>
      </c>
      <c r="F66" s="236">
        <v>65750</v>
      </c>
      <c r="G66" s="237">
        <f t="shared" si="1"/>
        <v>1.32</v>
      </c>
      <c r="H66" s="238">
        <f t="shared" si="0"/>
        <v>8.3599966560013366E-5</v>
      </c>
      <c r="I66" s="189">
        <f>ROUND(F66*Прил.10!$D$13,2)</f>
        <v>528630</v>
      </c>
      <c r="J66" s="189">
        <f t="shared" si="2"/>
        <v>10.57</v>
      </c>
    </row>
    <row r="67" spans="1:10" s="14" customFormat="1" ht="14.25" customHeight="1" outlineLevel="1" x14ac:dyDescent="0.2">
      <c r="A67" s="234">
        <v>39</v>
      </c>
      <c r="B67" s="234" t="s">
        <v>199</v>
      </c>
      <c r="C67" s="150" t="s">
        <v>200</v>
      </c>
      <c r="D67" s="234" t="s">
        <v>165</v>
      </c>
      <c r="E67" s="235">
        <v>4.0000000000000001E-3</v>
      </c>
      <c r="F67" s="236">
        <v>155</v>
      </c>
      <c r="G67" s="237">
        <f t="shared" si="1"/>
        <v>0.62</v>
      </c>
      <c r="H67" s="238">
        <f t="shared" si="0"/>
        <v>3.9266650960006276E-5</v>
      </c>
      <c r="I67" s="189">
        <f>ROUND(F67*Прил.10!$D$13,2)</f>
        <v>1246.2</v>
      </c>
      <c r="J67" s="189">
        <f t="shared" si="2"/>
        <v>4.9800000000000004</v>
      </c>
    </row>
    <row r="68" spans="1:10" s="14" customFormat="1" ht="14.25" customHeight="1" outlineLevel="1" x14ac:dyDescent="0.2">
      <c r="A68" s="234">
        <v>40</v>
      </c>
      <c r="B68" s="234" t="s">
        <v>201</v>
      </c>
      <c r="C68" s="150" t="s">
        <v>202</v>
      </c>
      <c r="D68" s="234" t="s">
        <v>165</v>
      </c>
      <c r="E68" s="235">
        <v>5.1999999999999998E-2</v>
      </c>
      <c r="F68" s="236">
        <v>11.5</v>
      </c>
      <c r="G68" s="237">
        <f t="shared" si="1"/>
        <v>0.6</v>
      </c>
      <c r="H68" s="238">
        <f t="shared" si="0"/>
        <v>3.7999984800006076E-5</v>
      </c>
      <c r="I68" s="189">
        <f>ROUND(F68*Прил.10!$D$13,2)</f>
        <v>92.46</v>
      </c>
      <c r="J68" s="189">
        <f t="shared" si="2"/>
        <v>4.8099999999999996</v>
      </c>
    </row>
    <row r="69" spans="1:10" s="14" customFormat="1" ht="14.25" customHeight="1" x14ac:dyDescent="0.2">
      <c r="A69" s="2"/>
      <c r="B69" s="2"/>
      <c r="C69" s="9" t="s">
        <v>269</v>
      </c>
      <c r="D69" s="2"/>
      <c r="E69" s="265"/>
      <c r="F69" s="266"/>
      <c r="G69" s="28">
        <f>SUM(G43:G68)</f>
        <v>2054.2500000000005</v>
      </c>
      <c r="H69" s="238">
        <f t="shared" si="0"/>
        <v>0.13010244795902084</v>
      </c>
      <c r="I69" s="28"/>
      <c r="J69" s="28">
        <f>SUM(J43:J68)</f>
        <v>16516.25</v>
      </c>
    </row>
    <row r="70" spans="1:10" s="14" customFormat="1" ht="14.25" customHeight="1" x14ac:dyDescent="0.2">
      <c r="A70" s="2"/>
      <c r="B70" s="2"/>
      <c r="C70" s="264" t="s">
        <v>270</v>
      </c>
      <c r="D70" s="2"/>
      <c r="E70" s="265"/>
      <c r="F70" s="266"/>
      <c r="G70" s="28">
        <f>G42+G69</f>
        <v>15789.480000000001</v>
      </c>
      <c r="H70" s="267">
        <f t="shared" si="0"/>
        <v>1</v>
      </c>
      <c r="I70" s="28"/>
      <c r="J70" s="28">
        <f>J42+J69</f>
        <v>126947.55</v>
      </c>
    </row>
    <row r="71" spans="1:10" s="14" customFormat="1" ht="14.25" customHeight="1" x14ac:dyDescent="0.2">
      <c r="A71" s="2"/>
      <c r="B71" s="2"/>
      <c r="C71" s="9" t="s">
        <v>271</v>
      </c>
      <c r="D71" s="2"/>
      <c r="E71" s="265"/>
      <c r="F71" s="266"/>
      <c r="G71" s="28">
        <f>G15+G24+G70</f>
        <v>19492.63</v>
      </c>
      <c r="H71" s="267"/>
      <c r="I71" s="28"/>
      <c r="J71" s="28">
        <f>J15+J24+J70</f>
        <v>235855.39</v>
      </c>
    </row>
    <row r="72" spans="1:10" s="14" customFormat="1" ht="14.25" customHeight="1" x14ac:dyDescent="0.2">
      <c r="A72" s="2"/>
      <c r="B72" s="2"/>
      <c r="C72" s="9" t="s">
        <v>272</v>
      </c>
      <c r="D72" s="246">
        <v>0.91</v>
      </c>
      <c r="E72" s="265"/>
      <c r="F72" s="266"/>
      <c r="G72" s="28">
        <v>8190.96</v>
      </c>
      <c r="H72" s="267"/>
      <c r="I72" s="28"/>
      <c r="J72" s="189">
        <f>ROUND(D72*(J15+J17),2)</f>
        <v>93384.97</v>
      </c>
    </row>
    <row r="73" spans="1:10" s="14" customFormat="1" ht="14.25" customHeight="1" x14ac:dyDescent="0.2">
      <c r="A73" s="2"/>
      <c r="B73" s="2"/>
      <c r="C73" s="9" t="s">
        <v>273</v>
      </c>
      <c r="D73" s="246">
        <v>0.47</v>
      </c>
      <c r="E73" s="265"/>
      <c r="F73" s="266"/>
      <c r="G73" s="28">
        <v>4239.21</v>
      </c>
      <c r="H73" s="267"/>
      <c r="I73" s="28"/>
      <c r="J73" s="189">
        <f>ROUND(D73*(J15+J17),2)</f>
        <v>48231.8</v>
      </c>
    </row>
    <row r="74" spans="1:10" s="14" customFormat="1" ht="14.25" customHeight="1" x14ac:dyDescent="0.2">
      <c r="A74" s="2"/>
      <c r="B74" s="2"/>
      <c r="C74" s="9" t="s">
        <v>274</v>
      </c>
      <c r="D74" s="2"/>
      <c r="E74" s="265"/>
      <c r="F74" s="266"/>
      <c r="G74" s="28">
        <f>G15+G24+G70+G72+G73</f>
        <v>31922.799999999999</v>
      </c>
      <c r="H74" s="267"/>
      <c r="I74" s="28"/>
      <c r="J74" s="28">
        <f>J15+J24+J70+J72+J73</f>
        <v>377472.16</v>
      </c>
    </row>
    <row r="75" spans="1:10" s="14" customFormat="1" ht="14.25" customHeight="1" x14ac:dyDescent="0.2">
      <c r="A75" s="2"/>
      <c r="B75" s="2"/>
      <c r="C75" s="9" t="s">
        <v>275</v>
      </c>
      <c r="D75" s="2"/>
      <c r="E75" s="265"/>
      <c r="F75" s="266"/>
      <c r="G75" s="28">
        <f>G74+G34</f>
        <v>106697.07</v>
      </c>
      <c r="H75" s="267"/>
      <c r="I75" s="28"/>
      <c r="J75" s="28">
        <f>J74+J34</f>
        <v>845559.1399999999</v>
      </c>
    </row>
    <row r="76" spans="1:10" s="14" customFormat="1" ht="34.5" customHeight="1" x14ac:dyDescent="0.2">
      <c r="A76" s="2"/>
      <c r="B76" s="2"/>
      <c r="C76" s="9" t="s">
        <v>239</v>
      </c>
      <c r="D76" s="2" t="s">
        <v>276</v>
      </c>
      <c r="E76" s="293">
        <v>1</v>
      </c>
      <c r="F76" s="266"/>
      <c r="G76" s="28">
        <f>G75/E76</f>
        <v>106697.07</v>
      </c>
      <c r="H76" s="267"/>
      <c r="I76" s="28"/>
      <c r="J76" s="28">
        <f>J75/E76</f>
        <v>845559.1399999999</v>
      </c>
    </row>
    <row r="78" spans="1:10" s="14" customFormat="1" ht="14.25" customHeight="1" x14ac:dyDescent="0.2">
      <c r="A78" s="4" t="s">
        <v>277</v>
      </c>
    </row>
    <row r="79" spans="1:10" s="14" customFormat="1" ht="14.25" customHeight="1" x14ac:dyDescent="0.2">
      <c r="A79" s="208" t="s">
        <v>76</v>
      </c>
    </row>
    <row r="80" spans="1:10" s="14" customFormat="1" ht="14.25" customHeight="1" x14ac:dyDescent="0.2">
      <c r="A80" s="4"/>
    </row>
    <row r="81" spans="1:1" s="14" customFormat="1" ht="14.25" customHeight="1" x14ac:dyDescent="0.2">
      <c r="A81" s="4" t="s">
        <v>278</v>
      </c>
    </row>
    <row r="82" spans="1:1" s="14" customFormat="1" ht="14.25" customHeight="1" x14ac:dyDescent="0.2">
      <c r="A82" s="208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7:H37"/>
    <mergeCell ref="B12:H12"/>
    <mergeCell ref="B16:H16"/>
    <mergeCell ref="B18:H18"/>
    <mergeCell ref="B19:H19"/>
    <mergeCell ref="B26:H26"/>
    <mergeCell ref="B25:H25"/>
    <mergeCell ref="B36:H3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4"/>
  <sheetViews>
    <sheetView view="pageBreakPreview" topLeftCell="A10" workbookViewId="0">
      <selection activeCell="A20" sqref="A2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7" t="s">
        <v>279</v>
      </c>
      <c r="B1" s="357"/>
      <c r="C1" s="357"/>
      <c r="D1" s="357"/>
      <c r="E1" s="357"/>
      <c r="F1" s="357"/>
      <c r="G1" s="357"/>
    </row>
    <row r="2" spans="1:7" ht="21.75" customHeight="1" x14ac:dyDescent="0.25">
      <c r="A2" s="268"/>
      <c r="B2" s="268"/>
      <c r="C2" s="268"/>
      <c r="D2" s="268"/>
      <c r="E2" s="268"/>
      <c r="F2" s="268"/>
      <c r="G2" s="268"/>
    </row>
    <row r="3" spans="1:7" x14ac:dyDescent="0.25">
      <c r="A3" s="315" t="s">
        <v>280</v>
      </c>
      <c r="B3" s="315"/>
      <c r="C3" s="315"/>
      <c r="D3" s="315"/>
      <c r="E3" s="315"/>
      <c r="F3" s="315"/>
      <c r="G3" s="315"/>
    </row>
    <row r="4" spans="1:7" ht="25.5" customHeight="1" x14ac:dyDescent="0.25">
      <c r="A4" s="318" t="s">
        <v>47</v>
      </c>
      <c r="B4" s="318"/>
      <c r="C4" s="318"/>
      <c r="D4" s="318"/>
      <c r="E4" s="318"/>
      <c r="F4" s="318"/>
      <c r="G4" s="318"/>
    </row>
    <row r="5" spans="1:7" x14ac:dyDescent="0.25">
      <c r="A5" s="209"/>
      <c r="B5" s="209"/>
      <c r="C5" s="209"/>
      <c r="D5" s="209"/>
      <c r="E5" s="209"/>
      <c r="F5" s="209"/>
      <c r="G5" s="209"/>
    </row>
    <row r="6" spans="1:7" ht="30" customHeight="1" x14ac:dyDescent="0.25">
      <c r="A6" s="362" t="s">
        <v>13</v>
      </c>
      <c r="B6" s="362" t="s">
        <v>100</v>
      </c>
      <c r="C6" s="362" t="s">
        <v>205</v>
      </c>
      <c r="D6" s="362" t="s">
        <v>102</v>
      </c>
      <c r="E6" s="338" t="s">
        <v>248</v>
      </c>
      <c r="F6" s="362" t="s">
        <v>104</v>
      </c>
      <c r="G6" s="362"/>
    </row>
    <row r="7" spans="1:7" x14ac:dyDescent="0.25">
      <c r="A7" s="362"/>
      <c r="B7" s="362"/>
      <c r="C7" s="362"/>
      <c r="D7" s="362"/>
      <c r="E7" s="355"/>
      <c r="F7" s="210" t="s">
        <v>251</v>
      </c>
      <c r="G7" s="210" t="s">
        <v>106</v>
      </c>
    </row>
    <row r="8" spans="1:7" x14ac:dyDescent="0.25">
      <c r="A8" s="210">
        <v>1</v>
      </c>
      <c r="B8" s="210">
        <v>2</v>
      </c>
      <c r="C8" s="210">
        <v>3</v>
      </c>
      <c r="D8" s="210">
        <v>4</v>
      </c>
      <c r="E8" s="210">
        <v>5</v>
      </c>
      <c r="F8" s="210">
        <v>6</v>
      </c>
      <c r="G8" s="210">
        <v>7</v>
      </c>
    </row>
    <row r="9" spans="1:7" ht="15" customHeight="1" x14ac:dyDescent="0.25">
      <c r="A9" s="211"/>
      <c r="B9" s="358" t="s">
        <v>281</v>
      </c>
      <c r="C9" s="359"/>
      <c r="D9" s="359"/>
      <c r="E9" s="359"/>
      <c r="F9" s="359"/>
      <c r="G9" s="360"/>
    </row>
    <row r="10" spans="1:7" ht="27" customHeight="1" x14ac:dyDescent="0.25">
      <c r="A10" s="210"/>
      <c r="B10" s="212"/>
      <c r="C10" s="135" t="s">
        <v>282</v>
      </c>
      <c r="D10" s="212"/>
      <c r="E10" s="213"/>
      <c r="F10" s="270"/>
      <c r="G10" s="214">
        <v>0</v>
      </c>
    </row>
    <row r="11" spans="1:7" x14ac:dyDescent="0.25">
      <c r="A11" s="210"/>
      <c r="B11" s="343" t="s">
        <v>283</v>
      </c>
      <c r="C11" s="343"/>
      <c r="D11" s="343"/>
      <c r="E11" s="361"/>
      <c r="F11" s="346"/>
      <c r="G11" s="346"/>
    </row>
    <row r="12" spans="1:7" s="168" customFormat="1" ht="25.5" customHeight="1" x14ac:dyDescent="0.25">
      <c r="A12" s="210">
        <v>1</v>
      </c>
      <c r="B12" s="135" t="str">
        <f>'Прил.5 Расчет СМР и ОБ'!B27</f>
        <v>Прайс из СД ОП</v>
      </c>
      <c r="C12" s="215" t="str">
        <f>'Прил.5 Расчет СМР и ОБ'!C27</f>
        <v>Микрофонная панель RM-200M S, ООО «Юнител Инжиниринг»</v>
      </c>
      <c r="D12" s="216" t="str">
        <f>'Прил.5 Расчет СМР и ОБ'!D27</f>
        <v>шт.</v>
      </c>
      <c r="E12" s="217">
        <f>'Прил.5 Расчет СМР и ОБ'!E27</f>
        <v>2</v>
      </c>
      <c r="F12" s="217">
        <f>'Прил.5 Расчет СМР и ОБ'!F27</f>
        <v>15956.83</v>
      </c>
      <c r="G12" s="214">
        <f>ROUND(E12*F12,2)</f>
        <v>31913.66</v>
      </c>
    </row>
    <row r="13" spans="1:7" s="168" customFormat="1" ht="25.5" customHeight="1" x14ac:dyDescent="0.25">
      <c r="A13" s="210">
        <v>2</v>
      </c>
      <c r="B13" s="135" t="str">
        <f>'Прил.5 Расчет СМР и ОБ'!B28</f>
        <v>61.2.04.06-0012</v>
      </c>
      <c r="C13" s="215" t="str">
        <f>'Прил.5 Расчет СМР и ОБ'!C28</f>
        <v>Прибор речевого оповещения "Рупор", два канала по 10 Вт</v>
      </c>
      <c r="D13" s="216" t="str">
        <f>'Прил.5 Расчет СМР и ОБ'!D28</f>
        <v>шт.</v>
      </c>
      <c r="E13" s="217">
        <f>'Прил.5 Расчет СМР и ОБ'!E28</f>
        <v>13</v>
      </c>
      <c r="F13" s="217">
        <f>'Прил.5 Расчет СМР и ОБ'!F28</f>
        <v>1444.49</v>
      </c>
      <c r="G13" s="214">
        <f>ROUND(E13*F13,2)</f>
        <v>18778.37</v>
      </c>
    </row>
    <row r="14" spans="1:7" s="168" customFormat="1" ht="25.5" customHeight="1" x14ac:dyDescent="0.25">
      <c r="A14" s="210">
        <v>3</v>
      </c>
      <c r="B14" s="135" t="str">
        <f>'Прил.5 Расчет СМР и ОБ'!B29</f>
        <v>61.3.02.04-0005</v>
      </c>
      <c r="C14" s="215" t="str">
        <f>'Прил.5 Расчет СМР и ОБ'!C29</f>
        <v>Громкоговоритель: CS-820 двухполосный уличный алюминиевый</v>
      </c>
      <c r="D14" s="216" t="str">
        <f>'Прил.5 Расчет СМР и ОБ'!D29</f>
        <v>шт.</v>
      </c>
      <c r="E14" s="217">
        <f>'Прил.5 Расчет СМР и ОБ'!E29</f>
        <v>13</v>
      </c>
      <c r="F14" s="217">
        <f>'Прил.5 Расчет СМР и ОБ'!F29</f>
        <v>1121.5</v>
      </c>
      <c r="G14" s="214">
        <f>ROUND(E14*F14,2)</f>
        <v>14579.5</v>
      </c>
    </row>
    <row r="15" spans="1:7" s="168" customFormat="1" ht="25.5" customHeight="1" x14ac:dyDescent="0.25">
      <c r="A15" s="210">
        <v>4</v>
      </c>
      <c r="B15" s="135" t="str">
        <f>'Прил.5 Расчет СМР и ОБ'!B31</f>
        <v>61.3.02.04-0005</v>
      </c>
      <c r="C15" s="215" t="str">
        <f>'Прил.5 Расчет СМР и ОБ'!C31</f>
        <v>Громкоговоритель: CS-820 двухполосный уличный алюминиевый</v>
      </c>
      <c r="D15" s="216" t="str">
        <f>'Прил.5 Расчет СМР и ОБ'!D31</f>
        <v>шт.</v>
      </c>
      <c r="E15" s="217">
        <f>'Прил.5 Расчет СМР и ОБ'!E31</f>
        <v>6</v>
      </c>
      <c r="F15" s="217">
        <f>'Прил.5 Расчет СМР и ОБ'!F31</f>
        <v>1121.5</v>
      </c>
      <c r="G15" s="214">
        <f>ROUND(E15*F15,2)</f>
        <v>6729</v>
      </c>
    </row>
    <row r="16" spans="1:7" s="168" customFormat="1" ht="15.75" customHeight="1" x14ac:dyDescent="0.25">
      <c r="A16" s="210">
        <v>5</v>
      </c>
      <c r="B16" s="135" t="str">
        <f>'Прил.5 Расчет СМР и ОБ'!B32</f>
        <v>61.1.03.01-0003</v>
      </c>
      <c r="C16" s="215" t="str">
        <f>'Прил.5 Расчет СМР и ОБ'!C32</f>
        <v>Адаптер сотовой связи АССВ-030</v>
      </c>
      <c r="D16" s="216" t="str">
        <f>'Прил.5 Расчет СМР и ОБ'!D32</f>
        <v>шт.</v>
      </c>
      <c r="E16" s="217">
        <f>'Прил.5 Расчет СМР и ОБ'!E32</f>
        <v>2</v>
      </c>
      <c r="F16" s="217">
        <f>'Прил.5 Расчет СМР и ОБ'!F32</f>
        <v>1386.87</v>
      </c>
      <c r="G16" s="214">
        <f>ROUND(E16*F16,2)</f>
        <v>2773.74</v>
      </c>
    </row>
    <row r="17" spans="1:7" ht="25.5" customHeight="1" x14ac:dyDescent="0.25">
      <c r="A17" s="210"/>
      <c r="B17" s="135"/>
      <c r="C17" s="135" t="s">
        <v>284</v>
      </c>
      <c r="D17" s="135"/>
      <c r="E17" s="269"/>
      <c r="F17" s="270"/>
      <c r="G17" s="214">
        <f>SUM(G12:G16)</f>
        <v>74774.27</v>
      </c>
    </row>
    <row r="18" spans="1:7" ht="19.5" customHeight="1" x14ac:dyDescent="0.25">
      <c r="A18" s="210"/>
      <c r="B18" s="135"/>
      <c r="C18" s="135" t="s">
        <v>285</v>
      </c>
      <c r="D18" s="135"/>
      <c r="E18" s="269"/>
      <c r="F18" s="270"/>
      <c r="G18" s="214">
        <f>G10+G17</f>
        <v>74774.27</v>
      </c>
    </row>
    <row r="19" spans="1:7" x14ac:dyDescent="0.25">
      <c r="A19" s="218"/>
      <c r="B19" s="219"/>
      <c r="C19" s="218"/>
      <c r="D19" s="218"/>
      <c r="E19" s="218"/>
      <c r="F19" s="218"/>
      <c r="G19" s="218"/>
    </row>
    <row r="20" spans="1:7" x14ac:dyDescent="0.25">
      <c r="A20" s="4" t="s">
        <v>277</v>
      </c>
      <c r="B20" s="14"/>
      <c r="C20" s="14"/>
      <c r="D20" s="218"/>
      <c r="E20" s="218"/>
      <c r="F20" s="218"/>
      <c r="G20" s="218"/>
    </row>
    <row r="21" spans="1:7" x14ac:dyDescent="0.25">
      <c r="A21" s="208" t="s">
        <v>76</v>
      </c>
      <c r="B21" s="14"/>
      <c r="C21" s="14"/>
      <c r="D21" s="218"/>
      <c r="E21" s="218"/>
      <c r="F21" s="218"/>
      <c r="G21" s="218"/>
    </row>
    <row r="22" spans="1:7" x14ac:dyDescent="0.25">
      <c r="A22" s="4"/>
      <c r="B22" s="14"/>
      <c r="C22" s="14"/>
      <c r="D22" s="218"/>
      <c r="E22" s="218"/>
      <c r="F22" s="218"/>
      <c r="G22" s="218"/>
    </row>
    <row r="23" spans="1:7" x14ac:dyDescent="0.25">
      <c r="A23" s="4" t="s">
        <v>278</v>
      </c>
      <c r="B23" s="14"/>
      <c r="C23" s="14"/>
      <c r="D23" s="218"/>
      <c r="E23" s="218"/>
      <c r="F23" s="218"/>
      <c r="G23" s="218"/>
    </row>
    <row r="24" spans="1:7" x14ac:dyDescent="0.25">
      <c r="A24" s="208" t="s">
        <v>78</v>
      </c>
      <c r="B24" s="14"/>
      <c r="C24" s="14"/>
      <c r="D24" s="218"/>
      <c r="E24" s="218"/>
      <c r="F24" s="218"/>
      <c r="G24" s="21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2023-11-24T10:49:58Z</cp:lastPrinted>
  <dcterms:created xsi:type="dcterms:W3CDTF">2020-09-30T08:50:27Z</dcterms:created>
  <dcterms:modified xsi:type="dcterms:W3CDTF">2023-11-24T10:50:16Z</dcterms:modified>
  <cp:category/>
</cp:coreProperties>
</file>