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4\Desktop\З1_З2\З1\220 кВ\"/>
    </mc:Choice>
  </mc:AlternateContent>
  <xr:revisionPtr revIDLastSave="0" documentId="13_ncr:1_{80A13A2F-A91A-4C81-BB99-082DB9E3A692}" xr6:coauthVersionLast="40" xr6:coauthVersionMax="40" xr10:uidLastSave="{00000000-0000-0000-0000-000000000000}"/>
  <bookViews>
    <workbookView xWindow="0" yWindow="0" windowWidth="28800" windowHeight="12225" tabRatio="924" firstSheet="3" activeTab="6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4">#REF!</definedName>
    <definedName name="\AUTOEXEC" localSheetId="5">#REF!</definedName>
    <definedName name="\AUTOEXEC" localSheetId="7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4">#REF!</definedName>
    <definedName name="\z" localSheetId="5">#REF!</definedName>
    <definedName name="\z" localSheetId="7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4">#REF!</definedName>
    <definedName name="______a2" localSheetId="5">#REF!</definedName>
    <definedName name="______a2" localSheetId="7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4">#REF!</definedName>
    <definedName name="__a2" localSheetId="7">#REF!</definedName>
    <definedName name="__a2">#REF!</definedName>
    <definedName name="__IntlFixup" localSheetId="9">TRUE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4">#REF!</definedName>
    <definedName name="__qs2" localSheetId="5">#REF!</definedName>
    <definedName name="__qs2" localSheetId="7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4">#REF!</definedName>
    <definedName name="_02121" localSheetId="5">#REF!</definedName>
    <definedName name="_02121" localSheetId="7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4">#REF!</definedName>
    <definedName name="_AUTOEXEC" localSheetId="5">#REF!</definedName>
    <definedName name="_AUTOEXEC" localSheetId="7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4">#REF!</definedName>
    <definedName name="_FilterDatabase" localSheetId="7">#REF!</definedName>
    <definedName name="_FilterDatabase" localSheetId="9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4">#REF!</definedName>
    <definedName name="_Hlt440565644_1" localSheetId="7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4">#REF!</definedName>
    <definedName name="_k" localSheetId="5">#REF!</definedName>
    <definedName name="_k" localSheetId="7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4">#REF!</definedName>
    <definedName name="_qs2" localSheetId="5">#REF!</definedName>
    <definedName name="_qs2" localSheetId="7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4">#REF!</definedName>
    <definedName name="_z" localSheetId="5">#REF!</definedName>
    <definedName name="_z" localSheetId="7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4">#REF!</definedName>
    <definedName name="a" localSheetId="5">#REF!</definedName>
    <definedName name="a" localSheetId="7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4">#REF!</definedName>
    <definedName name="A99999999" localSheetId="7">#REF!</definedName>
    <definedName name="A99999999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4">#REF!</definedName>
    <definedName name="asd" localSheetId="5">#REF!</definedName>
    <definedName name="asd" localSheetId="7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4">#REF!</definedName>
    <definedName name="Categories" localSheetId="5">#REF!</definedName>
    <definedName name="Categories" localSheetId="7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4">#REF!</definedName>
    <definedName name="Criteria" localSheetId="5">#REF!</definedName>
    <definedName name="Criteria" localSheetId="7">#REF!</definedName>
    <definedName name="Criteria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4">#REF!</definedName>
    <definedName name="ddduy" localSheetId="5">#REF!</definedName>
    <definedName name="ddduy" localSheetId="7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4">#REF!</definedName>
    <definedName name="DiscontRate" localSheetId="5">#REF!</definedName>
    <definedName name="DiscontRate" localSheetId="7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4">#REF!</definedName>
    <definedName name="ehc" localSheetId="7">#REF!</definedName>
    <definedName name="ehc" localSheetId="9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4">#REF!</definedName>
    <definedName name="h" localSheetId="7">#REF!</definedName>
    <definedName name="h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4">#REF!</definedName>
    <definedName name="hfcxtn" localSheetId="7">#REF!</definedName>
    <definedName name="hfcxtn" localSheetId="9">#REF!</definedName>
    <definedName name="hfcxtn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4">#REF!</definedName>
    <definedName name="iii" localSheetId="5">#REF!</definedName>
    <definedName name="iii" localSheetId="7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4">#REF!</definedName>
    <definedName name="Itog" localSheetId="5">#REF!</definedName>
    <definedName name="Itog" localSheetId="7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4">#REF!</definedName>
    <definedName name="jkjhggh" localSheetId="5">#REF!</definedName>
    <definedName name="jkjhggh" localSheetId="7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4">#REF!</definedName>
    <definedName name="KPlan" localSheetId="5">#REF!</definedName>
    <definedName name="KPlan" localSheetId="7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4">#REF!</definedName>
    <definedName name="m" localSheetId="5">#REF!</definedName>
    <definedName name="m" localSheetId="7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4">#REF!</definedName>
    <definedName name="Nalog" localSheetId="5">#REF!</definedName>
    <definedName name="Nalog" localSheetId="7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4">#REF!</definedName>
    <definedName name="oppp" localSheetId="5">#REF!</definedName>
    <definedName name="oppp" localSheetId="7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4">#REF!</definedName>
    <definedName name="pp" localSheetId="5">#REF!</definedName>
    <definedName name="pp" localSheetId="7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4">#REF!</definedName>
    <definedName name="Print_Area" localSheetId="5">#REF!</definedName>
    <definedName name="Print_Area" localSheetId="7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4">#REF!</definedName>
    <definedName name="propis" localSheetId="5">#REF!</definedName>
    <definedName name="propis" localSheetId="7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4">#REF!</definedName>
    <definedName name="q" localSheetId="7">#REF!</definedName>
    <definedName name="q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4">#REF!</definedName>
    <definedName name="rf" localSheetId="7">#REF!</definedName>
    <definedName name="rf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4">#REF!</definedName>
    <definedName name="rtyrty" localSheetId="7">#REF!</definedName>
    <definedName name="rtyrty">#REF!</definedName>
    <definedName name="rybuf" localSheetId="4">#REF!</definedName>
    <definedName name="rybuf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4">#REF!</definedName>
    <definedName name="SD_DC" localSheetId="5">#REF!</definedName>
    <definedName name="SD_DC" localSheetId="7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4">#REF!</definedName>
    <definedName name="SDDsfd" localSheetId="5">#REF!</definedName>
    <definedName name="SDDsfd" localSheetId="7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4">#REF!</definedName>
    <definedName name="SM" localSheetId="5">#REF!</definedName>
    <definedName name="SM" localSheetId="7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4">#REF!</definedName>
    <definedName name="SM_STO1" localSheetId="5">#REF!</definedName>
    <definedName name="SM_STO1" localSheetId="7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4">#REF!</definedName>
    <definedName name="Status" localSheetId="5">#REF!</definedName>
    <definedName name="Status" localSheetId="7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4">#REF!</definedName>
    <definedName name="SUM_" localSheetId="5">#REF!</definedName>
    <definedName name="SUM_" localSheetId="7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4">#REF!</definedName>
    <definedName name="USA_1" localSheetId="5">#REF!</definedName>
    <definedName name="USA_1" localSheetId="7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4">#REF!</definedName>
    <definedName name="v" localSheetId="5">#REF!</definedName>
    <definedName name="v" localSheetId="7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4">#REF!</definedName>
    <definedName name="w" localSheetId="5">#REF!</definedName>
    <definedName name="w" localSheetId="7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9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9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9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9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4">#REF!</definedName>
    <definedName name="xh" localSheetId="5">#REF!</definedName>
    <definedName name="xh" localSheetId="7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4">#REF!</definedName>
    <definedName name="А10" localSheetId="5">#REF!</definedName>
    <definedName name="А10" localSheetId="7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4">#REF!</definedName>
    <definedName name="ало" localSheetId="5">#REF!</definedName>
    <definedName name="ало" localSheetId="7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4">#REF!</definedName>
    <definedName name="аморт">#REF!</definedName>
    <definedName name="Амортизация" localSheetId="4">#REF!</definedName>
    <definedName name="Амортизация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4">#REF!</definedName>
    <definedName name="анол" localSheetId="5">#REF!</definedName>
    <definedName name="анол" localSheetId="7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4">#REF!</definedName>
    <definedName name="аода" localSheetId="5">#REF!</definedName>
    <definedName name="аода" localSheetId="7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4">#REF!</definedName>
    <definedName name="аопы" localSheetId="5">#REF!</definedName>
    <definedName name="аопы" localSheetId="7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4">#REF!</definedName>
    <definedName name="апыо" localSheetId="5">#REF!</definedName>
    <definedName name="апыо" localSheetId="7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4">#REF!</definedName>
    <definedName name="аро" localSheetId="5">#REF!</definedName>
    <definedName name="аро" localSheetId="7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4">#REF!</definedName>
    <definedName name="аыв" localSheetId="5">#REF!</definedName>
    <definedName name="аыв" localSheetId="7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4">#REF!</definedName>
    <definedName name="б" localSheetId="5">#REF!</definedName>
    <definedName name="б" localSheetId="7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4">#REF!</definedName>
    <definedName name="Больш" localSheetId="5">#REF!</definedName>
    <definedName name="Больш" localSheetId="7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4">#REF!</definedName>
    <definedName name="вава" localSheetId="5">#REF!</definedName>
    <definedName name="вава" localSheetId="7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4">#REF!</definedName>
    <definedName name="ВАЛ_" localSheetId="5">#REF!</definedName>
    <definedName name="ВАЛ_" localSheetId="7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4">#REF!</definedName>
    <definedName name="вао" localSheetId="5">#REF!</definedName>
    <definedName name="вао" localSheetId="7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4">#REF!</definedName>
    <definedName name="варо" localSheetId="5">#REF!</definedName>
    <definedName name="варо" localSheetId="7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4">#REF!</definedName>
    <definedName name="ввв" localSheetId="5">#REF!</definedName>
    <definedName name="ввв" localSheetId="7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4">#REF!</definedName>
    <definedName name="вген" localSheetId="5">#REF!</definedName>
    <definedName name="вген" localSheetId="7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4">#REF!</definedName>
    <definedName name="веше" localSheetId="5">#REF!</definedName>
    <definedName name="веше" localSheetId="7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4">#REF!</definedName>
    <definedName name="Вп" localSheetId="5">#REF!</definedName>
    <definedName name="Вп" localSheetId="7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4">#REF!</definedName>
    <definedName name="впор" localSheetId="5">#REF!</definedName>
    <definedName name="впор" localSheetId="7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9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4">#REF!</definedName>
    <definedName name="ГАП" localSheetId="5">#REF!</definedName>
    <definedName name="ГАП" localSheetId="7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4">#REF!</definedName>
    <definedName name="гелог" localSheetId="5">#REF!</definedName>
    <definedName name="гелог" localSheetId="7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4">#REF!</definedName>
    <definedName name="геол1" localSheetId="5">#REF!</definedName>
    <definedName name="геол1" localSheetId="7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4">#REF!</definedName>
    <definedName name="гидро1" localSheetId="5">#REF!</definedName>
    <definedName name="гидро1" localSheetId="7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4">#REF!</definedName>
    <definedName name="гидро5" localSheetId="5">#REF!</definedName>
    <definedName name="гидро5" localSheetId="7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4">#REF!</definedName>
    <definedName name="глрп" localSheetId="5">#REF!</definedName>
    <definedName name="глрп" localSheetId="7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4">#REF!</definedName>
    <definedName name="гор" localSheetId="5">#REF!</definedName>
    <definedName name="гор" localSheetId="7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4">#REF!</definedName>
    <definedName name="гш" localSheetId="5">#REF!</definedName>
    <definedName name="гш" localSheetId="7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4">#REF!</definedName>
    <definedName name="Диск" localSheetId="5">#REF!</definedName>
    <definedName name="Диск" localSheetId="7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4">#REF!</definedName>
    <definedName name="др" localSheetId="7">#REF!</definedName>
    <definedName name="др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4">#REF!</definedName>
    <definedName name="дщшю" localSheetId="5">#REF!</definedName>
    <definedName name="дщшю" localSheetId="7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4">#REF!</definedName>
    <definedName name="ер" localSheetId="7">#REF!</definedName>
    <definedName name="ер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4">#REF!</definedName>
    <definedName name="жжж" localSheetId="5">#REF!</definedName>
    <definedName name="жжж" localSheetId="7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4">#REF!</definedName>
    <definedName name="ЗаданиеГС_КМ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4">#REF!</definedName>
    <definedName name="зждзд" localSheetId="5">#REF!</definedName>
    <definedName name="зждзд" localSheetId="7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4">#REF!</definedName>
    <definedName name="зощр" localSheetId="5">#REF!</definedName>
    <definedName name="зощр" localSheetId="7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4">#REF!</definedName>
    <definedName name="ивпт" localSheetId="7">#REF!</definedName>
    <definedName name="ивпт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4">#REF!</definedName>
    <definedName name="ИИМбал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4">#REF!</definedName>
    <definedName name="имт" localSheetId="5">#REF!</definedName>
    <definedName name="имт" localSheetId="7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4">#REF!</definedName>
    <definedName name="иолд" localSheetId="7">#REF!</definedName>
    <definedName name="иолд">#REF!</definedName>
    <definedName name="ИОСост" localSheetId="4">#REF!</definedName>
    <definedName name="ИОСост">#REF!</definedName>
    <definedName name="ИОСпс" localSheetId="4">#REF!</definedName>
    <definedName name="ИОСпс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4">#REF!</definedName>
    <definedName name="ип" localSheetId="7">#REF!</definedName>
    <definedName name="ип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4">#REF!</definedName>
    <definedName name="ИПусто" localSheetId="7">#REF!</definedName>
    <definedName name="ИПусто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4">#REF!</definedName>
    <definedName name="итьоиьб" localSheetId="7">#REF!</definedName>
    <definedName name="итьоиьб">#REF!</definedName>
    <definedName name="Иуе" localSheetId="4">#REF!</definedName>
    <definedName name="Иуе">#REF!</definedName>
    <definedName name="ИуеРЭО" localSheetId="4">#REF!</definedName>
    <definedName name="ИуеРЭО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4">#REF!</definedName>
    <definedName name="йцу" localSheetId="5">#REF!</definedName>
    <definedName name="йцу" localSheetId="7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4">#REF!</definedName>
    <definedName name="кака" localSheetId="5">#REF!</definedName>
    <definedName name="кака" localSheetId="7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4">#REF!</definedName>
    <definedName name="кгкг" localSheetId="5">#REF!</definedName>
    <definedName name="кгкг" localSheetId="7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4">#REF!</definedName>
    <definedName name="керл" localSheetId="7">#REF!</definedName>
    <definedName name="керл">#REF!</definedName>
    <definedName name="КЗ_Имущество" localSheetId="4">#REF!</definedName>
    <definedName name="КЗ_Имущество">#REF!</definedName>
    <definedName name="КЗ_ИП" localSheetId="4">#REF!</definedName>
    <definedName name="КЗ_ИП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4">#REF!</definedName>
    <definedName name="книга" localSheetId="5">#REF!</definedName>
    <definedName name="книга" localSheetId="7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4">#REF!</definedName>
    <definedName name="ком." localSheetId="5">#REF!</definedName>
    <definedName name="ком." localSheetId="7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4">#REF!</definedName>
    <definedName name="Компания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9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4">#REF!</definedName>
    <definedName name="КОЭФ3" localSheetId="5">#REF!</definedName>
    <definedName name="КОЭФ3" localSheetId="7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4">#REF!</definedName>
    <definedName name="крас" localSheetId="5">#REF!</definedName>
    <definedName name="крас" localSheetId="7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4">#REF!</definedName>
    <definedName name="куку" localSheetId="5">#REF!</definedName>
    <definedName name="куку" localSheetId="7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4">#REF!</definedName>
    <definedName name="ленин" localSheetId="5">#REF!</definedName>
    <definedName name="ленин" localSheetId="7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4">#REF!</definedName>
    <definedName name="М" localSheetId="5">#REF!</definedName>
    <definedName name="М" localSheetId="7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4">#REF!</definedName>
    <definedName name="МАРЖА" localSheetId="5">#REF!</definedName>
    <definedName name="МАРЖА" localSheetId="7">#REF!</definedName>
    <definedName name="МАРЖА">#REF!</definedName>
    <definedName name="матер" localSheetId="4">#REF!</definedName>
    <definedName name="матер">#REF!</definedName>
    <definedName name="матер." localSheetId="4">#REF!</definedName>
    <definedName name="матер.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4">#REF!</definedName>
    <definedName name="МИ_Т" localSheetId="5">#REF!</definedName>
    <definedName name="МИ_Т" localSheetId="7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4">#REF!</definedName>
    <definedName name="мин" localSheetId="5">#REF!</definedName>
    <definedName name="мин" localSheetId="7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4">#REF!</definedName>
    <definedName name="мм" localSheetId="5">#REF!</definedName>
    <definedName name="мм" localSheetId="7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4">#REF!</definedName>
    <definedName name="над" localSheetId="5">#REF!</definedName>
    <definedName name="над" localSheetId="7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4">#REF!</definedName>
    <definedName name="нвле" localSheetId="5">#REF!</definedName>
    <definedName name="нвле" localSheetId="7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4">#REF!</definedName>
    <definedName name="НДС" localSheetId="7">#REF!</definedName>
    <definedName name="НДС">#REF!</definedName>
    <definedName name="НДСИмущество" localSheetId="4">#REF!</definedName>
    <definedName name="НДСИмущество">#REF!</definedName>
    <definedName name="НДСИП" localSheetId="4">#REF!</definedName>
    <definedName name="НДСИП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4">#REF!</definedName>
    <definedName name="нер" localSheetId="5">#REF!</definedName>
    <definedName name="нер" localSheetId="7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4">#REF!</definedName>
    <definedName name="неуо" localSheetId="5">#REF!</definedName>
    <definedName name="неуо" localSheetId="7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4">#REF!</definedName>
    <definedName name="новый" localSheetId="5">#REF!</definedName>
    <definedName name="новый" localSheetId="7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4">#REF!</definedName>
    <definedName name="о" localSheetId="5">#REF!</definedName>
    <definedName name="о" localSheetId="7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4">#REF!</definedName>
    <definedName name="об" localSheetId="5">#REF!</definedName>
    <definedName name="об" localSheetId="7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Прил.3!$A$1:$H$75</definedName>
    <definedName name="_xlnm.Print_Area" localSheetId="6">'Прил.4 РМ'!$A$1:$E$48</definedName>
    <definedName name="_xlnm.Print_Area" localSheetId="7">'Прил.5 Расчет СМР и ОБ'!$A$1:$J$90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4">#REF!</definedName>
    <definedName name="окн" localSheetId="5">#REF!</definedName>
    <definedName name="окн" localSheetId="7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4">#REF!</definedName>
    <definedName name="оьт" localSheetId="5">#REF!</definedName>
    <definedName name="оьт" localSheetId="7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4">#REF!</definedName>
    <definedName name="паша" localSheetId="5">#REF!</definedName>
    <definedName name="паша" localSheetId="7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4">#REF!</definedName>
    <definedName name="Пи" localSheetId="5">#REF!</definedName>
    <definedName name="Пи" localSheetId="7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4">#REF!</definedName>
    <definedName name="пл" localSheetId="5">#REF!</definedName>
    <definedName name="пл" localSheetId="7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4">#REF!</definedName>
    <definedName name="плыа" localSheetId="5">#REF!</definedName>
    <definedName name="плыа" localSheetId="7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4">#REF!</definedName>
    <definedName name="пов" localSheetId="5">#REF!</definedName>
    <definedName name="пов" localSheetId="7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4">#REF!</definedName>
    <definedName name="пп" localSheetId="5">#REF!</definedName>
    <definedName name="пп" localSheetId="7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4">#REF!</definedName>
    <definedName name="прд" localSheetId="5">#REF!</definedName>
    <definedName name="прд" localSheetId="7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>#REF!</definedName>
    <definedName name="Прибыль_RAB" localSheetId="4">#REF!</definedName>
    <definedName name="Прибыль_RAB">#REF!</definedName>
    <definedName name="Прибыль_Масса" localSheetId="4">#REF!</definedName>
    <definedName name="Прибыль_Масса">#REF!</definedName>
    <definedName name="Прибыль_Метод" localSheetId="4">#REF!</definedName>
    <definedName name="Прибыль_Метод">#REF!</definedName>
    <definedName name="Прибыль_ПроцентОС" localSheetId="4">#REF!</definedName>
    <definedName name="Прибыль_ПроцентОС">#REF!</definedName>
    <definedName name="Прибыль_ПроцентСС" localSheetId="4">#REF!</definedName>
    <definedName name="Прибыль_ПроцентСС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4">#REF!</definedName>
    <definedName name="приоб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4">#REF!</definedName>
    <definedName name="прл" localSheetId="5">#REF!</definedName>
    <definedName name="прл" localSheetId="7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4">#REF!</definedName>
    <definedName name="пропр" localSheetId="5">#REF!</definedName>
    <definedName name="пропр" localSheetId="7">#REF!</definedName>
    <definedName name="пропр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4">#REF!</definedName>
    <definedName name="прпр_1" localSheetId="5">#REF!</definedName>
    <definedName name="прпр_1" localSheetId="7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4">#REF!</definedName>
    <definedName name="прьто" localSheetId="5">#REF!</definedName>
    <definedName name="прьто" localSheetId="7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4">#REF!</definedName>
    <definedName name="пшждю" localSheetId="5">#REF!</definedName>
    <definedName name="пшждю" localSheetId="7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4">#REF!</definedName>
    <definedName name="раоб" localSheetId="5">#REF!</definedName>
    <definedName name="раоб" localSheetId="7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4">#REF!</definedName>
    <definedName name="рлвро" localSheetId="5">#REF!</definedName>
    <definedName name="рлвро" localSheetId="7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4">#REF!</definedName>
    <definedName name="роло" localSheetId="5">#REF!</definedName>
    <definedName name="роло" localSheetId="7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4">#REF!</definedName>
    <definedName name="рпьрь" localSheetId="5">#REF!</definedName>
    <definedName name="рпьрь" localSheetId="7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9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4">#REF!</definedName>
    <definedName name="с1" localSheetId="5">#REF!</definedName>
    <definedName name="с1" localSheetId="7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4">#REF!</definedName>
    <definedName name="сев" localSheetId="5">#REF!</definedName>
    <definedName name="сев" localSheetId="7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4">#REF!</definedName>
    <definedName name="Семь" localSheetId="5">#REF!</definedName>
    <definedName name="Семь" localSheetId="7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4">#REF!</definedName>
    <definedName name="см" localSheetId="5">#REF!</definedName>
    <definedName name="см" localSheetId="7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4">#REF!</definedName>
    <definedName name="См7" localSheetId="5">#REF!</definedName>
    <definedName name="См7" localSheetId="7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4">#REF!</definedName>
    <definedName name="смета" localSheetId="5">#REF!</definedName>
    <definedName name="смета" localSheetId="7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4">#REF!</definedName>
    <definedName name="смета1" localSheetId="5">#REF!</definedName>
    <definedName name="смета1" localSheetId="7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4">#REF!</definedName>
    <definedName name="сп2" localSheetId="5">#REF!</definedName>
    <definedName name="сп2" localSheetId="7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4">#REF!</definedName>
    <definedName name="срл" localSheetId="5">#REF!</definedName>
    <definedName name="срл" localSheetId="7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4">#REF!</definedName>
    <definedName name="СтавкаДКЗ">#REF!</definedName>
    <definedName name="СтавкаЕСН" localSheetId="4">#REF!</definedName>
    <definedName name="СтавкаЕСН">#REF!</definedName>
    <definedName name="СтавкаНДС" localSheetId="4">#REF!</definedName>
    <definedName name="СтавкаНДС">#REF!</definedName>
    <definedName name="СтавкаНП" localSheetId="4">#REF!</definedName>
    <definedName name="СтавкаНП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4">#REF!</definedName>
    <definedName name="т" localSheetId="5">#REF!</definedName>
    <definedName name="т" localSheetId="7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4">#REF!</definedName>
    <definedName name="тьбю" localSheetId="5">#REF!</definedName>
    <definedName name="тьбю" localSheetId="7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4">#REF!</definedName>
    <definedName name="урс123" localSheetId="7">#REF!</definedName>
    <definedName name="урс123" localSheetId="9">#REF!</definedName>
    <definedName name="урс12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4">#REF!</definedName>
    <definedName name="Ф5.1" localSheetId="5">#REF!</definedName>
    <definedName name="Ф5.1" localSheetId="7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4">#REF!</definedName>
    <definedName name="Ф91" localSheetId="5">#REF!</definedName>
    <definedName name="Ф91" localSheetId="7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4">#REF!</definedName>
    <definedName name="фукек" localSheetId="5">#REF!</definedName>
    <definedName name="фукек" localSheetId="7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4">#REF!</definedName>
    <definedName name="ффггг" localSheetId="5">#REF!</definedName>
    <definedName name="ффггг" localSheetId="7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4">#REF!</definedName>
    <definedName name="ыа" localSheetId="5">#REF!</definedName>
    <definedName name="ыа" localSheetId="7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4">#REF!</definedName>
    <definedName name="ываф" localSheetId="5">#REF!</definedName>
    <definedName name="ываф" localSheetId="7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4">#REF!</definedName>
    <definedName name="ыВПВП" localSheetId="5">#REF!</definedName>
    <definedName name="ыВПВП" localSheetId="7">#REF!</definedName>
    <definedName name="ыВПВП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4">#REF!</definedName>
    <definedName name="ыпры" localSheetId="5">#REF!</definedName>
    <definedName name="ыпры" localSheetId="7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4">#REF!</definedName>
    <definedName name="ьбюбб" localSheetId="5">#REF!</definedName>
    <definedName name="ьбюбб" localSheetId="7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4">#REF!</definedName>
    <definedName name="экол1" localSheetId="5">#REF!</definedName>
    <definedName name="экол1" localSheetId="7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4">#REF!</definedName>
    <definedName name="экт" localSheetId="5">#REF!</definedName>
    <definedName name="экт" localSheetId="7">#REF!</definedName>
    <definedName name="экт">#REF!</definedName>
    <definedName name="электроэнер" localSheetId="4">#REF!</definedName>
    <definedName name="электроэнер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4">#REF!</definedName>
    <definedName name="яапт" localSheetId="5">#REF!</definedName>
    <definedName name="яапт" localSheetId="7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D5" i="10"/>
  <c r="F13" i="9"/>
  <c r="G13" i="9" s="1"/>
  <c r="E13" i="9"/>
  <c r="D13" i="9"/>
  <c r="C13" i="9"/>
  <c r="B13" i="9"/>
  <c r="E12" i="9"/>
  <c r="D12" i="9"/>
  <c r="C12" i="9"/>
  <c r="B12" i="9"/>
  <c r="I74" i="8"/>
  <c r="J74" i="8" s="1"/>
  <c r="G74" i="8"/>
  <c r="I73" i="8"/>
  <c r="J73" i="8" s="1"/>
  <c r="G73" i="8"/>
  <c r="I72" i="8"/>
  <c r="J72" i="8" s="1"/>
  <c r="G72" i="8"/>
  <c r="I71" i="8"/>
  <c r="J71" i="8" s="1"/>
  <c r="G71" i="8"/>
  <c r="I70" i="8"/>
  <c r="J70" i="8" s="1"/>
  <c r="G70" i="8"/>
  <c r="I69" i="8"/>
  <c r="J69" i="8" s="1"/>
  <c r="G69" i="8"/>
  <c r="I68" i="8"/>
  <c r="J68" i="8" s="1"/>
  <c r="G68" i="8"/>
  <c r="I67" i="8"/>
  <c r="J67" i="8" s="1"/>
  <c r="G67" i="8"/>
  <c r="I66" i="8"/>
  <c r="J66" i="8" s="1"/>
  <c r="G66" i="8"/>
  <c r="I65" i="8"/>
  <c r="J65" i="8" s="1"/>
  <c r="G65" i="8"/>
  <c r="I64" i="8"/>
  <c r="J64" i="8" s="1"/>
  <c r="G64" i="8"/>
  <c r="I63" i="8"/>
  <c r="J63" i="8" s="1"/>
  <c r="G63" i="8"/>
  <c r="I62" i="8"/>
  <c r="J62" i="8" s="1"/>
  <c r="G62" i="8"/>
  <c r="I61" i="8"/>
  <c r="J61" i="8" s="1"/>
  <c r="G61" i="8"/>
  <c r="I60" i="8"/>
  <c r="J60" i="8" s="1"/>
  <c r="G60" i="8"/>
  <c r="I59" i="8"/>
  <c r="J59" i="8" s="1"/>
  <c r="G59" i="8"/>
  <c r="I58" i="8"/>
  <c r="J58" i="8" s="1"/>
  <c r="G58" i="8"/>
  <c r="I57" i="8"/>
  <c r="J57" i="8" s="1"/>
  <c r="G57" i="8"/>
  <c r="I56" i="8"/>
  <c r="J56" i="8" s="1"/>
  <c r="G56" i="8"/>
  <c r="I55" i="8"/>
  <c r="J55" i="8" s="1"/>
  <c r="G55" i="8"/>
  <c r="I54" i="8"/>
  <c r="J54" i="8" s="1"/>
  <c r="G54" i="8"/>
  <c r="I53" i="8"/>
  <c r="J53" i="8" s="1"/>
  <c r="G53" i="8"/>
  <c r="I52" i="8"/>
  <c r="J52" i="8" s="1"/>
  <c r="G52" i="8"/>
  <c r="I51" i="8"/>
  <c r="J51" i="8" s="1"/>
  <c r="G51" i="8"/>
  <c r="I50" i="8"/>
  <c r="J50" i="8" s="1"/>
  <c r="G50" i="8"/>
  <c r="I49" i="8"/>
  <c r="J49" i="8" s="1"/>
  <c r="G49" i="8"/>
  <c r="I48" i="8"/>
  <c r="J48" i="8" s="1"/>
  <c r="G48" i="8"/>
  <c r="I47" i="8"/>
  <c r="J47" i="8" s="1"/>
  <c r="G47" i="8"/>
  <c r="J45" i="8"/>
  <c r="I45" i="8"/>
  <c r="G45" i="8"/>
  <c r="I44" i="8"/>
  <c r="J44" i="8" s="1"/>
  <c r="G44" i="8"/>
  <c r="J43" i="8"/>
  <c r="I43" i="8"/>
  <c r="G43" i="8"/>
  <c r="G46" i="8" s="1"/>
  <c r="J42" i="8"/>
  <c r="I42" i="8"/>
  <c r="G42" i="8"/>
  <c r="I41" i="8"/>
  <c r="J41" i="8" s="1"/>
  <c r="G41" i="8"/>
  <c r="I34" i="8"/>
  <c r="J34" i="8" s="1"/>
  <c r="J35" i="8" s="1"/>
  <c r="J37" i="8" s="1"/>
  <c r="G34" i="8"/>
  <c r="J33" i="8"/>
  <c r="F33" i="8"/>
  <c r="F12" i="9" s="1"/>
  <c r="G12" i="9" s="1"/>
  <c r="G14" i="9" s="1"/>
  <c r="J28" i="8"/>
  <c r="I28" i="8"/>
  <c r="G28" i="8"/>
  <c r="I27" i="8"/>
  <c r="J27" i="8" s="1"/>
  <c r="G27" i="8"/>
  <c r="I26" i="8"/>
  <c r="J26" i="8" s="1"/>
  <c r="G26" i="8"/>
  <c r="J25" i="8"/>
  <c r="I25" i="8"/>
  <c r="G25" i="8"/>
  <c r="I24" i="8"/>
  <c r="J24" i="8" s="1"/>
  <c r="G24" i="8"/>
  <c r="I23" i="8"/>
  <c r="J23" i="8" s="1"/>
  <c r="G23" i="8"/>
  <c r="G29" i="8" s="1"/>
  <c r="J21" i="8"/>
  <c r="I21" i="8"/>
  <c r="G21" i="8"/>
  <c r="I20" i="8"/>
  <c r="J20" i="8" s="1"/>
  <c r="G20" i="8"/>
  <c r="I19" i="8"/>
  <c r="J19" i="8" s="1"/>
  <c r="G19" i="8"/>
  <c r="G16" i="8"/>
  <c r="F16" i="8" s="1"/>
  <c r="I16" i="8" s="1"/>
  <c r="J16" i="8" s="1"/>
  <c r="C15" i="7" s="1"/>
  <c r="I13" i="8"/>
  <c r="G13" i="8"/>
  <c r="C33" i="7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8" i="6"/>
  <c r="H17" i="6"/>
  <c r="H16" i="6"/>
  <c r="H15" i="6"/>
  <c r="H14" i="6"/>
  <c r="H13" i="6"/>
  <c r="F13" i="6"/>
  <c r="J14" i="5"/>
  <c r="H14" i="5"/>
  <c r="F14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J75" i="8" l="1"/>
  <c r="C17" i="7" s="1"/>
  <c r="G14" i="8"/>
  <c r="D79" i="8" s="1"/>
  <c r="C21" i="7" s="1"/>
  <c r="E13" i="8"/>
  <c r="E14" i="8" s="1"/>
  <c r="J38" i="8"/>
  <c r="C26" i="7" s="1"/>
  <c r="C25" i="7"/>
  <c r="G15" i="9"/>
  <c r="G38" i="8"/>
  <c r="J22" i="8"/>
  <c r="C12" i="7" s="1"/>
  <c r="G30" i="8"/>
  <c r="H26" i="8" s="1"/>
  <c r="J29" i="8"/>
  <c r="J46" i="8"/>
  <c r="G75" i="8"/>
  <c r="G33" i="8"/>
  <c r="G22" i="8"/>
  <c r="D78" i="8" l="1"/>
  <c r="C23" i="7" s="1"/>
  <c r="H13" i="8"/>
  <c r="J13" i="8"/>
  <c r="J14" i="8" s="1"/>
  <c r="C16" i="7"/>
  <c r="J76" i="8"/>
  <c r="H28" i="8"/>
  <c r="H24" i="8"/>
  <c r="H20" i="8"/>
  <c r="H27" i="8"/>
  <c r="H23" i="8"/>
  <c r="H19" i="8"/>
  <c r="H22" i="8"/>
  <c r="G35" i="8"/>
  <c r="J30" i="8"/>
  <c r="C13" i="7"/>
  <c r="H25" i="8"/>
  <c r="H29" i="8"/>
  <c r="G76" i="8"/>
  <c r="H21" i="8"/>
  <c r="J79" i="8" l="1"/>
  <c r="J78" i="8"/>
  <c r="C11" i="7"/>
  <c r="H45" i="8"/>
  <c r="H42" i="8"/>
  <c r="H44" i="8"/>
  <c r="H76" i="8"/>
  <c r="H41" i="8"/>
  <c r="H63" i="8"/>
  <c r="H61" i="8"/>
  <c r="H53" i="8"/>
  <c r="H71" i="8"/>
  <c r="H48" i="8"/>
  <c r="H66" i="8"/>
  <c r="H46" i="8"/>
  <c r="H64" i="8"/>
  <c r="H56" i="8"/>
  <c r="H74" i="8"/>
  <c r="H51" i="8"/>
  <c r="H69" i="8"/>
  <c r="H49" i="8"/>
  <c r="H67" i="8"/>
  <c r="H59" i="8"/>
  <c r="H70" i="8"/>
  <c r="H62" i="8"/>
  <c r="H57" i="8"/>
  <c r="H55" i="8"/>
  <c r="H73" i="8"/>
  <c r="H65" i="8"/>
  <c r="H58" i="8"/>
  <c r="H50" i="8"/>
  <c r="H54" i="8"/>
  <c r="H72" i="8"/>
  <c r="H52" i="8"/>
  <c r="H47" i="8"/>
  <c r="H43" i="8"/>
  <c r="H60" i="8"/>
  <c r="H68" i="8"/>
  <c r="G77" i="8"/>
  <c r="C18" i="7"/>
  <c r="H75" i="8"/>
  <c r="J77" i="8"/>
  <c r="G80" i="8"/>
  <c r="G37" i="8"/>
  <c r="H35" i="8"/>
  <c r="C14" i="7"/>
  <c r="J80" i="8" l="1"/>
  <c r="J81" i="8" s="1"/>
  <c r="J82" i="8" s="1"/>
  <c r="C20" i="7"/>
  <c r="C22" i="7"/>
  <c r="C19" i="7"/>
  <c r="H36" i="8"/>
  <c r="H37" i="8"/>
  <c r="H34" i="8"/>
  <c r="H33" i="8"/>
  <c r="G81" i="8"/>
  <c r="G82" i="8" s="1"/>
  <c r="C24" i="7" l="1"/>
  <c r="D18" i="7" s="1"/>
  <c r="C29" i="7"/>
  <c r="C30" i="7" s="1"/>
  <c r="D22" i="7" l="1"/>
  <c r="D11" i="7"/>
  <c r="D15" i="7"/>
  <c r="D14" i="7"/>
  <c r="D17" i="7"/>
  <c r="D13" i="7"/>
  <c r="D20" i="7"/>
  <c r="D24" i="7"/>
  <c r="D16" i="7"/>
  <c r="D12" i="7"/>
  <c r="C27" i="7"/>
  <c r="C32" i="7" s="1"/>
  <c r="C35" i="7"/>
  <c r="C34" i="7"/>
  <c r="C37" i="7" l="1"/>
  <c r="C36" i="7"/>
  <c r="C38" i="7" l="1"/>
  <c r="C39" i="7" l="1"/>
  <c r="C40" i="7" l="1"/>
  <c r="E39" i="7"/>
  <c r="E33" i="7" l="1"/>
  <c r="C41" i="7"/>
  <c r="D11" i="10" s="1"/>
  <c r="E40" i="7"/>
  <c r="E31" i="7"/>
  <c r="E17" i="7"/>
  <c r="E15" i="7"/>
  <c r="E25" i="7"/>
  <c r="E22" i="7"/>
  <c r="E20" i="7"/>
  <c r="E26" i="7"/>
  <c r="E12" i="7"/>
  <c r="E11" i="7"/>
  <c r="E16" i="7"/>
  <c r="E13" i="7"/>
  <c r="E14" i="7"/>
  <c r="E18" i="7"/>
  <c r="E24" i="7"/>
  <c r="E30" i="7"/>
  <c r="E29" i="7"/>
  <c r="E27" i="7"/>
  <c r="E35" i="7"/>
  <c r="E34" i="7"/>
  <c r="E32" i="7"/>
  <c r="E36" i="7"/>
  <c r="E37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  <family val="2"/>
            <charset val="204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  <family val="2"/>
            <charset val="204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  <family val="2"/>
            <charset val="204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  <family val="2"/>
            <charset val="204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  <family val="2"/>
            <charset val="204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  <family val="2"/>
            <charset val="204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<sst xmlns="http://schemas.openxmlformats.org/spreadsheetml/2006/main" count="770" uniqueCount="469">
  <si>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</si>
  <si>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</si>
  <si>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</si>
  <si>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</si>
  <si>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  <family val="2"/>
        <charset val="204"/>
      </rPr>
      <t>Единица измерения:</t>
    </r>
    <r>
      <rPr>
        <sz val="11"/>
        <color rgb="FF000000"/>
        <rFont val="Calibri"/>
        <family val="2"/>
        <charset val="204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</si>
  <si>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</si>
  <si>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</si>
  <si>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</si>
  <si>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</si>
  <si>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</si>
  <si>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</si>
  <si>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</si>
  <si>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</si>
  <si>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</si>
  <si>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</si>
  <si>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</si>
  <si>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</si>
  <si>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</si>
  <si>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</si>
  <si>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</si>
  <si>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</si>
  <si>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</si>
  <si>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</si>
  <si>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</si>
  <si>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</si>
  <si>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</si>
  <si>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</si>
  <si>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</si>
  <si>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</si>
  <si>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</si>
  <si>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</si>
  <si>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</si>
  <si>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</si>
  <si>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</si>
  <si>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</si>
  <si>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</si>
  <si>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</si>
  <si>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</si>
  <si>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</si>
  <si>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</si>
  <si>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</si>
  <si>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</si>
  <si>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</si>
  <si>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</si>
  <si>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</si>
  <si>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</si>
  <si>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</si>
  <si>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</si>
  <si>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— Постоянная часть ПС, откатные (раздвижные, автоматические, противопожарные) ворота ПС 220 кВ</t>
  </si>
  <si>
    <t>Сопоставимый уровень цен: 3 квартал 2021г</t>
  </si>
  <si>
    <t>Единица измерения  — 1 ПС</t>
  </si>
  <si>
    <t>Параметр</t>
  </si>
  <si>
    <t xml:space="preserve">Объект-представитель </t>
  </si>
  <si>
    <t>Наименование объекта-представителя</t>
  </si>
  <si>
    <t>ПС 220 кВ Степная</t>
  </si>
  <si>
    <t>Наименование субъекта Российской Федерации</t>
  </si>
  <si>
    <t>Республика Хакасия</t>
  </si>
  <si>
    <t>Климатический район и подрайон</t>
  </si>
  <si>
    <t>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</si>
  <si>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</si>
  <si>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</si>
  <si>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Мотор-редуктор - 1 шт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</si>
  <si>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</si>
  <si>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</si>
  <si>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</si>
  <si>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</si>
  <si>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</si>
  <si>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</si>
  <si>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</si>
  <si>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</si>
  <si>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</si>
  <si>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</si>
  <si>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3 квартал 2021г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</si>
  <si>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</si>
  <si>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</si>
  <si>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r>
      <t xml:space="preserve">Составил </t>
    </r>
    <r>
      <rPr>
        <u/>
        <sz val="10"/>
        <color rgb="FF000000"/>
        <rFont val="Arial"/>
        <family val="2"/>
        <charset val="204"/>
      </rPr>
      <t>______________________        Е.А. Князева</t>
    </r>
  </si>
  <si>
    <t xml:space="preserve">                         (подпись, инициалы, фамилия)</t>
  </si>
  <si>
    <r>
      <t xml:space="preserve">Проверил </t>
    </r>
    <r>
      <rPr>
        <u/>
        <sz val="10"/>
        <color rgb="FF000000"/>
        <rFont val="Arial"/>
        <family val="2"/>
        <charset val="204"/>
      </rPr>
      <t>______________________        А.В. Костянецкая</t>
    </r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</si>
  <si>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</si>
  <si>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</si>
  <si>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</si>
  <si>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</si>
  <si>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</si>
  <si>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</si>
  <si>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</si>
  <si>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3 кв. 2021г., тыс. руб.</t>
  </si>
  <si>
    <t>Строительные работы</t>
  </si>
  <si>
    <t>Монтажные работы</t>
  </si>
  <si>
    <t>Прочее</t>
  </si>
  <si>
    <t>Всего</t>
  </si>
  <si>
    <t>Откатные (раздвижные, автоматические, противопожарные) ворота ПС 220 кВ</t>
  </si>
  <si>
    <t>Всего по объекту:</t>
  </si>
  <si>
    <t>Всего по объекту в сопоставимом уровне цен 3 кв. 2021г:</t>
  </si>
  <si>
    <t>Составил ______________________     А.Р. Маркова</t>
  </si>
  <si>
    <t>Проверил ______________________        А.В. Костянецкая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</si>
  <si>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</si>
  <si>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</si>
  <si>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</si>
  <si>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Наименование разрабатываемого показателя УНЦ - Постоянная часть ПС, откатные (раздвижные, автоматические, противопожарные) ворота ПС 220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</si>
  <si>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</si>
  <si>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</si>
  <si>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</si>
  <si>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</si>
  <si>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</si>
  <si>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</si>
  <si>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</si>
  <si>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</si>
  <si>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</si>
  <si>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</si>
  <si>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</si>
  <si>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1-3-8</t>
  </si>
  <si>
    <t>Затраты труда рабочих (средний разряд работы 3,8)</t>
  </si>
  <si>
    <t>чел.-ч</t>
  </si>
  <si>
    <t>1-4-2</t>
  </si>
  <si>
    <t>Затраты труда рабочих (средний разряд работы 4,2)</t>
  </si>
  <si>
    <t>1-4-1</t>
  </si>
  <si>
    <t>Затраты труда рабочих (средний разряд работы 4,1)</t>
  </si>
  <si>
    <t>1-4-0</t>
  </si>
  <si>
    <t>Затраты труда рабочих (средний разряд работы 4,0)</t>
  </si>
  <si>
    <t>Затраты труда машинистов</t>
  </si>
  <si>
    <t>Затраты труда машинистов(справочно)</t>
  </si>
  <si>
    <t>Машины и механизмы</t>
  </si>
  <si>
    <t>91.05.04-010</t>
  </si>
  <si>
    <t>Краны мостовые электрические, грузоподъемность 50 т</t>
  </si>
  <si>
    <t>маш.-ч</t>
  </si>
  <si>
    <t>91.05.05-014</t>
  </si>
  <si>
    <t>Краны на автомобильном ходу, грузоподъемность 10 т</t>
  </si>
  <si>
    <t>91.14.02-001</t>
  </si>
  <si>
    <t>Автомобили бортовые, грузоподъемность до 5 т</t>
  </si>
  <si>
    <t>91.17.04-233</t>
  </si>
  <si>
    <t>Установки для сварки ручной дуговой (постоянного тока)</t>
  </si>
  <si>
    <t>91.06.03-061</t>
  </si>
  <si>
    <t>Лебедки электрические тяговым усилием до 12,26 кН (1,25 т)</t>
  </si>
  <si>
    <t>331-451</t>
  </si>
  <si>
    <t>Перфораторы: электрические</t>
  </si>
  <si>
    <t>91.01.05-106</t>
  </si>
  <si>
    <t>Экскаваторы одноковшовые дизельные на пневмоколесном ходу, емкость ковша 0,25 м3</t>
  </si>
  <si>
    <t>91.06.01-003</t>
  </si>
  <si>
    <t>Домкраты гидравлические, грузоподъемность 63-100 т</t>
  </si>
  <si>
    <t>91.07.04-001</t>
  </si>
  <si>
    <t>Вибраторы глубинные</t>
  </si>
  <si>
    <t>Прайс из СД ОП</t>
  </si>
  <si>
    <t>Мотор-редуктор МЦ2С-63-45-0,55-РG110ЦУЗ</t>
  </si>
  <si>
    <t>шт</t>
  </si>
  <si>
    <t>62.1.02.14-0069</t>
  </si>
  <si>
    <t>Ящик управления РУСМ 5410-2274 У2</t>
  </si>
  <si>
    <t>шт.</t>
  </si>
  <si>
    <t>Материалы</t>
  </si>
  <si>
    <t>07.2.07.12-0018</t>
  </si>
  <si>
    <t>Элементы конструктивные зданий и сооружений с преобладанием гнутых профилей, средняя масса сборочной единицы свыше 0,1 до 0,5 т</t>
  </si>
  <si>
    <t>т</t>
  </si>
  <si>
    <t>08.1.06.01-0002</t>
  </si>
  <si>
    <t>Ворота различных типов рамы, каркасы, панели с заполнением из тонколистовой стали без механизма открывания</t>
  </si>
  <si>
    <t>08.1.02.13-0005</t>
  </si>
  <si>
    <t>Рукава металлические из стальной оцинкованной ленты, негерметичные, простого профиля, РЗ-ЦХ, условный диаметр 15 мм</t>
  </si>
  <si>
    <t>м</t>
  </si>
  <si>
    <t>05.1.08.01-0088</t>
  </si>
  <si>
    <t>Блоки железобетонные фундаментные</t>
  </si>
  <si>
    <t>м3</t>
  </si>
  <si>
    <t>21.1.05.02-0001</t>
  </si>
  <si>
    <t>Кабель силовой повышенной гибкости с медными жилами КПГ 2х2,5-660</t>
  </si>
  <si>
    <t>1000 м</t>
  </si>
  <si>
    <t>18.5.08.09-0001</t>
  </si>
  <si>
    <t>Патрубки</t>
  </si>
  <si>
    <t>10 шт</t>
  </si>
  <si>
    <t>08.3.07.01-0076</t>
  </si>
  <si>
    <t>Прокат полосовой, горячекатаный, марка стали Ст3сп, ширина 50-200 мм, толщина 4-5 мм</t>
  </si>
  <si>
    <t>07.2.07.04-0007</t>
  </si>
  <si>
    <t>Конструкции стальные индивидуальные решетчатые сварные, масса до 0,1 т</t>
  </si>
  <si>
    <t>04.1.02.05-0023</t>
  </si>
  <si>
    <t>Смеси бетонные тяжелого бетона (БСТ), крупность заполнителя 10 мм, класс В7,5 (М100)</t>
  </si>
  <si>
    <t>21.2.03.05-0002</t>
  </si>
  <si>
    <t>Провод силовой установочный АПВ 2,5-450</t>
  </si>
  <si>
    <t>10.3.02.03-0002</t>
  </si>
  <si>
    <t>Припои оловянно-свинцовые бессурьмянистые в чушках, марка ПОС30</t>
  </si>
  <si>
    <t>21.2.03.05-0045</t>
  </si>
  <si>
    <t>Провод силовой установочный с медными жилами ПВ1 1,5-450</t>
  </si>
  <si>
    <t>01.7.15.04-0011</t>
  </si>
  <si>
    <t>Винты с полукруглой головкой, длина 50 мм</t>
  </si>
  <si>
    <t>20.1.02.23-0082</t>
  </si>
  <si>
    <t>Перемычки гибкие, тип ПГС-50</t>
  </si>
  <si>
    <t>11.1.03.05-0085</t>
  </si>
  <si>
    <t>Доска необрезная, хвойных пород, длина 4-6,5 м, все ширины, толщина 44 мм и более, сорт III</t>
  </si>
  <si>
    <t>01.7.15.03-0042</t>
  </si>
  <si>
    <t>Болты с гайками и шайбами строительные</t>
  </si>
  <si>
    <t>кг</t>
  </si>
  <si>
    <t>999-9950</t>
  </si>
  <si>
    <t>Вспомогательные ненормируемые ресурсы (2% от оплаты труда рабочих)</t>
  </si>
  <si>
    <t>руб</t>
  </si>
  <si>
    <t>01.7.11.07-0034</t>
  </si>
  <si>
    <t>Электроды сварочные Э42А, диаметр 4 мм</t>
  </si>
  <si>
    <t>25.1.01.04-0031</t>
  </si>
  <si>
    <t>Шпалы непропитанные для железных дорог, тип I</t>
  </si>
  <si>
    <t>20.2.09.05-0012</t>
  </si>
  <si>
    <t>Муфты соединительные</t>
  </si>
  <si>
    <t>01.7.15.14-0165</t>
  </si>
  <si>
    <t>Шурупы с полукруглой головкой 4х40 мм</t>
  </si>
  <si>
    <t>14.4.03.03-0002</t>
  </si>
  <si>
    <t>Лак битумный БТ-123</t>
  </si>
  <si>
    <t>01.7.06.07-0001</t>
  </si>
  <si>
    <t>Лента К226</t>
  </si>
  <si>
    <t>100 м</t>
  </si>
  <si>
    <t>20.2.02.01-0019</t>
  </si>
  <si>
    <t>Втулки изолирующие</t>
  </si>
  <si>
    <t>1000 шт</t>
  </si>
  <si>
    <t>01.7.11.07-0054</t>
  </si>
  <si>
    <t>Электроды сварочные Э42, диаметр 6 мм</t>
  </si>
  <si>
    <t>11.1.02.04-0031</t>
  </si>
  <si>
    <t>Лесоматериалы круглые, хвойных пород, для строительства, диаметр 14-24 см, длина 3-6,5 м</t>
  </si>
  <si>
    <t>06.1.01.05-0015</t>
  </si>
  <si>
    <t>Кирпич керамический лицевой, размер 250х120х65 мм, марка 100</t>
  </si>
  <si>
    <t>14.4.02.09-0001</t>
  </si>
  <si>
    <t>Краска</t>
  </si>
  <si>
    <t>01.7.15.07-0031</t>
  </si>
  <si>
    <t>Дюбели распорные с гайкой</t>
  </si>
  <si>
    <t>100 шт</t>
  </si>
  <si>
    <t>03.2.01.01-0003</t>
  </si>
  <si>
    <t>Портландцемент общестроительного назначения бездобавочный М500 Д0 (ЦЕМ I 42,5Н)</t>
  </si>
  <si>
    <t>01.7.15.10-0053</t>
  </si>
  <si>
    <t>Скобы металлические</t>
  </si>
  <si>
    <t>04.3.01.09-0011</t>
  </si>
  <si>
    <t>Раствор готовый кладочный, цементный, М25</t>
  </si>
  <si>
    <t>02.3.01.02-0016</t>
  </si>
  <si>
    <t>Песок природный для строительных: работ средний с крупностью зерен размером свыше 5 мм-до 5% по массе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</si>
  <si>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</si>
  <si>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</si>
  <si>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</si>
  <si>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</si>
  <si>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</si>
  <si>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</si>
  <si>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</si>
  <si>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</si>
  <si>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</si>
  <si>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</si>
  <si>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</si>
  <si>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</si>
  <si>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</si>
  <si>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</si>
  <si>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</si>
  <si>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</si>
  <si>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</si>
  <si>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</si>
  <si>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</si>
  <si>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</si>
  <si>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</si>
  <si>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</si>
  <si>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</si>
  <si>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</si>
  <si>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</si>
  <si>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</si>
  <si>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</si>
  <si>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</si>
  <si>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</si>
  <si>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</si>
  <si>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</si>
  <si>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</si>
  <si>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</si>
  <si>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</si>
  <si>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</si>
  <si>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</si>
  <si>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</si>
  <si>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А.Р. Маркова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</si>
  <si>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</si>
  <si>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</si>
  <si>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</si>
  <si>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</si>
  <si>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</si>
  <si>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</si>
  <si>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Постоянная часть ПС, откатные (раздвижные, автоматические, противопожарные) ворота ПС 220 кВ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</si>
  <si>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</si>
  <si>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</si>
  <si>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</si>
  <si>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</si>
  <si>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</si>
  <si>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(4,0)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</si>
  <si>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</si>
  <si>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</si>
  <si>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</si>
  <si>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</si>
  <si>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</si>
  <si>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</si>
  <si>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</si>
  <si>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БЦ.92_4.11</t>
  </si>
  <si>
    <t>Мотор-редуктор для откатных ворот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</si>
  <si>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</si>
  <si>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</si>
  <si>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</si>
  <si>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</si>
  <si>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</si>
  <si>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</si>
  <si>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</si>
  <si>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</si>
  <si>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</si>
  <si>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</si>
  <si>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</si>
  <si>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</si>
  <si>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</si>
  <si>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</si>
  <si>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  <family val="2"/>
        <charset val="204"/>
      </rPr>
      <t>______________________    А.Р. Маркова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</si>
  <si>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</si>
  <si>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</si>
  <si>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</si>
  <si>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</si>
  <si>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</si>
  <si>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</si>
  <si>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</si>
  <si>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</si>
  <si>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</si>
  <si>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</si>
  <si>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</si>
  <si>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</si>
  <si>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З1-03</t>
  </si>
  <si>
    <t>УНЦ постоянной части ПС 220 кВ</t>
  </si>
  <si>
    <t>З1_ПС_ворота_220_кВ</t>
  </si>
  <si>
    <t>Составил ______________________      А.Р. Маркова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</si>
  <si>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</si>
  <si>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</si>
  <si>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</si>
  <si>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</si>
  <si>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</si>
  <si>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</si>
  <si>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</si>
  <si>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</si>
  <si>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</si>
  <si>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</si>
  <si>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</si>
  <si>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</si>
  <si>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</si>
  <si>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</si>
  <si>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</si>
  <si>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</si>
  <si>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</si>
  <si>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</si>
  <si>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</si>
  <si>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  <family val="1"/>
        <charset val="204"/>
      </rPr>
      <t>р.тек.</t>
    </r>
    <r>
      <rPr>
        <b/>
        <sz val="12"/>
        <color rgb="FF000000"/>
        <rFont val="Times New Roman"/>
        <family val="1"/>
        <charset val="204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</si>
  <si>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</si>
  <si>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</si>
  <si>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</si>
  <si>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</si>
  <si>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</si>
  <si>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</si>
  <si>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</si>
  <si>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</si>
  <si>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  <family val="1"/>
        <charset val="204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</si>
  <si>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</si>
  <si>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</si>
  <si>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</si>
  <si>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</si>
  <si>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  <family val="1"/>
        <charset val="204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</si>
  <si>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</si>
  <si>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</si>
  <si>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</si>
  <si>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</si>
  <si>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</si>
  <si>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</si>
  <si>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</si>
  <si>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</si>
  <si>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</si>
  <si>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</si>
  <si>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  <family val="1"/>
        <charset val="204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</si>
  <si>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</si>
  <si>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</si>
  <si>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</si>
  <si>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  <family val="1"/>
        <charset val="204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</si>
  <si>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</si>
  <si>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</si>
  <si>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</si>
  <si>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  <family val="1"/>
        <charset val="204"/>
      </rPr>
      <t>р.тек.</t>
    </r>
    <r>
      <rPr>
        <b/>
        <sz val="12"/>
        <color rgb="FF000000"/>
        <rFont val="Times New Roman"/>
        <family val="1"/>
        <charset val="204"/>
      </rPr>
      <t>), руб/чел.-ч</t>
    </r>
  </si>
  <si>
    <r>
      <t>ФОТ</t>
    </r>
    <r>
      <rPr>
        <vertAlign val="subscript"/>
        <sz val="12"/>
        <color rgb="FF000000"/>
        <rFont val="Times New Roman"/>
        <family val="1"/>
        <charset val="204"/>
      </rPr>
      <t>р.тек.</t>
    </r>
  </si>
  <si>
    <r>
      <t>(С</t>
    </r>
    <r>
      <rPr>
        <vertAlign val="subscript"/>
        <sz val="12"/>
        <color rgb="FF000000"/>
        <rFont val="Times New Roman"/>
        <family val="1"/>
        <charset val="204"/>
      </rPr>
      <t>1ср</t>
    </r>
    <r>
      <rPr>
        <sz val="12"/>
        <color rgb="FF000000"/>
        <rFont val="Times New Roman"/>
        <family val="1"/>
        <charset val="204"/>
      </rPr>
      <t>/t</t>
    </r>
    <r>
      <rPr>
        <vertAlign val="subscript"/>
        <sz val="12"/>
        <color rgb="FF000000"/>
        <rFont val="Times New Roman"/>
        <family val="1"/>
        <charset val="204"/>
      </rPr>
      <t>ср</t>
    </r>
    <r>
      <rPr>
        <sz val="12"/>
        <color rgb="FF000000"/>
        <rFont val="Times New Roman"/>
        <family val="1"/>
        <charset val="204"/>
      </rPr>
      <t>*К</t>
    </r>
    <r>
      <rPr>
        <vertAlign val="subscript"/>
        <sz val="12"/>
        <color rgb="FF000000"/>
        <rFont val="Times New Roman"/>
        <family val="1"/>
        <charset val="204"/>
      </rPr>
      <t>Т</t>
    </r>
    <r>
      <rPr>
        <sz val="12"/>
        <color rgb="FF000000"/>
        <rFont val="Times New Roman"/>
        <family val="1"/>
        <charset val="204"/>
      </rPr>
      <t>*Т*Кув)*К</t>
    </r>
    <r>
      <rPr>
        <vertAlign val="subscript"/>
        <sz val="12"/>
        <color rgb="FF000000"/>
        <rFont val="Times New Roman"/>
        <family val="1"/>
        <charset val="204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</si>
  <si>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</si>
  <si>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</si>
  <si>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</si>
  <si>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</si>
  <si>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</si>
  <si>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</si>
  <si>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</si>
  <si>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</si>
  <si>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</si>
  <si>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</si>
  <si>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</si>
  <si>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</si>
  <si>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</si>
  <si>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</si>
  <si>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</si>
  <si>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</si>
  <si>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</si>
  <si>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</si>
  <si>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</si>
  <si>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</si>
  <si>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</si>
  <si>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</si>
  <si>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</si>
  <si>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</si>
  <si>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</si>
  <si>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</si>
  <si>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</si>
  <si>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</si>
  <si>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</si>
  <si>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</si>
  <si>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</si>
  <si>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</si>
  <si>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</si>
  <si>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</si>
  <si>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</si>
  <si>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</si>
  <si>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</si>
  <si>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</si>
  <si>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</si>
  <si>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</si>
  <si>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</si>
  <si>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</si>
  <si>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</si>
  <si>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</si>
  <si>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</si>
  <si>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</si>
  <si>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</si>
  <si>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</si>
  <si>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</si>
  <si>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</si>
  <si>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</si>
  <si>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</si>
  <si>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</si>
  <si>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</si>
  <si>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</si>
  <si>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</si>
  <si>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</si>
  <si>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</si>
  <si>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</si>
  <si>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</si>
  <si>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</si>
  <si>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</si>
  <si>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</si>
  <si>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</si>
  <si>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</si>
  <si>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</si>
  <si>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</si>
  <si>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</si>
  <si>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</si>
  <si>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</si>
  <si>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</si>
  <si>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</si>
  <si>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</si>
  <si>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</si>
  <si>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</si>
  <si>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</si>
  <si>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</si>
  <si>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</si>
  <si>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</si>
  <si>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</si>
  <si>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</si>
  <si>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</si>
  <si>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</si>
  <si>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</si>
  <si>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</si>
  <si>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</si>
  <si>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</si>
  <si>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</si>
  <si>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</si>
  <si>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</si>
  <si>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</si>
  <si>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</si>
  <si>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</si>
  <si>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</si>
  <si>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</si>
  <si>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</si>
  <si>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</si>
  <si>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</si>
  <si>
    <r>
      <t xml:space="preserve">Составил </t>
    </r>
    <r>
      <rPr>
        <u/>
        <sz val="10"/>
        <color rgb="FF000000"/>
        <rFont val="Arial"/>
        <family val="2"/>
        <charset val="204"/>
      </rPr>
      <t>______________________     А.Р. Маркова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</si>
</sst>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0.0000"/>
    <numFmt numFmtId="168" formatCode="#,##0.0000"/>
    <numFmt numFmtId="169" formatCode="#,##0.000"/>
  </numFmts>
  <fonts count="31" x14ac:knownFonts="1">
    <font>
      <sz val="11"/>
      <color rgb="FF000000"/>
      <name val="Calibri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8"/>
      <color rgb="FFFF0000"/>
      <name val="Arial"/>
      <family val="2"/>
      <charset val="204"/>
    </font>
    <font>
      <i/>
      <sz val="8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b/>
      <sz val="9"/>
      <color rgb="FFFF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u/>
      <sz val="12"/>
      <color rgb="FF0563C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  <font>
      <b/>
      <vertAlign val="sub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9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justify" vertical="center" wrapText="1"/>
    </xf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166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7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justify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68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/>
    </xf>
    <xf numFmtId="0" fontId="4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" xfId="0" applyFont="1" applyBorder="1" applyAlignment="1">
      <alignment vertical="top"/>
    </xf>
    <xf numFmtId="0" fontId="18" fillId="0" borderId="0" xfId="0" applyFont="1"/>
    <xf numFmtId="4" fontId="18" fillId="0" borderId="1" xfId="0" applyNumberFormat="1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0" fontId="1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" fontId="1" fillId="0" borderId="1" xfId="0" applyNumberFormat="1" applyFont="1" applyBorder="1" applyAlignment="1">
      <alignment vertical="center" wrapText="1"/>
    </xf>
    <xf numFmtId="4" fontId="0" fillId="0" borderId="0" xfId="0" applyNumberFormat="1"/>
    <xf numFmtId="0" fontId="1" fillId="0" borderId="0" xfId="0" applyFont="1" applyAlignment="1">
      <alignment horizontal="justify" vertical="center"/>
    </xf>
    <xf numFmtId="169" fontId="16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0" fontId="20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165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7" fontId="1" fillId="4" borderId="1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top" wrapText="1"/>
    </xf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5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20" fillId="0" borderId="4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wrapText="1"/>
    </xf>
    <xf numFmtId="0" fontId="1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390338</xdr:colOff>
      <xdr:row>26</xdr:row>
      <xdr:rowOff>64433</xdr:rowOff>
    </xdr:from>
    <xdr:to>
      <xdr:col>2</xdr:col>
      <xdr:colOff>1335140</xdr:colOff>
      <xdr:row>29</xdr:row>
      <xdr:rowOff>18827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416AC935-872A-42A7-9FE9-4BDF03C6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573" y="10597962"/>
          <a:ext cx="944802" cy="525894"/>
        </a:xfrm>
        <a:prstGeom prst="rect">
          <a:avLst/>
        </a:prstGeom>
      </xdr:spPr>
    </xdr:pic>
    <xdr:clientData/>
  </xdr:twoCellAnchor>
  <xdr:twoCellAnchor editAs="oneCell">
    <xdr:from>
      <xdr:col>2</xdr:col>
      <xdr:colOff>533213</xdr:colOff>
      <xdr:row>23</xdr:row>
      <xdr:rowOff>601382</xdr:rowOff>
    </xdr:from>
    <xdr:to>
      <xdr:col>2</xdr:col>
      <xdr:colOff>1238063</xdr:colOff>
      <xdr:row>26</xdr:row>
      <xdr:rowOff>43423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AD0030E3-2B60-4AAB-9F18-680DF13FC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448" y="10137588"/>
          <a:ext cx="704850" cy="439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850447</xdr:colOff>
      <xdr:row>18</xdr:row>
      <xdr:rowOff>33563</xdr:rowOff>
    </xdr:from>
    <xdr:to>
      <xdr:col>2</xdr:col>
      <xdr:colOff>1795249</xdr:colOff>
      <xdr:row>20</xdr:row>
      <xdr:rowOff>176776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6749EB36-BB6A-4397-B177-C7E65FA50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161" y="4442277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993322</xdr:colOff>
      <xdr:row>15</xdr:row>
      <xdr:rowOff>138339</xdr:rowOff>
    </xdr:from>
    <xdr:to>
      <xdr:col>2</xdr:col>
      <xdr:colOff>1698172</xdr:colOff>
      <xdr:row>18</xdr:row>
      <xdr:rowOff>12553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684C087A-81A2-4C2D-B61B-85B249014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036" y="3975553"/>
          <a:ext cx="704850" cy="44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374277</xdr:colOff>
      <xdr:row>69</xdr:row>
      <xdr:rowOff>122704</xdr:rowOff>
    </xdr:from>
    <xdr:to>
      <xdr:col>2</xdr:col>
      <xdr:colOff>1319079</xdr:colOff>
      <xdr:row>72</xdr:row>
      <xdr:rowOff>56367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7EC43AD-E721-4BA0-85B7-7FB99C55B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836" y="17637498"/>
          <a:ext cx="944802" cy="5387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67</xdr:row>
      <xdr:rowOff>0</xdr:rowOff>
    </xdr:from>
    <xdr:to>
      <xdr:col>2</xdr:col>
      <xdr:colOff>1266825</xdr:colOff>
      <xdr:row>69</xdr:row>
      <xdr:rowOff>45664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BFB0550E-0C8B-4B29-BC5B-A8792502D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6992600"/>
          <a:ext cx="704850" cy="4266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43</xdr:row>
      <xdr:rowOff>76199</xdr:rowOff>
    </xdr:from>
    <xdr:to>
      <xdr:col>1</xdr:col>
      <xdr:colOff>1897302</xdr:colOff>
      <xdr:row>46</xdr:row>
      <xdr:rowOff>28912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47125D2C-E143-461F-8E39-7B8399374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1696699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40</xdr:row>
      <xdr:rowOff>161925</xdr:rowOff>
    </xdr:from>
    <xdr:to>
      <xdr:col>1</xdr:col>
      <xdr:colOff>1809750</xdr:colOff>
      <xdr:row>43</xdr:row>
      <xdr:rowOff>36139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325446CF-C80D-4239-8D74-C1F32CCE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1210925"/>
          <a:ext cx="704850" cy="44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649381</xdr:colOff>
      <xdr:row>84</xdr:row>
      <xdr:rowOff>98611</xdr:rowOff>
    </xdr:from>
    <xdr:to>
      <xdr:col>2</xdr:col>
      <xdr:colOff>89233</xdr:colOff>
      <xdr:row>87</xdr:row>
      <xdr:rowOff>51324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40A191CF-C4FF-4FBE-B716-4F65B3690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2434736"/>
          <a:ext cx="944802" cy="495638"/>
        </a:xfrm>
        <a:prstGeom prst="rect">
          <a:avLst/>
        </a:prstGeom>
      </xdr:spPr>
    </xdr:pic>
    <xdr:clientData/>
  </xdr:twoCellAnchor>
  <xdr:twoCellAnchor editAs="oneCell">
    <xdr:from>
      <xdr:col>1</xdr:col>
      <xdr:colOff>735106</xdr:colOff>
      <xdr:row>82</xdr:row>
      <xdr:rowOff>3362</xdr:rowOff>
    </xdr:from>
    <xdr:to>
      <xdr:col>1</xdr:col>
      <xdr:colOff>1420906</xdr:colOff>
      <xdr:row>84</xdr:row>
      <xdr:rowOff>68076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F10BA53F-77F2-4C27-ABFC-C9D2F9982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6106" y="21968012"/>
          <a:ext cx="685800" cy="436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17</xdr:row>
      <xdr:rowOff>85724</xdr:rowOff>
    </xdr:from>
    <xdr:to>
      <xdr:col>2</xdr:col>
      <xdr:colOff>344727</xdr:colOff>
      <xdr:row>20</xdr:row>
      <xdr:rowOff>38437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3C91E6C-06E1-449E-93DD-310C550F6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4533899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800100</xdr:colOff>
      <xdr:row>15</xdr:row>
      <xdr:rowOff>9525</xdr:rowOff>
    </xdr:from>
    <xdr:to>
      <xdr:col>2</xdr:col>
      <xdr:colOff>333375</xdr:colOff>
      <xdr:row>17</xdr:row>
      <xdr:rowOff>74239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E7D310B1-E6C0-4775-BCA1-036015A2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4076700"/>
          <a:ext cx="704850" cy="44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13</xdr:row>
      <xdr:rowOff>76199</xdr:rowOff>
    </xdr:from>
    <xdr:to>
      <xdr:col>1</xdr:col>
      <xdr:colOff>925752</xdr:colOff>
      <xdr:row>16</xdr:row>
      <xdr:rowOff>28912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98A74CA-FD05-455E-87E4-C2F101744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3486149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514350</xdr:rowOff>
    </xdr:from>
    <xdr:to>
      <xdr:col>1</xdr:col>
      <xdr:colOff>809625</xdr:colOff>
      <xdr:row>13</xdr:row>
      <xdr:rowOff>55189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ED5C6DA0-BB0D-45FE-84C8-720E31C7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19425"/>
          <a:ext cx="704850" cy="44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1000125</xdr:colOff>
      <xdr:row>26</xdr:row>
      <xdr:rowOff>38099</xdr:rowOff>
    </xdr:from>
    <xdr:to>
      <xdr:col>1</xdr:col>
      <xdr:colOff>1944927</xdr:colOff>
      <xdr:row>28</xdr:row>
      <xdr:rowOff>181312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E8ECD6C0-3B3C-45FF-9109-DB1BB5FE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375" y="8896349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1079500</xdr:colOff>
      <xdr:row>23</xdr:row>
      <xdr:rowOff>158750</xdr:rowOff>
    </xdr:from>
    <xdr:to>
      <xdr:col>1</xdr:col>
      <xdr:colOff>1784350</xdr:colOff>
      <xdr:row>26</xdr:row>
      <xdr:rowOff>32964</xdr:rowOff>
    </xdr:to>
    <xdr:pic>
      <xdr:nvPicPr>
        <xdr:cNvPr id="3" name="Рисунок 2" descr="Изображение выглядит как свет&#10;&#10;Автоматически созданное описание с низким доверительным уровнем">
          <a:extLst>
            <a:ext uri="{FF2B5EF4-FFF2-40B4-BE49-F238E27FC236}">
              <a16:creationId xmlns:a16="http://schemas.microsoft.com/office/drawing/2014/main" id="{F46BB2C2-6D55-450B-947B-A09322940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" y="8445500"/>
          <a:ext cx="704850" cy="44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30" t="s">
        <v>0</v>
      </c>
      <c r="B2" s="230"/>
      <c r="C2" s="230"/>
    </row>
    <row r="3" spans="1:3" x14ac:dyDescent="0.25">
      <c r="A3" s="1"/>
      <c r="B3" s="1"/>
      <c r="C3" s="1"/>
    </row>
    <row r="4" spans="1:3" x14ac:dyDescent="0.25">
      <c r="A4" s="231" t="s">
        <v>1</v>
      </c>
      <c r="B4" s="231"/>
      <c r="C4" s="231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08" t="s">
        <v>2</v>
      </c>
      <c r="B6" s="232" t="s">
        <v>3</v>
      </c>
      <c r="C6" s="232"/>
    </row>
    <row r="7" spans="1:3" x14ac:dyDescent="0.25">
      <c r="A7" s="109" t="s">
        <v>4</v>
      </c>
      <c r="B7" s="1"/>
      <c r="C7" s="1"/>
    </row>
    <row r="8" spans="1:3" x14ac:dyDescent="0.25">
      <c r="A8" s="109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10" t="s">
        <v>8</v>
      </c>
      <c r="B10" s="111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30" t="s">
        <v>10</v>
      </c>
      <c r="B2" s="230"/>
      <c r="C2" s="230"/>
      <c r="D2" s="230"/>
    </row>
    <row r="3" spans="1:4" x14ac:dyDescent="0.25">
      <c r="A3" s="1"/>
      <c r="B3" s="1"/>
      <c r="C3" s="1"/>
    </row>
    <row r="4" spans="1:4" ht="63.75" customHeight="1" x14ac:dyDescent="0.25">
      <c r="A4" s="5" t="s">
        <v>11</v>
      </c>
      <c r="B4" s="1" t="str">
        <f>'4.1 Отдел 1'!A10</f>
        <v>И5-05-02</v>
      </c>
      <c r="C4" s="233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33"/>
    </row>
    <row r="5" spans="1:4" x14ac:dyDescent="0.25">
      <c r="A5" s="5"/>
      <c r="B5" s="1"/>
      <c r="C5" s="1"/>
    </row>
    <row r="6" spans="1:4" x14ac:dyDescent="0.25">
      <c r="A6" s="230" t="s">
        <v>12</v>
      </c>
      <c r="B6" s="230"/>
      <c r="C6" s="230"/>
      <c r="D6" s="230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.200000000000003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34" t="s">
        <v>5</v>
      </c>
      <c r="B15" s="235" t="s">
        <v>15</v>
      </c>
      <c r="C15" s="235"/>
      <c r="D15" s="235"/>
    </row>
    <row r="16" spans="1:4" x14ac:dyDescent="0.25">
      <c r="A16" s="234"/>
      <c r="B16" s="234" t="s">
        <v>17</v>
      </c>
      <c r="C16" s="235" t="s">
        <v>28</v>
      </c>
      <c r="D16" s="235"/>
    </row>
    <row r="17" spans="1:4" ht="39.200000000000003" customHeight="1" x14ac:dyDescent="0.25">
      <c r="A17" s="234"/>
      <c r="B17" s="234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36" t="s">
        <v>29</v>
      </c>
      <c r="B2" s="236"/>
      <c r="C2" s="236"/>
      <c r="D2" s="236"/>
    </row>
    <row r="3" spans="1:10" x14ac:dyDescent="0.25">
      <c r="H3" s="107" t="s">
        <v>30</v>
      </c>
      <c r="I3" s="107" t="s">
        <v>31</v>
      </c>
      <c r="J3" s="107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100">
        <v>3985.09</v>
      </c>
      <c r="I4" s="100">
        <v>3153.63</v>
      </c>
      <c r="J4" s="100">
        <v>94532.14</v>
      </c>
    </row>
    <row r="5" spans="1:10" ht="102.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105">
        <v>3</v>
      </c>
      <c r="B7" s="112" t="s">
        <v>41</v>
      </c>
      <c r="C7" s="112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6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K31"/>
  <sheetViews>
    <sheetView view="pageBreakPreview" topLeftCell="A17" zoomScale="85" zoomScaleNormal="55" zoomScaleSheetLayoutView="85" workbookViewId="0">
      <selection activeCell="I23" sqref="I23"/>
    </sheetView>
  </sheetViews>
  <sheetFormatPr defaultColWidth="9.140625" defaultRowHeight="15" x14ac:dyDescent="0.25"/>
  <cols>
    <col min="1" max="2" width="9.140625" style="197"/>
    <col min="3" max="3" width="36.85546875" style="197" customWidth="1"/>
    <col min="4" max="4" width="39.42578125" style="197" customWidth="1"/>
    <col min="5" max="5" width="9.140625" style="197"/>
  </cols>
  <sheetData>
    <row r="3" spans="2:11" ht="15.75" customHeight="1" x14ac:dyDescent="0.25">
      <c r="B3" s="238" t="s">
        <v>45</v>
      </c>
      <c r="C3" s="238"/>
      <c r="D3" s="238"/>
    </row>
    <row r="4" spans="2:11" ht="18.75" customHeight="1" x14ac:dyDescent="0.25">
      <c r="B4" s="239" t="s">
        <v>46</v>
      </c>
      <c r="C4" s="239"/>
      <c r="D4" s="239"/>
    </row>
    <row r="5" spans="2:11" ht="91.5" customHeight="1" x14ac:dyDescent="0.25">
      <c r="B5" s="240" t="s">
        <v>47</v>
      </c>
      <c r="C5" s="240"/>
      <c r="D5" s="240"/>
    </row>
    <row r="6" spans="2:11" ht="18.75" customHeight="1" x14ac:dyDescent="0.25">
      <c r="B6" s="198"/>
      <c r="C6" s="198"/>
      <c r="D6" s="198"/>
    </row>
    <row r="7" spans="2:11" ht="36" customHeight="1" x14ac:dyDescent="0.25">
      <c r="B7" s="237" t="s">
        <v>48</v>
      </c>
      <c r="C7" s="237"/>
      <c r="D7" s="237"/>
    </row>
    <row r="8" spans="2:11" ht="15.75" customHeight="1" x14ac:dyDescent="0.25">
      <c r="B8" s="237" t="s">
        <v>49</v>
      </c>
      <c r="C8" s="237"/>
      <c r="D8" s="237"/>
    </row>
    <row r="9" spans="2:11" ht="15.75" customHeight="1" x14ac:dyDescent="0.25">
      <c r="B9" s="237" t="s">
        <v>50</v>
      </c>
      <c r="C9" s="237"/>
      <c r="D9" s="237"/>
    </row>
    <row r="10" spans="2:11" ht="18.75" customHeight="1" x14ac:dyDescent="0.25">
      <c r="B10" s="199"/>
    </row>
    <row r="11" spans="2:11" ht="15.75" customHeight="1" x14ac:dyDescent="0.25">
      <c r="B11" s="200" t="s">
        <v>33</v>
      </c>
      <c r="C11" s="200" t="s">
        <v>51</v>
      </c>
      <c r="D11" s="200" t="s">
        <v>52</v>
      </c>
    </row>
    <row r="12" spans="2:11" ht="31.5" customHeight="1" x14ac:dyDescent="0.25">
      <c r="B12" s="200">
        <v>1</v>
      </c>
      <c r="C12" s="201" t="s">
        <v>53</v>
      </c>
      <c r="D12" s="120" t="s">
        <v>54</v>
      </c>
      <c r="E12" s="202"/>
      <c r="F12" s="202"/>
      <c r="G12" s="202"/>
      <c r="H12" s="202"/>
      <c r="I12" s="202"/>
      <c r="J12" s="202"/>
      <c r="K12" s="202"/>
    </row>
    <row r="13" spans="2:11" ht="31.5" customHeight="1" x14ac:dyDescent="0.25">
      <c r="B13" s="200">
        <v>2</v>
      </c>
      <c r="C13" s="201" t="s">
        <v>55</v>
      </c>
      <c r="D13" s="120" t="s">
        <v>56</v>
      </c>
    </row>
    <row r="14" spans="2:11" ht="15.75" customHeight="1" x14ac:dyDescent="0.25">
      <c r="B14" s="200">
        <v>3</v>
      </c>
      <c r="C14" s="201" t="s">
        <v>57</v>
      </c>
      <c r="D14" s="120" t="s">
        <v>58</v>
      </c>
    </row>
    <row r="15" spans="2:11" ht="15.75" customHeight="1" x14ac:dyDescent="0.25">
      <c r="B15" s="200">
        <v>4</v>
      </c>
      <c r="C15" s="201" t="s">
        <v>59</v>
      </c>
      <c r="D15" s="120">
        <v>1</v>
      </c>
    </row>
    <row r="16" spans="2:11" ht="94.5" customHeight="1" x14ac:dyDescent="0.25">
      <c r="B16" s="200">
        <v>5</v>
      </c>
      <c r="C16" s="203" t="s">
        <v>60</v>
      </c>
      <c r="D16" s="204" t="s">
        <v>61</v>
      </c>
    </row>
    <row r="17" spans="2:4" ht="78.75" customHeight="1" x14ac:dyDescent="0.25">
      <c r="B17" s="200">
        <v>6</v>
      </c>
      <c r="C17" s="203" t="s">
        <v>62</v>
      </c>
      <c r="D17" s="205">
        <f>D18+D19</f>
        <v>150.25099489999999</v>
      </c>
    </row>
    <row r="18" spans="2:4" ht="15.75" customHeight="1" x14ac:dyDescent="0.25">
      <c r="B18" s="206" t="s">
        <v>63</v>
      </c>
      <c r="C18" s="201" t="s">
        <v>64</v>
      </c>
      <c r="D18" s="205">
        <f>'Прил.2 Расч стоим'!F14</f>
        <v>122.68295809999999</v>
      </c>
    </row>
    <row r="19" spans="2:4" ht="15.75" customHeight="1" x14ac:dyDescent="0.25">
      <c r="B19" s="206" t="s">
        <v>65</v>
      </c>
      <c r="C19" s="201" t="s">
        <v>66</v>
      </c>
      <c r="D19" s="205">
        <f>'Прил.2 Расч стоим'!H14</f>
        <v>27.568036800000002</v>
      </c>
    </row>
    <row r="20" spans="2:4" ht="15.75" customHeight="1" x14ac:dyDescent="0.25">
      <c r="B20" s="206" t="s">
        <v>67</v>
      </c>
      <c r="C20" s="201" t="s">
        <v>68</v>
      </c>
      <c r="D20" s="205"/>
    </row>
    <row r="21" spans="2:4" ht="31.5" customHeight="1" x14ac:dyDescent="0.25">
      <c r="B21" s="206" t="s">
        <v>69</v>
      </c>
      <c r="C21" s="201" t="s">
        <v>70</v>
      </c>
      <c r="D21" s="205"/>
    </row>
    <row r="22" spans="2:4" ht="15.75" customHeight="1" x14ac:dyDescent="0.25">
      <c r="B22" s="200">
        <v>7</v>
      </c>
      <c r="C22" s="201" t="s">
        <v>71</v>
      </c>
      <c r="D22" s="205" t="s">
        <v>72</v>
      </c>
    </row>
    <row r="23" spans="2:4" ht="110.25" customHeight="1" x14ac:dyDescent="0.25">
      <c r="B23" s="200">
        <v>8</v>
      </c>
      <c r="C23" s="203" t="s">
        <v>73</v>
      </c>
      <c r="D23" s="205">
        <f>D17</f>
        <v>150.25099489999999</v>
      </c>
    </row>
    <row r="24" spans="2:4" ht="47.25" customHeight="1" x14ac:dyDescent="0.25">
      <c r="B24" s="200">
        <v>9</v>
      </c>
      <c r="C24" s="203" t="s">
        <v>74</v>
      </c>
      <c r="D24" s="205">
        <f>D17/D15</f>
        <v>150.25099489999999</v>
      </c>
    </row>
    <row r="25" spans="2:4" ht="15.75" customHeight="1" x14ac:dyDescent="0.25">
      <c r="B25" s="207"/>
      <c r="C25" s="208"/>
      <c r="D25" s="208"/>
    </row>
    <row r="26" spans="2:4" x14ac:dyDescent="0.25">
      <c r="B26" s="209" t="s">
        <v>468</v>
      </c>
      <c r="C26" s="210"/>
    </row>
    <row r="27" spans="2:4" x14ac:dyDescent="0.25">
      <c r="B27" s="211" t="s">
        <v>76</v>
      </c>
      <c r="C27" s="210"/>
    </row>
    <row r="28" spans="2:4" x14ac:dyDescent="0.25">
      <c r="B28" s="209"/>
      <c r="C28" s="210"/>
    </row>
    <row r="29" spans="2:4" x14ac:dyDescent="0.25">
      <c r="B29" s="209" t="s">
        <v>77</v>
      </c>
      <c r="C29" s="210"/>
    </row>
    <row r="30" spans="2:4" x14ac:dyDescent="0.25">
      <c r="B30" s="211" t="s">
        <v>78</v>
      </c>
      <c r="C30" s="210"/>
    </row>
    <row r="31" spans="2:4" ht="15.75" customHeight="1" x14ac:dyDescent="0.25">
      <c r="B31" s="208"/>
      <c r="C31" s="208"/>
      <c r="D31" s="208"/>
    </row>
  </sheetData>
  <mergeCells count="6">
    <mergeCell ref="B9:D9"/>
    <mergeCell ref="B3:D3"/>
    <mergeCell ref="B4:D4"/>
    <mergeCell ref="B5:D5"/>
    <mergeCell ref="B7:D7"/>
    <mergeCell ref="B8:D8"/>
  </mergeCells>
  <pageMargins left="0.7" right="0.7" top="0.75" bottom="0.75" header="0.3" footer="0.3"/>
  <pageSetup paperSize="9" scale="85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8"/>
  <sheetViews>
    <sheetView view="pageBreakPreview" zoomScale="70" zoomScaleNormal="70" workbookViewId="0">
      <selection activeCell="F23" sqref="F23"/>
    </sheetView>
  </sheetViews>
  <sheetFormatPr defaultColWidth="9.140625" defaultRowHeight="15.75" x14ac:dyDescent="0.25"/>
  <cols>
    <col min="1" max="1" width="5.5703125" style="116" customWidth="1"/>
    <col min="2" max="2" width="9.140625" style="116"/>
    <col min="3" max="3" width="35.28515625" style="116" customWidth="1"/>
    <col min="4" max="4" width="13.85546875" style="116" customWidth="1"/>
    <col min="5" max="5" width="24.85546875" style="116" customWidth="1"/>
    <col min="6" max="6" width="15.5703125" style="116" customWidth="1"/>
    <col min="7" max="7" width="14.85546875" style="116" customWidth="1"/>
    <col min="8" max="8" width="16.7109375" style="116" customWidth="1"/>
    <col min="9" max="10" width="13" style="116" customWidth="1"/>
    <col min="11" max="11" width="18" style="116" customWidth="1"/>
    <col min="12" max="12" width="9.140625" style="116"/>
  </cols>
  <sheetData>
    <row r="3" spans="2:11" x14ac:dyDescent="0.25">
      <c r="B3" s="238" t="s">
        <v>79</v>
      </c>
      <c r="C3" s="238"/>
      <c r="D3" s="238"/>
      <c r="E3" s="238"/>
      <c r="F3" s="238"/>
      <c r="G3" s="238"/>
      <c r="H3" s="238"/>
      <c r="I3" s="238"/>
      <c r="J3" s="238"/>
      <c r="K3" s="153"/>
    </row>
    <row r="4" spans="2:11" x14ac:dyDescent="0.25">
      <c r="B4" s="243" t="s">
        <v>80</v>
      </c>
      <c r="C4" s="243"/>
      <c r="D4" s="243"/>
      <c r="E4" s="243"/>
      <c r="F4" s="243"/>
      <c r="G4" s="243"/>
      <c r="H4" s="243"/>
      <c r="I4" s="243"/>
      <c r="J4" s="243"/>
      <c r="K4" s="243"/>
    </row>
    <row r="5" spans="2:11" x14ac:dyDescent="0.25">
      <c r="B5" s="154"/>
      <c r="C5" s="154"/>
      <c r="D5" s="154"/>
      <c r="E5" s="154"/>
      <c r="F5" s="154"/>
      <c r="G5" s="154"/>
      <c r="H5" s="154"/>
      <c r="I5" s="154"/>
      <c r="J5" s="154"/>
      <c r="K5" s="154"/>
    </row>
    <row r="6" spans="2:11" ht="29.25" customHeight="1" x14ac:dyDescent="0.25">
      <c r="B6" s="237" t="s">
        <v>48</v>
      </c>
      <c r="C6" s="237"/>
      <c r="D6" s="237"/>
      <c r="E6" s="237"/>
      <c r="F6" s="237"/>
      <c r="G6" s="237"/>
      <c r="H6" s="237"/>
      <c r="I6" s="237"/>
      <c r="J6" s="237"/>
      <c r="K6" s="237"/>
    </row>
    <row r="7" spans="2:11" x14ac:dyDescent="0.25">
      <c r="B7" s="237" t="s">
        <v>50</v>
      </c>
      <c r="C7" s="237"/>
      <c r="D7" s="237"/>
      <c r="E7" s="237"/>
      <c r="F7" s="237"/>
      <c r="G7" s="237"/>
      <c r="H7" s="237"/>
      <c r="I7" s="237"/>
      <c r="J7" s="237"/>
      <c r="K7" s="237"/>
    </row>
    <row r="8" spans="2:11" ht="18.75" customHeight="1" x14ac:dyDescent="0.25">
      <c r="B8" s="130"/>
    </row>
    <row r="9" spans="2:11" ht="15.75" customHeight="1" x14ac:dyDescent="0.25">
      <c r="B9" s="244" t="s">
        <v>33</v>
      </c>
      <c r="C9" s="244" t="s">
        <v>81</v>
      </c>
      <c r="D9" s="244" t="s">
        <v>82</v>
      </c>
      <c r="E9" s="244"/>
      <c r="F9" s="244"/>
      <c r="G9" s="244"/>
      <c r="H9" s="244"/>
      <c r="I9" s="244"/>
      <c r="J9" s="244"/>
    </row>
    <row r="10" spans="2:11" ht="15.75" customHeight="1" x14ac:dyDescent="0.25">
      <c r="B10" s="244"/>
      <c r="C10" s="244"/>
      <c r="D10" s="244" t="s">
        <v>83</v>
      </c>
      <c r="E10" s="244" t="s">
        <v>84</v>
      </c>
      <c r="F10" s="244" t="s">
        <v>85</v>
      </c>
      <c r="G10" s="244"/>
      <c r="H10" s="244"/>
      <c r="I10" s="244"/>
      <c r="J10" s="244"/>
    </row>
    <row r="11" spans="2:11" ht="31.7" customHeight="1" x14ac:dyDescent="0.25">
      <c r="B11" s="245"/>
      <c r="C11" s="245"/>
      <c r="D11" s="245"/>
      <c r="E11" s="245"/>
      <c r="F11" s="160" t="s">
        <v>86</v>
      </c>
      <c r="G11" s="160" t="s">
        <v>87</v>
      </c>
      <c r="H11" s="160" t="s">
        <v>43</v>
      </c>
      <c r="I11" s="160" t="s">
        <v>88</v>
      </c>
      <c r="J11" s="160" t="s">
        <v>89</v>
      </c>
    </row>
    <row r="12" spans="2:11" ht="47.25" customHeight="1" x14ac:dyDescent="0.25">
      <c r="B12" s="229"/>
      <c r="C12" s="229" t="s">
        <v>90</v>
      </c>
      <c r="D12" s="229"/>
      <c r="E12" s="229"/>
      <c r="F12" s="246">
        <v>122.68295809999999</v>
      </c>
      <c r="G12" s="247"/>
      <c r="H12" s="229">
        <v>27.568036800000002</v>
      </c>
      <c r="I12" s="229"/>
      <c r="J12" s="229">
        <v>150.25099489999999</v>
      </c>
    </row>
    <row r="13" spans="2:11" ht="15.75" customHeight="1" x14ac:dyDescent="0.25">
      <c r="B13" s="241" t="s">
        <v>91</v>
      </c>
      <c r="C13" s="241"/>
      <c r="D13" s="241"/>
      <c r="E13" s="241"/>
      <c r="F13" s="228"/>
      <c r="G13" s="228"/>
      <c r="H13" s="228"/>
      <c r="I13" s="228"/>
      <c r="J13" s="228"/>
    </row>
    <row r="14" spans="2:11" x14ac:dyDescent="0.25">
      <c r="B14" s="242" t="s">
        <v>92</v>
      </c>
      <c r="C14" s="242"/>
      <c r="D14" s="242"/>
      <c r="E14" s="242"/>
      <c r="F14" s="248">
        <f>F12</f>
        <v>122.68295809999999</v>
      </c>
      <c r="G14" s="249"/>
      <c r="H14" s="167">
        <f>H12</f>
        <v>27.568036800000002</v>
      </c>
      <c r="I14" s="167"/>
      <c r="J14" s="167">
        <f>J12</f>
        <v>150.25099489999999</v>
      </c>
    </row>
    <row r="15" spans="2:11" ht="15" customHeight="1" x14ac:dyDescent="0.25"/>
    <row r="16" spans="2:11" ht="15" customHeight="1" x14ac:dyDescent="0.25"/>
    <row r="17" spans="3:5" ht="15" customHeight="1" x14ac:dyDescent="0.25"/>
    <row r="18" spans="3:5" ht="15" customHeight="1" x14ac:dyDescent="0.25">
      <c r="C18" s="4" t="s">
        <v>93</v>
      </c>
      <c r="D18" s="12"/>
      <c r="E18" s="12"/>
    </row>
    <row r="19" spans="3:5" ht="15" customHeight="1" x14ac:dyDescent="0.25">
      <c r="C19" s="31" t="s">
        <v>76</v>
      </c>
      <c r="D19" s="12"/>
      <c r="E19" s="12"/>
    </row>
    <row r="20" spans="3:5" ht="15" customHeight="1" x14ac:dyDescent="0.25">
      <c r="C20" s="4"/>
      <c r="D20" s="12"/>
      <c r="E20" s="12"/>
    </row>
    <row r="21" spans="3:5" ht="15" customHeight="1" x14ac:dyDescent="0.25">
      <c r="C21" s="4" t="s">
        <v>94</v>
      </c>
      <c r="D21" s="12"/>
      <c r="E21" s="12"/>
    </row>
    <row r="22" spans="3:5" ht="15" customHeight="1" x14ac:dyDescent="0.25">
      <c r="C22" s="31" t="s">
        <v>78</v>
      </c>
      <c r="D22" s="12"/>
      <c r="E22" s="12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4">
    <mergeCell ref="B13:E13"/>
    <mergeCell ref="B14:E14"/>
    <mergeCell ref="B3:J3"/>
    <mergeCell ref="B4:K4"/>
    <mergeCell ref="B7:K7"/>
    <mergeCell ref="B9:B11"/>
    <mergeCell ref="C9:C11"/>
    <mergeCell ref="D9:J9"/>
    <mergeCell ref="D10:D11"/>
    <mergeCell ref="E10:E11"/>
    <mergeCell ref="F10:J10"/>
    <mergeCell ref="B6:K6"/>
    <mergeCell ref="F12:G12"/>
    <mergeCell ref="F14:G14"/>
  </mergeCells>
  <pageMargins left="0.7" right="0.7" top="0.75" bottom="0.75" header="0.3" footer="0.3"/>
  <pageSetup paperSize="9" scale="55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O73"/>
  <sheetViews>
    <sheetView view="pageBreakPreview" topLeftCell="A55" zoomScale="85" zoomScaleSheetLayoutView="85" workbookViewId="0">
      <selection activeCell="F80" sqref="F80"/>
    </sheetView>
  </sheetViews>
  <sheetFormatPr defaultColWidth="9.140625" defaultRowHeight="15.75" x14ac:dyDescent="0.25"/>
  <cols>
    <col min="1" max="1" width="9.140625" style="116"/>
    <col min="2" max="2" width="12.5703125" style="116" customWidth="1"/>
    <col min="3" max="3" width="22.42578125" style="116" customWidth="1"/>
    <col min="4" max="4" width="49.7109375" style="116" customWidth="1"/>
    <col min="5" max="5" width="10.140625" style="177" customWidth="1"/>
    <col min="6" max="6" width="20.7109375" style="177" customWidth="1"/>
    <col min="7" max="7" width="20" style="116" customWidth="1"/>
    <col min="8" max="8" width="16.7109375" style="153" customWidth="1"/>
    <col min="11" max="11" width="15" customWidth="1"/>
    <col min="15" max="15" width="9.140625" style="116"/>
  </cols>
  <sheetData>
    <row r="2" spans="1:15" s="212" customFormat="1" x14ac:dyDescent="0.25">
      <c r="A2" s="116"/>
      <c r="B2" s="116"/>
      <c r="C2" s="116"/>
      <c r="D2" s="116"/>
      <c r="E2" s="177"/>
      <c r="F2" s="177"/>
      <c r="G2" s="116"/>
      <c r="H2" s="207"/>
      <c r="O2" s="116"/>
    </row>
    <row r="3" spans="1:15" s="212" customFormat="1" x14ac:dyDescent="0.25">
      <c r="A3" s="116"/>
      <c r="B3" s="116"/>
      <c r="C3" s="116"/>
      <c r="D3" s="116"/>
      <c r="E3" s="177"/>
      <c r="F3" s="177"/>
      <c r="G3" s="116"/>
      <c r="H3" s="207"/>
      <c r="O3" s="116"/>
    </row>
    <row r="4" spans="1:15" x14ac:dyDescent="0.25">
      <c r="A4" s="238" t="s">
        <v>95</v>
      </c>
      <c r="B4" s="238"/>
      <c r="C4" s="238"/>
      <c r="D4" s="238"/>
      <c r="E4" s="238"/>
      <c r="F4" s="238"/>
      <c r="G4" s="238"/>
      <c r="H4" s="238"/>
    </row>
    <row r="5" spans="1:15" x14ac:dyDescent="0.25">
      <c r="A5" s="243" t="s">
        <v>96</v>
      </c>
      <c r="B5" s="243"/>
      <c r="C5" s="243"/>
      <c r="D5" s="243"/>
      <c r="E5" s="243"/>
      <c r="F5" s="243"/>
      <c r="G5" s="243"/>
      <c r="H5" s="243"/>
    </row>
    <row r="6" spans="1:15" ht="18.75" customHeight="1" x14ac:dyDescent="0.25">
      <c r="A6" s="173"/>
      <c r="B6" s="173"/>
      <c r="C6" s="256" t="s">
        <v>97</v>
      </c>
      <c r="D6" s="256"/>
      <c r="E6" s="256"/>
      <c r="F6" s="256"/>
      <c r="G6" s="256"/>
      <c r="H6" s="256"/>
    </row>
    <row r="7" spans="1:15" x14ac:dyDescent="0.25">
      <c r="A7" s="152"/>
    </row>
    <row r="8" spans="1:15" x14ac:dyDescent="0.25">
      <c r="A8" s="255" t="s">
        <v>98</v>
      </c>
      <c r="B8" s="255"/>
      <c r="C8" s="255"/>
      <c r="D8" s="255"/>
      <c r="E8" s="255"/>
      <c r="F8" s="255"/>
      <c r="G8" s="255"/>
      <c r="H8" s="255"/>
    </row>
    <row r="9" spans="1:15" x14ac:dyDescent="0.25">
      <c r="A9" s="155"/>
      <c r="B9" s="155"/>
      <c r="C9" s="155"/>
      <c r="D9" s="155"/>
      <c r="F9" s="154"/>
      <c r="G9" s="155"/>
    </row>
    <row r="10" spans="1:15" ht="38.25" customHeight="1" x14ac:dyDescent="0.25">
      <c r="A10" s="244" t="s">
        <v>99</v>
      </c>
      <c r="B10" s="244" t="s">
        <v>100</v>
      </c>
      <c r="C10" s="244" t="s">
        <v>101</v>
      </c>
      <c r="D10" s="244" t="s">
        <v>102</v>
      </c>
      <c r="E10" s="254" t="s">
        <v>103</v>
      </c>
      <c r="F10" s="244" t="s">
        <v>104</v>
      </c>
      <c r="G10" s="244" t="s">
        <v>105</v>
      </c>
      <c r="H10" s="244"/>
    </row>
    <row r="11" spans="1:15" ht="40.700000000000003" customHeight="1" x14ac:dyDescent="0.25">
      <c r="A11" s="244"/>
      <c r="B11" s="244"/>
      <c r="C11" s="244"/>
      <c r="D11" s="244"/>
      <c r="E11" s="254"/>
      <c r="F11" s="244"/>
      <c r="G11" s="120" t="s">
        <v>106</v>
      </c>
      <c r="H11" s="124" t="s">
        <v>107</v>
      </c>
    </row>
    <row r="12" spans="1:15" x14ac:dyDescent="0.25">
      <c r="A12" s="160">
        <v>1</v>
      </c>
      <c r="B12" s="160"/>
      <c r="C12" s="160">
        <v>2</v>
      </c>
      <c r="D12" s="160" t="s">
        <v>108</v>
      </c>
      <c r="E12" s="183">
        <v>4</v>
      </c>
      <c r="F12" s="160">
        <v>5</v>
      </c>
      <c r="G12" s="160">
        <v>6</v>
      </c>
      <c r="H12" s="179">
        <v>7</v>
      </c>
    </row>
    <row r="13" spans="1:15" s="157" customFormat="1" x14ac:dyDescent="0.25">
      <c r="A13" s="251" t="s">
        <v>109</v>
      </c>
      <c r="B13" s="252"/>
      <c r="C13" s="253"/>
      <c r="D13" s="253"/>
      <c r="E13" s="252"/>
      <c r="F13" s="178">
        <f>SUM(F14:F17)</f>
        <v>92.828999999999994</v>
      </c>
      <c r="G13" s="10"/>
      <c r="H13" s="171">
        <f>SUM(H14:H17)</f>
        <v>895.98</v>
      </c>
    </row>
    <row r="14" spans="1:15" x14ac:dyDescent="0.25">
      <c r="A14" s="172">
        <v>1</v>
      </c>
      <c r="B14" s="159"/>
      <c r="C14" s="145" t="s">
        <v>110</v>
      </c>
      <c r="D14" s="8" t="s">
        <v>111</v>
      </c>
      <c r="E14" s="184" t="s">
        <v>112</v>
      </c>
      <c r="F14" s="145">
        <v>30.536000000000001</v>
      </c>
      <c r="G14" s="175">
        <v>9.4</v>
      </c>
      <c r="H14" s="162">
        <f>ROUND(F14*G14,2)</f>
        <v>287.04000000000002</v>
      </c>
    </row>
    <row r="15" spans="1:15" x14ac:dyDescent="0.25">
      <c r="A15" s="172">
        <v>2</v>
      </c>
      <c r="B15" s="159"/>
      <c r="C15" s="145" t="s">
        <v>113</v>
      </c>
      <c r="D15" s="8" t="s">
        <v>114</v>
      </c>
      <c r="E15" s="184" t="s">
        <v>112</v>
      </c>
      <c r="F15" s="145">
        <v>23.22</v>
      </c>
      <c r="G15" s="175">
        <v>9.92</v>
      </c>
      <c r="H15" s="162">
        <f>ROUND(F15*G15,2)</f>
        <v>230.34</v>
      </c>
    </row>
    <row r="16" spans="1:15" x14ac:dyDescent="0.25">
      <c r="A16" s="172">
        <v>3</v>
      </c>
      <c r="B16" s="159"/>
      <c r="C16" s="145" t="s">
        <v>115</v>
      </c>
      <c r="D16" s="8" t="s">
        <v>116</v>
      </c>
      <c r="E16" s="184" t="s">
        <v>112</v>
      </c>
      <c r="F16" s="145">
        <v>19.402000000000001</v>
      </c>
      <c r="G16" s="175">
        <v>9.76</v>
      </c>
      <c r="H16" s="162">
        <f>ROUND(F16*G16,2)</f>
        <v>189.36</v>
      </c>
    </row>
    <row r="17" spans="1:8" x14ac:dyDescent="0.25">
      <c r="A17" s="172">
        <v>4</v>
      </c>
      <c r="B17" s="159"/>
      <c r="C17" s="145" t="s">
        <v>117</v>
      </c>
      <c r="D17" s="8" t="s">
        <v>118</v>
      </c>
      <c r="E17" s="184" t="s">
        <v>112</v>
      </c>
      <c r="F17" s="145">
        <v>19.670999999999999</v>
      </c>
      <c r="G17" s="175">
        <v>9.6199999999999992</v>
      </c>
      <c r="H17" s="162">
        <f>ROUND(F17*G17,2)</f>
        <v>189.24</v>
      </c>
    </row>
    <row r="18" spans="1:8" x14ac:dyDescent="0.25">
      <c r="A18" s="250" t="s">
        <v>119</v>
      </c>
      <c r="B18" s="250"/>
      <c r="C18" s="250"/>
      <c r="D18" s="250"/>
      <c r="E18" s="250"/>
      <c r="F18" s="186"/>
      <c r="G18" s="158"/>
      <c r="H18" s="171">
        <f>H19</f>
        <v>87.9</v>
      </c>
    </row>
    <row r="19" spans="1:8" x14ac:dyDescent="0.25">
      <c r="A19" s="172">
        <v>5</v>
      </c>
      <c r="B19" s="156"/>
      <c r="C19" s="169">
        <v>2</v>
      </c>
      <c r="D19" s="176" t="s">
        <v>120</v>
      </c>
      <c r="E19" s="184" t="s">
        <v>112</v>
      </c>
      <c r="F19" s="172">
        <v>6.3554000000000004</v>
      </c>
      <c r="G19" s="168"/>
      <c r="H19" s="180">
        <v>87.9</v>
      </c>
    </row>
    <row r="20" spans="1:8" s="157" customFormat="1" x14ac:dyDescent="0.25">
      <c r="A20" s="251" t="s">
        <v>121</v>
      </c>
      <c r="B20" s="252"/>
      <c r="C20" s="253"/>
      <c r="D20" s="253"/>
      <c r="E20" s="252"/>
      <c r="F20" s="186"/>
      <c r="G20" s="158"/>
      <c r="H20" s="171">
        <f>SUM(H21:H29)</f>
        <v>1274.52</v>
      </c>
    </row>
    <row r="21" spans="1:8" ht="25.5" customHeight="1" x14ac:dyDescent="0.25">
      <c r="A21" s="172">
        <v>6</v>
      </c>
      <c r="B21" s="156"/>
      <c r="C21" s="145" t="s">
        <v>122</v>
      </c>
      <c r="D21" s="8" t="s">
        <v>123</v>
      </c>
      <c r="E21" s="184" t="s">
        <v>124</v>
      </c>
      <c r="F21" s="145">
        <v>2.48</v>
      </c>
      <c r="G21" s="101">
        <v>197.01</v>
      </c>
      <c r="H21" s="162">
        <f t="shared" ref="H21:H29" si="0">ROUND(F21*G21,2)</f>
        <v>488.58</v>
      </c>
    </row>
    <row r="22" spans="1:8" s="157" customFormat="1" ht="25.5" x14ac:dyDescent="0.25">
      <c r="A22" s="172">
        <v>7</v>
      </c>
      <c r="B22" s="156"/>
      <c r="C22" s="145" t="s">
        <v>125</v>
      </c>
      <c r="D22" s="8" t="s">
        <v>126</v>
      </c>
      <c r="E22" s="184" t="s">
        <v>124</v>
      </c>
      <c r="F22" s="145">
        <v>3.8090999999999999</v>
      </c>
      <c r="G22" s="101">
        <v>111.99</v>
      </c>
      <c r="H22" s="162">
        <f t="shared" si="0"/>
        <v>426.58</v>
      </c>
    </row>
    <row r="23" spans="1:8" x14ac:dyDescent="0.25">
      <c r="A23" s="172">
        <v>8</v>
      </c>
      <c r="B23" s="156"/>
      <c r="C23" s="145" t="s">
        <v>127</v>
      </c>
      <c r="D23" s="8" t="s">
        <v>128</v>
      </c>
      <c r="E23" s="184" t="s">
        <v>124</v>
      </c>
      <c r="F23" s="145">
        <v>2.8767999999999998</v>
      </c>
      <c r="G23" s="101">
        <v>65.709999999999994</v>
      </c>
      <c r="H23" s="162">
        <f t="shared" si="0"/>
        <v>189.03</v>
      </c>
    </row>
    <row r="24" spans="1:8" ht="25.5" customHeight="1" x14ac:dyDescent="0.25">
      <c r="A24" s="172">
        <v>9</v>
      </c>
      <c r="B24" s="156"/>
      <c r="C24" s="145" t="s">
        <v>129</v>
      </c>
      <c r="D24" s="8" t="s">
        <v>130</v>
      </c>
      <c r="E24" s="184" t="s">
        <v>124</v>
      </c>
      <c r="F24" s="145">
        <v>17.000800000000002</v>
      </c>
      <c r="G24" s="101">
        <v>8.1</v>
      </c>
      <c r="H24" s="162">
        <f t="shared" si="0"/>
        <v>137.71</v>
      </c>
    </row>
    <row r="25" spans="1:8" ht="25.5" customHeight="1" x14ac:dyDescent="0.25">
      <c r="A25" s="172">
        <v>10</v>
      </c>
      <c r="B25" s="156"/>
      <c r="C25" s="145" t="s">
        <v>131</v>
      </c>
      <c r="D25" s="8" t="s">
        <v>132</v>
      </c>
      <c r="E25" s="184" t="s">
        <v>124</v>
      </c>
      <c r="F25" s="145">
        <v>4.6440000000000001</v>
      </c>
      <c r="G25" s="101">
        <v>3.28</v>
      </c>
      <c r="H25" s="162">
        <f t="shared" si="0"/>
        <v>15.23</v>
      </c>
    </row>
    <row r="26" spans="1:8" x14ac:dyDescent="0.25">
      <c r="A26" s="172">
        <v>11</v>
      </c>
      <c r="B26" s="156"/>
      <c r="C26" s="145" t="s">
        <v>133</v>
      </c>
      <c r="D26" s="8" t="s">
        <v>134</v>
      </c>
      <c r="E26" s="184" t="s">
        <v>124</v>
      </c>
      <c r="F26" s="145">
        <v>3.9049999999999998</v>
      </c>
      <c r="G26" s="101">
        <v>2.08</v>
      </c>
      <c r="H26" s="162">
        <f t="shared" si="0"/>
        <v>8.1199999999999992</v>
      </c>
    </row>
    <row r="27" spans="1:8" ht="25.5" customHeight="1" x14ac:dyDescent="0.25">
      <c r="A27" s="172">
        <v>12</v>
      </c>
      <c r="B27" s="156"/>
      <c r="C27" s="145" t="s">
        <v>135</v>
      </c>
      <c r="D27" s="8" t="s">
        <v>136</v>
      </c>
      <c r="E27" s="184" t="s">
        <v>124</v>
      </c>
      <c r="F27" s="145">
        <v>6.6299999999999998E-2</v>
      </c>
      <c r="G27" s="101">
        <v>70.010000000000005</v>
      </c>
      <c r="H27" s="162">
        <f t="shared" si="0"/>
        <v>4.6399999999999997</v>
      </c>
    </row>
    <row r="28" spans="1:8" x14ac:dyDescent="0.25">
      <c r="A28" s="172">
        <v>13</v>
      </c>
      <c r="B28" s="156"/>
      <c r="C28" s="145" t="s">
        <v>137</v>
      </c>
      <c r="D28" s="8" t="s">
        <v>138</v>
      </c>
      <c r="E28" s="184" t="s">
        <v>124</v>
      </c>
      <c r="F28" s="145">
        <v>4.6440000000000001</v>
      </c>
      <c r="G28" s="101">
        <v>0.9</v>
      </c>
      <c r="H28" s="162">
        <f t="shared" si="0"/>
        <v>4.18</v>
      </c>
    </row>
    <row r="29" spans="1:8" x14ac:dyDescent="0.25">
      <c r="A29" s="172">
        <v>14</v>
      </c>
      <c r="B29" s="156"/>
      <c r="C29" s="145" t="s">
        <v>139</v>
      </c>
      <c r="D29" s="8" t="s">
        <v>140</v>
      </c>
      <c r="E29" s="184" t="s">
        <v>124</v>
      </c>
      <c r="F29" s="145">
        <v>0.2379</v>
      </c>
      <c r="G29" s="101">
        <v>1.9</v>
      </c>
      <c r="H29" s="162">
        <f t="shared" si="0"/>
        <v>0.45</v>
      </c>
    </row>
    <row r="30" spans="1:8" ht="15" customHeight="1" x14ac:dyDescent="0.25">
      <c r="A30" s="250" t="s">
        <v>43</v>
      </c>
      <c r="B30" s="250"/>
      <c r="C30" s="250"/>
      <c r="D30" s="250"/>
      <c r="E30" s="250"/>
      <c r="F30" s="187"/>
      <c r="G30" s="10"/>
      <c r="H30" s="171">
        <f>SUM(H31:H32)</f>
        <v>4958.28</v>
      </c>
    </row>
    <row r="31" spans="1:8" ht="15" customHeight="1" x14ac:dyDescent="0.25">
      <c r="A31" s="170">
        <v>15</v>
      </c>
      <c r="B31" s="102"/>
      <c r="C31" s="169" t="s">
        <v>141</v>
      </c>
      <c r="D31" s="181" t="s">
        <v>142</v>
      </c>
      <c r="E31" s="185" t="s">
        <v>143</v>
      </c>
      <c r="F31" s="185">
        <v>1</v>
      </c>
      <c r="G31" s="181">
        <v>3861</v>
      </c>
      <c r="H31" s="162">
        <f>ROUND(F31*G31,2)</f>
        <v>3861</v>
      </c>
    </row>
    <row r="32" spans="1:8" ht="18" customHeight="1" x14ac:dyDescent="0.25">
      <c r="A32" s="170">
        <v>16</v>
      </c>
      <c r="B32" s="102"/>
      <c r="C32" s="169" t="s">
        <v>144</v>
      </c>
      <c r="D32" s="182" t="s">
        <v>145</v>
      </c>
      <c r="E32" s="185" t="s">
        <v>146</v>
      </c>
      <c r="F32" s="185">
        <v>1</v>
      </c>
      <c r="G32" s="193">
        <v>1097.28</v>
      </c>
      <c r="H32" s="194">
        <f>ROUND(F32*G32,2)</f>
        <v>1097.28</v>
      </c>
    </row>
    <row r="33" spans="1:8" x14ac:dyDescent="0.25">
      <c r="A33" s="251" t="s">
        <v>147</v>
      </c>
      <c r="B33" s="252"/>
      <c r="C33" s="253"/>
      <c r="D33" s="253"/>
      <c r="E33" s="252"/>
      <c r="F33" s="186"/>
      <c r="G33" s="158"/>
      <c r="H33" s="171">
        <f>SUM(H34:H66)</f>
        <v>11957.47</v>
      </c>
    </row>
    <row r="34" spans="1:8" ht="38.25" customHeight="1" x14ac:dyDescent="0.25">
      <c r="A34" s="170">
        <v>17</v>
      </c>
      <c r="B34" s="156"/>
      <c r="C34" s="145" t="s">
        <v>148</v>
      </c>
      <c r="D34" s="8" t="s">
        <v>149</v>
      </c>
      <c r="E34" s="2" t="s">
        <v>150</v>
      </c>
      <c r="F34" s="145">
        <v>0.61199999999999999</v>
      </c>
      <c r="G34" s="101">
        <v>8128</v>
      </c>
      <c r="H34" s="162">
        <f t="shared" ref="H34:H66" si="1">ROUND(F34*G34,2)</f>
        <v>4974.34</v>
      </c>
    </row>
    <row r="35" spans="1:8" ht="38.25" customHeight="1" x14ac:dyDescent="0.25">
      <c r="A35" s="170">
        <v>18</v>
      </c>
      <c r="B35" s="156"/>
      <c r="C35" s="145" t="s">
        <v>151</v>
      </c>
      <c r="D35" s="8" t="s">
        <v>152</v>
      </c>
      <c r="E35" s="2" t="s">
        <v>150</v>
      </c>
      <c r="F35" s="145">
        <v>0.58799999999999997</v>
      </c>
      <c r="G35" s="101">
        <v>5999.99</v>
      </c>
      <c r="H35" s="162">
        <f t="shared" si="1"/>
        <v>3527.99</v>
      </c>
    </row>
    <row r="36" spans="1:8" ht="38.25" customHeight="1" x14ac:dyDescent="0.25">
      <c r="A36" s="170">
        <v>19</v>
      </c>
      <c r="B36" s="156"/>
      <c r="C36" s="145" t="s">
        <v>153</v>
      </c>
      <c r="D36" s="8" t="s">
        <v>154</v>
      </c>
      <c r="E36" s="2" t="s">
        <v>155</v>
      </c>
      <c r="F36" s="145">
        <v>110</v>
      </c>
      <c r="G36" s="101">
        <v>8.2799999999999994</v>
      </c>
      <c r="H36" s="162">
        <f t="shared" si="1"/>
        <v>910.8</v>
      </c>
    </row>
    <row r="37" spans="1:8" x14ac:dyDescent="0.25">
      <c r="A37" s="170">
        <v>20</v>
      </c>
      <c r="B37" s="156"/>
      <c r="C37" s="145" t="s">
        <v>156</v>
      </c>
      <c r="D37" s="8" t="s">
        <v>157</v>
      </c>
      <c r="E37" s="2" t="s">
        <v>158</v>
      </c>
      <c r="F37" s="145">
        <v>1</v>
      </c>
      <c r="G37" s="101">
        <v>682</v>
      </c>
      <c r="H37" s="162">
        <f t="shared" si="1"/>
        <v>682</v>
      </c>
    </row>
    <row r="38" spans="1:8" ht="25.5" customHeight="1" x14ac:dyDescent="0.25">
      <c r="A38" s="170">
        <v>21</v>
      </c>
      <c r="B38" s="156"/>
      <c r="C38" s="145" t="s">
        <v>159</v>
      </c>
      <c r="D38" s="8" t="s">
        <v>160</v>
      </c>
      <c r="E38" s="2" t="s">
        <v>161</v>
      </c>
      <c r="F38" s="145">
        <v>0.03</v>
      </c>
      <c r="G38" s="101">
        <v>17230.189999999999</v>
      </c>
      <c r="H38" s="162">
        <f t="shared" si="1"/>
        <v>516.91</v>
      </c>
    </row>
    <row r="39" spans="1:8" x14ac:dyDescent="0.25">
      <c r="A39" s="170">
        <v>22</v>
      </c>
      <c r="B39" s="156"/>
      <c r="C39" s="145" t="s">
        <v>162</v>
      </c>
      <c r="D39" s="8" t="s">
        <v>163</v>
      </c>
      <c r="E39" s="2" t="s">
        <v>164</v>
      </c>
      <c r="F39" s="145">
        <v>1.1000000000000001</v>
      </c>
      <c r="G39" s="101">
        <v>277.5</v>
      </c>
      <c r="H39" s="162">
        <f t="shared" si="1"/>
        <v>305.25</v>
      </c>
    </row>
    <row r="40" spans="1:8" ht="25.5" customHeight="1" x14ac:dyDescent="0.25">
      <c r="A40" s="170">
        <v>23</v>
      </c>
      <c r="B40" s="156"/>
      <c r="C40" s="145" t="s">
        <v>165</v>
      </c>
      <c r="D40" s="8" t="s">
        <v>166</v>
      </c>
      <c r="E40" s="2" t="s">
        <v>150</v>
      </c>
      <c r="F40" s="145">
        <v>5.6649999999999999E-2</v>
      </c>
      <c r="G40" s="101">
        <v>5000</v>
      </c>
      <c r="H40" s="162">
        <f t="shared" si="1"/>
        <v>283.25</v>
      </c>
    </row>
    <row r="41" spans="1:8" ht="25.5" customHeight="1" x14ac:dyDescent="0.25">
      <c r="A41" s="170">
        <v>24</v>
      </c>
      <c r="B41" s="156"/>
      <c r="C41" s="145" t="s">
        <v>167</v>
      </c>
      <c r="D41" s="8" t="s">
        <v>168</v>
      </c>
      <c r="E41" s="2" t="s">
        <v>150</v>
      </c>
      <c r="F41" s="145">
        <v>0.02</v>
      </c>
      <c r="G41" s="101">
        <v>11500</v>
      </c>
      <c r="H41" s="162">
        <f t="shared" si="1"/>
        <v>230</v>
      </c>
    </row>
    <row r="42" spans="1:8" ht="25.5" customHeight="1" x14ac:dyDescent="0.25">
      <c r="A42" s="170">
        <v>25</v>
      </c>
      <c r="B42" s="156"/>
      <c r="C42" s="145" t="s">
        <v>169</v>
      </c>
      <c r="D42" s="8" t="s">
        <v>170</v>
      </c>
      <c r="E42" s="2" t="s">
        <v>158</v>
      </c>
      <c r="F42" s="145">
        <v>0.29099999999999998</v>
      </c>
      <c r="G42" s="101">
        <v>600</v>
      </c>
      <c r="H42" s="162">
        <f t="shared" si="1"/>
        <v>174.6</v>
      </c>
    </row>
    <row r="43" spans="1:8" x14ac:dyDescent="0.25">
      <c r="A43" s="170">
        <v>26</v>
      </c>
      <c r="B43" s="156"/>
      <c r="C43" s="145" t="s">
        <v>171</v>
      </c>
      <c r="D43" s="8" t="s">
        <v>172</v>
      </c>
      <c r="E43" s="2" t="s">
        <v>161</v>
      </c>
      <c r="F43" s="145">
        <v>0.1</v>
      </c>
      <c r="G43" s="101">
        <v>887.03</v>
      </c>
      <c r="H43" s="162">
        <f t="shared" si="1"/>
        <v>88.7</v>
      </c>
    </row>
    <row r="44" spans="1:8" ht="25.5" customHeight="1" x14ac:dyDescent="0.25">
      <c r="A44" s="170">
        <v>27</v>
      </c>
      <c r="B44" s="156"/>
      <c r="C44" s="145" t="s">
        <v>173</v>
      </c>
      <c r="D44" s="8" t="s">
        <v>174</v>
      </c>
      <c r="E44" s="2" t="s">
        <v>150</v>
      </c>
      <c r="F44" s="145">
        <v>6.9999999999999999E-4</v>
      </c>
      <c r="G44" s="101">
        <v>86162.5</v>
      </c>
      <c r="H44" s="162">
        <f t="shared" si="1"/>
        <v>60.31</v>
      </c>
    </row>
    <row r="45" spans="1:8" ht="25.5" customHeight="1" x14ac:dyDescent="0.25">
      <c r="A45" s="170">
        <v>28</v>
      </c>
      <c r="B45" s="156"/>
      <c r="C45" s="145" t="s">
        <v>175</v>
      </c>
      <c r="D45" s="8" t="s">
        <v>176</v>
      </c>
      <c r="E45" s="2" t="s">
        <v>161</v>
      </c>
      <c r="F45" s="145">
        <v>0.03</v>
      </c>
      <c r="G45" s="101">
        <v>1335.52</v>
      </c>
      <c r="H45" s="162">
        <f t="shared" si="1"/>
        <v>40.07</v>
      </c>
    </row>
    <row r="46" spans="1:8" x14ac:dyDescent="0.25">
      <c r="A46" s="170">
        <v>29</v>
      </c>
      <c r="B46" s="156"/>
      <c r="C46" s="145" t="s">
        <v>177</v>
      </c>
      <c r="D46" s="8" t="s">
        <v>178</v>
      </c>
      <c r="E46" s="2" t="s">
        <v>150</v>
      </c>
      <c r="F46" s="145">
        <v>2.398E-3</v>
      </c>
      <c r="G46" s="101">
        <v>12430</v>
      </c>
      <c r="H46" s="162">
        <f t="shared" si="1"/>
        <v>29.81</v>
      </c>
    </row>
    <row r="47" spans="1:8" s="157" customFormat="1" x14ac:dyDescent="0.25">
      <c r="A47" s="170">
        <v>30</v>
      </c>
      <c r="B47" s="156"/>
      <c r="C47" s="145" t="s">
        <v>179</v>
      </c>
      <c r="D47" s="8" t="s">
        <v>180</v>
      </c>
      <c r="E47" s="2" t="s">
        <v>164</v>
      </c>
      <c r="F47" s="145">
        <v>0.55000000000000004</v>
      </c>
      <c r="G47" s="101">
        <v>39</v>
      </c>
      <c r="H47" s="162">
        <f t="shared" si="1"/>
        <v>21.45</v>
      </c>
    </row>
    <row r="48" spans="1:8" ht="25.5" customHeight="1" x14ac:dyDescent="0.25">
      <c r="A48" s="170">
        <v>31</v>
      </c>
      <c r="B48" s="156"/>
      <c r="C48" s="145" t="s">
        <v>181</v>
      </c>
      <c r="D48" s="8" t="s">
        <v>182</v>
      </c>
      <c r="E48" s="2" t="s">
        <v>158</v>
      </c>
      <c r="F48" s="145">
        <v>3.1E-2</v>
      </c>
      <c r="G48" s="101">
        <v>684</v>
      </c>
      <c r="H48" s="162">
        <f t="shared" si="1"/>
        <v>21.2</v>
      </c>
    </row>
    <row r="49" spans="1:8" x14ac:dyDescent="0.25">
      <c r="A49" s="170">
        <v>32</v>
      </c>
      <c r="B49" s="156"/>
      <c r="C49" s="145" t="s">
        <v>183</v>
      </c>
      <c r="D49" s="8" t="s">
        <v>184</v>
      </c>
      <c r="E49" s="2" t="s">
        <v>185</v>
      </c>
      <c r="F49" s="145">
        <v>1.905</v>
      </c>
      <c r="G49" s="101">
        <v>9.0399999999999991</v>
      </c>
      <c r="H49" s="162">
        <f t="shared" si="1"/>
        <v>17.22</v>
      </c>
    </row>
    <row r="50" spans="1:8" ht="25.5" customHeight="1" x14ac:dyDescent="0.25">
      <c r="A50" s="170">
        <v>33</v>
      </c>
      <c r="B50" s="156"/>
      <c r="C50" s="145" t="s">
        <v>186</v>
      </c>
      <c r="D50" s="8" t="s">
        <v>187</v>
      </c>
      <c r="E50" s="2" t="s">
        <v>188</v>
      </c>
      <c r="F50" s="145">
        <v>14.13885</v>
      </c>
      <c r="G50" s="101">
        <v>1</v>
      </c>
      <c r="H50" s="162">
        <f t="shared" si="1"/>
        <v>14.14</v>
      </c>
    </row>
    <row r="51" spans="1:8" x14ac:dyDescent="0.25">
      <c r="A51" s="170">
        <v>34</v>
      </c>
      <c r="B51" s="156"/>
      <c r="C51" s="145" t="s">
        <v>189</v>
      </c>
      <c r="D51" s="8" t="s">
        <v>190</v>
      </c>
      <c r="E51" s="2" t="s">
        <v>185</v>
      </c>
      <c r="F51" s="145">
        <v>1.3260000000000001</v>
      </c>
      <c r="G51" s="101">
        <v>10.57</v>
      </c>
      <c r="H51" s="162">
        <f t="shared" si="1"/>
        <v>14.02</v>
      </c>
    </row>
    <row r="52" spans="1:8" x14ac:dyDescent="0.25">
      <c r="A52" s="170">
        <v>35</v>
      </c>
      <c r="B52" s="156"/>
      <c r="C52" s="145" t="s">
        <v>191</v>
      </c>
      <c r="D52" s="8" t="s">
        <v>192</v>
      </c>
      <c r="E52" s="2" t="s">
        <v>143</v>
      </c>
      <c r="F52" s="145">
        <v>0.05</v>
      </c>
      <c r="G52" s="101">
        <v>266.67</v>
      </c>
      <c r="H52" s="162">
        <f t="shared" si="1"/>
        <v>13.33</v>
      </c>
    </row>
    <row r="53" spans="1:8" x14ac:dyDescent="0.25">
      <c r="A53" s="170">
        <v>36</v>
      </c>
      <c r="B53" s="156"/>
      <c r="C53" s="145" t="s">
        <v>193</v>
      </c>
      <c r="D53" s="8" t="s">
        <v>194</v>
      </c>
      <c r="E53" s="2" t="s">
        <v>143</v>
      </c>
      <c r="F53" s="145">
        <v>11</v>
      </c>
      <c r="G53" s="101">
        <v>0.71</v>
      </c>
      <c r="H53" s="162">
        <f t="shared" si="1"/>
        <v>7.81</v>
      </c>
    </row>
    <row r="54" spans="1:8" x14ac:dyDescent="0.25">
      <c r="A54" s="170">
        <v>37</v>
      </c>
      <c r="B54" s="156"/>
      <c r="C54" s="145" t="s">
        <v>195</v>
      </c>
      <c r="D54" s="8" t="s">
        <v>196</v>
      </c>
      <c r="E54" s="2" t="s">
        <v>150</v>
      </c>
      <c r="F54" s="145">
        <v>3.7199999999999999E-4</v>
      </c>
      <c r="G54" s="101">
        <v>12430</v>
      </c>
      <c r="H54" s="162">
        <f t="shared" si="1"/>
        <v>4.62</v>
      </c>
    </row>
    <row r="55" spans="1:8" x14ac:dyDescent="0.25">
      <c r="A55" s="170">
        <v>38</v>
      </c>
      <c r="B55" s="156"/>
      <c r="C55" s="145" t="s">
        <v>197</v>
      </c>
      <c r="D55" s="8" t="s">
        <v>198</v>
      </c>
      <c r="E55" s="2" t="s">
        <v>150</v>
      </c>
      <c r="F55" s="145">
        <v>4.9799999999999996E-4</v>
      </c>
      <c r="G55" s="101">
        <v>7826.9</v>
      </c>
      <c r="H55" s="162">
        <f t="shared" si="1"/>
        <v>3.9</v>
      </c>
    </row>
    <row r="56" spans="1:8" x14ac:dyDescent="0.25">
      <c r="A56" s="170">
        <v>39</v>
      </c>
      <c r="B56" s="156"/>
      <c r="C56" s="145" t="s">
        <v>199</v>
      </c>
      <c r="D56" s="8" t="s">
        <v>200</v>
      </c>
      <c r="E56" s="2" t="s">
        <v>201</v>
      </c>
      <c r="F56" s="145">
        <v>2.5260000000000001E-2</v>
      </c>
      <c r="G56" s="101">
        <v>120</v>
      </c>
      <c r="H56" s="162">
        <f t="shared" si="1"/>
        <v>3.03</v>
      </c>
    </row>
    <row r="57" spans="1:8" x14ac:dyDescent="0.25">
      <c r="A57" s="170">
        <v>40</v>
      </c>
      <c r="B57" s="156"/>
      <c r="C57" s="145" t="s">
        <v>202</v>
      </c>
      <c r="D57" s="8" t="s">
        <v>203</v>
      </c>
      <c r="E57" s="2" t="s">
        <v>204</v>
      </c>
      <c r="F57" s="145">
        <v>1.0999999999999999E-2</v>
      </c>
      <c r="G57" s="101">
        <v>270</v>
      </c>
      <c r="H57" s="162">
        <f t="shared" si="1"/>
        <v>2.97</v>
      </c>
    </row>
    <row r="58" spans="1:8" x14ac:dyDescent="0.25">
      <c r="A58" s="170">
        <v>41</v>
      </c>
      <c r="B58" s="156"/>
      <c r="C58" s="145" t="s">
        <v>205</v>
      </c>
      <c r="D58" s="8" t="s">
        <v>206</v>
      </c>
      <c r="E58" s="2" t="s">
        <v>150</v>
      </c>
      <c r="F58" s="145">
        <v>2.9999999999999997E-4</v>
      </c>
      <c r="G58" s="101">
        <v>9424</v>
      </c>
      <c r="H58" s="162">
        <f t="shared" si="1"/>
        <v>2.83</v>
      </c>
    </row>
    <row r="59" spans="1:8" ht="25.5" customHeight="1" x14ac:dyDescent="0.25">
      <c r="A59" s="170">
        <v>42</v>
      </c>
      <c r="B59" s="156"/>
      <c r="C59" s="145" t="s">
        <v>207</v>
      </c>
      <c r="D59" s="8" t="s">
        <v>208</v>
      </c>
      <c r="E59" s="2" t="s">
        <v>158</v>
      </c>
      <c r="F59" s="145">
        <v>5.0000000000000001E-3</v>
      </c>
      <c r="G59" s="101">
        <v>558.33000000000004</v>
      </c>
      <c r="H59" s="162">
        <f t="shared" si="1"/>
        <v>2.79</v>
      </c>
    </row>
    <row r="60" spans="1:8" ht="25.5" customHeight="1" x14ac:dyDescent="0.25">
      <c r="A60" s="170">
        <v>43</v>
      </c>
      <c r="B60" s="156"/>
      <c r="C60" s="145" t="s">
        <v>209</v>
      </c>
      <c r="D60" s="8" t="s">
        <v>210</v>
      </c>
      <c r="E60" s="2" t="s">
        <v>204</v>
      </c>
      <c r="F60" s="145">
        <v>1.06E-3</v>
      </c>
      <c r="G60" s="101">
        <v>1740.2</v>
      </c>
      <c r="H60" s="162">
        <f t="shared" si="1"/>
        <v>1.84</v>
      </c>
    </row>
    <row r="61" spans="1:8" x14ac:dyDescent="0.25">
      <c r="A61" s="170">
        <v>44</v>
      </c>
      <c r="B61" s="156"/>
      <c r="C61" s="145" t="s">
        <v>211</v>
      </c>
      <c r="D61" s="8" t="s">
        <v>212</v>
      </c>
      <c r="E61" s="2" t="s">
        <v>185</v>
      </c>
      <c r="F61" s="145">
        <v>0.03</v>
      </c>
      <c r="G61" s="101">
        <v>28.6</v>
      </c>
      <c r="H61" s="162">
        <f t="shared" si="1"/>
        <v>0.86</v>
      </c>
    </row>
    <row r="62" spans="1:8" s="157" customFormat="1" x14ac:dyDescent="0.25">
      <c r="A62" s="170">
        <v>45</v>
      </c>
      <c r="B62" s="156"/>
      <c r="C62" s="145" t="s">
        <v>213</v>
      </c>
      <c r="D62" s="8" t="s">
        <v>214</v>
      </c>
      <c r="E62" s="2" t="s">
        <v>215</v>
      </c>
      <c r="F62" s="145">
        <v>4.0000000000000001E-3</v>
      </c>
      <c r="G62" s="101">
        <v>110</v>
      </c>
      <c r="H62" s="162">
        <f t="shared" si="1"/>
        <v>0.44</v>
      </c>
    </row>
    <row r="63" spans="1:8" ht="25.5" customHeight="1" x14ac:dyDescent="0.25">
      <c r="A63" s="170">
        <v>46</v>
      </c>
      <c r="B63" s="156"/>
      <c r="C63" s="145" t="s">
        <v>216</v>
      </c>
      <c r="D63" s="8" t="s">
        <v>217</v>
      </c>
      <c r="E63" s="2" t="s">
        <v>150</v>
      </c>
      <c r="F63" s="145">
        <v>8.9999999999999998E-4</v>
      </c>
      <c r="G63" s="101">
        <v>480</v>
      </c>
      <c r="H63" s="162">
        <f t="shared" si="1"/>
        <v>0.43</v>
      </c>
    </row>
    <row r="64" spans="1:8" x14ac:dyDescent="0.25">
      <c r="A64" s="170">
        <v>47</v>
      </c>
      <c r="B64" s="156"/>
      <c r="C64" s="145" t="s">
        <v>218</v>
      </c>
      <c r="D64" s="8" t="s">
        <v>219</v>
      </c>
      <c r="E64" s="2" t="s">
        <v>185</v>
      </c>
      <c r="F64" s="145">
        <v>0.06</v>
      </c>
      <c r="G64" s="101">
        <v>6.4</v>
      </c>
      <c r="H64" s="162">
        <f t="shared" si="1"/>
        <v>0.38</v>
      </c>
    </row>
    <row r="65" spans="1:8" x14ac:dyDescent="0.25">
      <c r="A65" s="170">
        <v>48</v>
      </c>
      <c r="B65" s="156"/>
      <c r="C65" s="145" t="s">
        <v>220</v>
      </c>
      <c r="D65" s="8" t="s">
        <v>221</v>
      </c>
      <c r="E65" s="2" t="s">
        <v>158</v>
      </c>
      <c r="F65" s="145">
        <v>3.1E-4</v>
      </c>
      <c r="G65" s="101">
        <v>463.3</v>
      </c>
      <c r="H65" s="162">
        <f t="shared" si="1"/>
        <v>0.14000000000000001</v>
      </c>
    </row>
    <row r="66" spans="1:8" ht="38.25" customHeight="1" x14ac:dyDescent="0.25">
      <c r="A66" s="170">
        <v>49</v>
      </c>
      <c r="B66" s="156"/>
      <c r="C66" s="145" t="s">
        <v>222</v>
      </c>
      <c r="D66" s="8" t="s">
        <v>223</v>
      </c>
      <c r="E66" s="2" t="s">
        <v>158</v>
      </c>
      <c r="F66" s="145">
        <v>7.5000000000000002E-4</v>
      </c>
      <c r="G66" s="101">
        <v>55.26</v>
      </c>
      <c r="H66" s="162">
        <f t="shared" si="1"/>
        <v>0.04</v>
      </c>
    </row>
    <row r="69" spans="1:8" x14ac:dyDescent="0.25">
      <c r="B69" s="116" t="s">
        <v>93</v>
      </c>
    </row>
    <row r="70" spans="1:8" x14ac:dyDescent="0.25">
      <c r="B70" s="153" t="s">
        <v>76</v>
      </c>
    </row>
    <row r="72" spans="1:8" x14ac:dyDescent="0.25">
      <c r="B72" s="116" t="s">
        <v>94</v>
      </c>
    </row>
    <row r="73" spans="1:8" x14ac:dyDescent="0.25">
      <c r="B73" s="153" t="s">
        <v>78</v>
      </c>
    </row>
  </sheetData>
  <mergeCells count="16">
    <mergeCell ref="A4:H4"/>
    <mergeCell ref="A5:H5"/>
    <mergeCell ref="A8:H8"/>
    <mergeCell ref="A10:A11"/>
    <mergeCell ref="B10:B11"/>
    <mergeCell ref="C10:C11"/>
    <mergeCell ref="C6:H6"/>
    <mergeCell ref="F10:F11"/>
    <mergeCell ref="G10:H10"/>
    <mergeCell ref="A18:E18"/>
    <mergeCell ref="A33:E33"/>
    <mergeCell ref="A13:E13"/>
    <mergeCell ref="A20:E20"/>
    <mergeCell ref="D10:D11"/>
    <mergeCell ref="E10:E11"/>
    <mergeCell ref="A30:E30"/>
  </mergeCells>
  <conditionalFormatting sqref="C21:C29">
    <cfRule type="duplicateValues" dxfId="5" priority="1"/>
  </conditionalFormatting>
  <conditionalFormatting sqref="C34:C66">
    <cfRule type="duplicateValues" dxfId="4" priority="2"/>
  </conditionalFormatting>
  <pageMargins left="0.70866141732283505" right="0.70866141732283505" top="0.74803149606299202" bottom="0.74803149606299202" header="0.31496062992126" footer="0.31496062992126"/>
  <pageSetup paperSize="9" scale="82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J50"/>
  <sheetViews>
    <sheetView tabSelected="1" view="pageBreakPreview" workbookViewId="0">
      <selection activeCell="G11" sqref="G11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11.42578125" customWidth="1"/>
    <col min="7" max="7" width="14.42578125" customWidth="1"/>
    <col min="12" max="12" width="13.5703125" customWidth="1"/>
  </cols>
  <sheetData>
    <row r="1" spans="2:36" x14ac:dyDescent="0.25">
      <c r="B1" s="4"/>
      <c r="C1" s="4"/>
      <c r="D1" s="4"/>
      <c r="E1" s="4"/>
    </row>
    <row r="2" spans="2:36" x14ac:dyDescent="0.25">
      <c r="B2" s="4"/>
      <c r="C2" s="4"/>
      <c r="D2" s="4"/>
      <c r="E2" s="50" t="s">
        <v>224</v>
      </c>
    </row>
    <row r="3" spans="2:36" x14ac:dyDescent="0.25">
      <c r="B3" s="4"/>
      <c r="C3" s="4"/>
      <c r="D3" s="4"/>
      <c r="E3" s="4"/>
    </row>
    <row r="4" spans="2:36" x14ac:dyDescent="0.25">
      <c r="B4" s="4"/>
      <c r="C4" s="4"/>
      <c r="D4" s="4"/>
      <c r="E4" s="4"/>
    </row>
    <row r="5" spans="2:36" x14ac:dyDescent="0.25">
      <c r="B5" s="230" t="s">
        <v>225</v>
      </c>
      <c r="C5" s="230"/>
      <c r="D5" s="230"/>
      <c r="E5" s="230"/>
    </row>
    <row r="6" spans="2:36" x14ac:dyDescent="0.25">
      <c r="B6" s="164"/>
      <c r="C6" s="4"/>
      <c r="D6" s="4"/>
      <c r="E6" s="4"/>
    </row>
    <row r="7" spans="2:36" ht="25.5" customHeight="1" x14ac:dyDescent="0.25">
      <c r="B7" s="257" t="s">
        <v>48</v>
      </c>
      <c r="C7" s="257"/>
      <c r="D7" s="257"/>
      <c r="E7" s="257"/>
    </row>
    <row r="8" spans="2:36" x14ac:dyDescent="0.25">
      <c r="B8" s="258" t="s">
        <v>50</v>
      </c>
      <c r="C8" s="258"/>
      <c r="D8" s="258"/>
      <c r="E8" s="258"/>
    </row>
    <row r="9" spans="2:36" x14ac:dyDescent="0.25">
      <c r="B9" s="164"/>
      <c r="C9" s="4"/>
      <c r="D9" s="4"/>
      <c r="E9" s="4"/>
    </row>
    <row r="10" spans="2:36" ht="51" customHeight="1" x14ac:dyDescent="0.25">
      <c r="B10" s="2" t="s">
        <v>226</v>
      </c>
      <c r="C10" s="2" t="s">
        <v>227</v>
      </c>
      <c r="D10" s="2" t="s">
        <v>228</v>
      </c>
      <c r="E10" s="2" t="s">
        <v>229</v>
      </c>
      <c r="F10" s="212"/>
      <c r="G10" s="212"/>
      <c r="H10" s="212"/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163"/>
      <c r="X10" s="212"/>
      <c r="Y10" s="163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</row>
    <row r="11" spans="2:36" x14ac:dyDescent="0.25">
      <c r="B11" s="24" t="s">
        <v>230</v>
      </c>
      <c r="C11" s="162">
        <f>'Прил.5 Расчет СМР и ОБ'!J14</f>
        <v>41390.06</v>
      </c>
      <c r="D11" s="26">
        <f t="shared" ref="D11:D18" si="0">C11/$C$24</f>
        <v>0.1782982522661162</v>
      </c>
      <c r="E11" s="26">
        <f t="shared" ref="E11:E18" si="1">C11/$C$40</f>
        <v>0.14230383209671174</v>
      </c>
    </row>
    <row r="12" spans="2:36" x14ac:dyDescent="0.25">
      <c r="B12" s="24" t="s">
        <v>231</v>
      </c>
      <c r="C12" s="162">
        <f>'Прил.5 Расчет СМР и ОБ'!J22</f>
        <v>14873.58</v>
      </c>
      <c r="D12" s="26">
        <f t="shared" si="0"/>
        <v>6.4071743769887279E-2</v>
      </c>
      <c r="E12" s="26">
        <f t="shared" si="1"/>
        <v>5.113709501742713E-2</v>
      </c>
    </row>
    <row r="13" spans="2:36" x14ac:dyDescent="0.25">
      <c r="B13" s="24" t="s">
        <v>232</v>
      </c>
      <c r="C13" s="162">
        <f>'Прил.5 Расчет СМР и ОБ'!J29</f>
        <v>2294.4500000000003</v>
      </c>
      <c r="D13" s="26">
        <f t="shared" si="0"/>
        <v>9.8839292552847322E-3</v>
      </c>
      <c r="E13" s="26">
        <f t="shared" si="1"/>
        <v>7.888585509523309E-3</v>
      </c>
    </row>
    <row r="14" spans="2:36" x14ac:dyDescent="0.25">
      <c r="B14" s="24" t="s">
        <v>233</v>
      </c>
      <c r="C14" s="162">
        <f>C13+C12</f>
        <v>17168.03</v>
      </c>
      <c r="D14" s="26">
        <f t="shared" si="0"/>
        <v>7.3955673025172017E-2</v>
      </c>
      <c r="E14" s="26">
        <f t="shared" si="1"/>
        <v>5.9025680526950432E-2</v>
      </c>
    </row>
    <row r="15" spans="2:36" x14ac:dyDescent="0.25">
      <c r="B15" s="24" t="s">
        <v>234</v>
      </c>
      <c r="C15" s="162">
        <f>'Прил.5 Расчет СМР и ОБ'!J16</f>
        <v>3893.06</v>
      </c>
      <c r="D15" s="26">
        <f t="shared" si="0"/>
        <v>1.6770350030106899E-2</v>
      </c>
      <c r="E15" s="26">
        <f t="shared" si="1"/>
        <v>1.3384792304781018E-2</v>
      </c>
    </row>
    <row r="16" spans="2:36" x14ac:dyDescent="0.25">
      <c r="B16" s="24" t="s">
        <v>235</v>
      </c>
      <c r="C16" s="162">
        <f>'Прил.5 Расчет СМР и ОБ'!J46</f>
        <v>85320.63</v>
      </c>
      <c r="D16" s="26">
        <f t="shared" si="0"/>
        <v>0.36754040006813143</v>
      </c>
      <c r="E16" s="26">
        <f t="shared" si="1"/>
        <v>0.29334223255307357</v>
      </c>
    </row>
    <row r="17" spans="2:6" x14ac:dyDescent="0.25">
      <c r="B17" s="24" t="s">
        <v>236</v>
      </c>
      <c r="C17" s="162">
        <f>'Прил.5 Расчет СМР и ОБ'!J75</f>
        <v>10826.609999999995</v>
      </c>
      <c r="D17" s="26">
        <f t="shared" si="0"/>
        <v>4.6638387114366485E-2</v>
      </c>
      <c r="E17" s="26">
        <f t="shared" si="1"/>
        <v>3.7223142262093355E-2</v>
      </c>
    </row>
    <row r="18" spans="2:6" x14ac:dyDescent="0.25">
      <c r="B18" s="24" t="s">
        <v>237</v>
      </c>
      <c r="C18" s="162">
        <f>C17+C16</f>
        <v>96147.24</v>
      </c>
      <c r="D18" s="26">
        <f t="shared" si="0"/>
        <v>0.41417878718249795</v>
      </c>
      <c r="E18" s="26">
        <f t="shared" si="1"/>
        <v>0.33056537481516696</v>
      </c>
    </row>
    <row r="19" spans="2:6" x14ac:dyDescent="0.25">
      <c r="B19" s="24" t="s">
        <v>238</v>
      </c>
      <c r="C19" s="162">
        <f>C18+C14+C11</f>
        <v>154705.33000000002</v>
      </c>
      <c r="D19" s="26"/>
      <c r="E19" s="24"/>
    </row>
    <row r="20" spans="2:6" x14ac:dyDescent="0.25">
      <c r="B20" s="24" t="s">
        <v>239</v>
      </c>
      <c r="C20" s="162">
        <f>ROUND(C21*(C11+C15),2)</f>
        <v>31245.35</v>
      </c>
      <c r="D20" s="26">
        <f>C20/$C$24</f>
        <v>0.13459732352267897</v>
      </c>
      <c r="E20" s="26">
        <f>C20/$C$40</f>
        <v>0.1074251412103049</v>
      </c>
    </row>
    <row r="21" spans="2:6" x14ac:dyDescent="0.25">
      <c r="B21" s="24" t="s">
        <v>240</v>
      </c>
      <c r="C21" s="27">
        <f>'Прил.5 Расчет СМР и ОБ'!D79</f>
        <v>0.69</v>
      </c>
      <c r="D21" s="26"/>
      <c r="E21" s="24"/>
    </row>
    <row r="22" spans="2:6" x14ac:dyDescent="0.25">
      <c r="B22" s="24" t="s">
        <v>241</v>
      </c>
      <c r="C22" s="162">
        <f>ROUND(C23*(C11+C15),2)</f>
        <v>46188.78</v>
      </c>
      <c r="D22" s="26">
        <f>C22/$C$24</f>
        <v>0.19896996400353475</v>
      </c>
      <c r="E22" s="26">
        <f>C22/$C$40</f>
        <v>0.15880238863804397</v>
      </c>
    </row>
    <row r="23" spans="2:6" x14ac:dyDescent="0.25">
      <c r="B23" s="24" t="s">
        <v>242</v>
      </c>
      <c r="C23" s="27">
        <f>'Прил.5 Расчет СМР и ОБ'!D78</f>
        <v>1.02</v>
      </c>
      <c r="D23" s="26"/>
      <c r="E23" s="24"/>
    </row>
    <row r="24" spans="2:6" x14ac:dyDescent="0.25">
      <c r="B24" s="24" t="s">
        <v>243</v>
      </c>
      <c r="C24" s="162">
        <f>C19+C20+C22</f>
        <v>232139.46000000002</v>
      </c>
      <c r="D24" s="26">
        <f>C24/$C$24</f>
        <v>1</v>
      </c>
      <c r="E24" s="26">
        <f>C24/$C$40</f>
        <v>0.79812241728717803</v>
      </c>
    </row>
    <row r="25" spans="2:6" ht="25.5" customHeight="1" x14ac:dyDescent="0.25">
      <c r="B25" s="24" t="s">
        <v>244</v>
      </c>
      <c r="C25" s="162">
        <f>'Прил.5 Расчет СМР и ОБ'!J37</f>
        <v>29670.720000000001</v>
      </c>
      <c r="D25" s="26"/>
      <c r="E25" s="26">
        <f>C25/$C$40</f>
        <v>0.10201138043937476</v>
      </c>
    </row>
    <row r="26" spans="2:6" ht="25.5" customHeight="1" x14ac:dyDescent="0.25">
      <c r="B26" s="24" t="s">
        <v>245</v>
      </c>
      <c r="C26" s="162">
        <f>'Прил.5 Расчет СМР и ОБ'!J38</f>
        <v>29670.720000000001</v>
      </c>
      <c r="D26" s="26"/>
      <c r="E26" s="26">
        <f>C26/$C$40</f>
        <v>0.10201138043937476</v>
      </c>
    </row>
    <row r="27" spans="2:6" x14ac:dyDescent="0.25">
      <c r="B27" s="24" t="s">
        <v>246</v>
      </c>
      <c r="C27" s="25">
        <f>C24+C25</f>
        <v>261810.18000000002</v>
      </c>
      <c r="D27" s="26"/>
      <c r="E27" s="26">
        <f>C27/$C$40</f>
        <v>0.90013379772655278</v>
      </c>
    </row>
    <row r="28" spans="2:6" ht="33" customHeight="1" x14ac:dyDescent="0.25">
      <c r="B28" s="24" t="s">
        <v>247</v>
      </c>
      <c r="C28" s="24"/>
      <c r="D28" s="24"/>
      <c r="E28" s="24"/>
      <c r="F28" s="163"/>
    </row>
    <row r="29" spans="2:6" ht="25.5" customHeight="1" x14ac:dyDescent="0.25">
      <c r="B29" s="24" t="s">
        <v>248</v>
      </c>
      <c r="C29" s="25">
        <f>ROUND(C24*3.9%,2)</f>
        <v>9053.44</v>
      </c>
      <c r="D29" s="24"/>
      <c r="E29" s="26">
        <f t="shared" ref="E29:E38" si="2">C29/$C$40</f>
        <v>3.1126777918603018E-2</v>
      </c>
    </row>
    <row r="30" spans="2:6" ht="38.25" customHeight="1" x14ac:dyDescent="0.25">
      <c r="B30" s="24" t="s">
        <v>249</v>
      </c>
      <c r="C30" s="25">
        <f>ROUND((C24+C29)*2.1%,2)</f>
        <v>5065.05</v>
      </c>
      <c r="D30" s="24"/>
      <c r="E30" s="26">
        <f t="shared" si="2"/>
        <v>1.7414230005016903E-2</v>
      </c>
      <c r="F30" s="163"/>
    </row>
    <row r="31" spans="2:6" x14ac:dyDescent="0.25">
      <c r="B31" s="24" t="s">
        <v>250</v>
      </c>
      <c r="C31" s="25">
        <v>0</v>
      </c>
      <c r="D31" s="24"/>
      <c r="E31" s="26">
        <f t="shared" si="2"/>
        <v>0</v>
      </c>
    </row>
    <row r="32" spans="2:6" ht="25.5" customHeight="1" x14ac:dyDescent="0.25">
      <c r="B32" s="24" t="s">
        <v>251</v>
      </c>
      <c r="C32" s="25">
        <f>ROUND(C27*0%,2)</f>
        <v>0</v>
      </c>
      <c r="D32" s="24"/>
      <c r="E32" s="26">
        <f t="shared" si="2"/>
        <v>0</v>
      </c>
    </row>
    <row r="33" spans="2:12" ht="25.5" customHeight="1" x14ac:dyDescent="0.25">
      <c r="B33" s="24" t="s">
        <v>252</v>
      </c>
      <c r="C33" s="25">
        <f>ROUND(C28*0%,2)</f>
        <v>0</v>
      </c>
      <c r="D33" s="24"/>
      <c r="E33" s="26">
        <f t="shared" si="2"/>
        <v>0</v>
      </c>
    </row>
    <row r="34" spans="2:12" ht="51" customHeight="1" x14ac:dyDescent="0.25">
      <c r="B34" s="24" t="s">
        <v>253</v>
      </c>
      <c r="C34" s="25">
        <f>ROUND(C29*0%,2)</f>
        <v>0</v>
      </c>
      <c r="D34" s="24"/>
      <c r="E34" s="26">
        <f t="shared" si="2"/>
        <v>0</v>
      </c>
      <c r="H34" s="166"/>
    </row>
    <row r="35" spans="2:12" ht="76.7" customHeight="1" x14ac:dyDescent="0.25">
      <c r="B35" s="24" t="s">
        <v>254</v>
      </c>
      <c r="C35" s="25">
        <f>ROUND(C30*0%,2)</f>
        <v>0</v>
      </c>
      <c r="D35" s="24"/>
      <c r="E35" s="26">
        <f t="shared" si="2"/>
        <v>0</v>
      </c>
    </row>
    <row r="36" spans="2:12" ht="25.5" customHeight="1" x14ac:dyDescent="0.25">
      <c r="B36" s="24" t="s">
        <v>255</v>
      </c>
      <c r="C36" s="25">
        <f>ROUND((C27+C32+C33+C34+C35+C29+C31+C30)*2.14%,2)</f>
        <v>5904.87</v>
      </c>
      <c r="D36" s="24"/>
      <c r="E36" s="26">
        <f t="shared" si="2"/>
        <v>2.0301628676858894E-2</v>
      </c>
      <c r="L36" s="163"/>
    </row>
    <row r="37" spans="2:12" x14ac:dyDescent="0.25">
      <c r="B37" s="24" t="s">
        <v>256</v>
      </c>
      <c r="C37" s="25">
        <f>ROUND((C27+C32+C33+C34+C35+C29+C31+C30)*0.2%,2)</f>
        <v>551.86</v>
      </c>
      <c r="D37" s="24"/>
      <c r="E37" s="26">
        <f t="shared" si="2"/>
        <v>1.897358756689199E-3</v>
      </c>
      <c r="L37" s="163"/>
    </row>
    <row r="38" spans="2:12" ht="38.25" customHeight="1" x14ac:dyDescent="0.25">
      <c r="B38" s="24" t="s">
        <v>257</v>
      </c>
      <c r="C38" s="162">
        <f>C27+C32+C33+C34+C35+C29+C31+C30+C36+C37</f>
        <v>282385.39999999997</v>
      </c>
      <c r="D38" s="24"/>
      <c r="E38" s="26">
        <f t="shared" si="2"/>
        <v>0.97087379308372057</v>
      </c>
    </row>
    <row r="39" spans="2:12" ht="13.7" customHeight="1" x14ac:dyDescent="0.25">
      <c r="B39" s="24" t="s">
        <v>258</v>
      </c>
      <c r="C39" s="162">
        <f>ROUND(C38*3%,2)</f>
        <v>8471.56</v>
      </c>
      <c r="D39" s="24"/>
      <c r="E39" s="26">
        <f>C39/$C$38</f>
        <v>2.9999992917480862E-2</v>
      </c>
    </row>
    <row r="40" spans="2:12" x14ac:dyDescent="0.25">
      <c r="B40" s="24" t="s">
        <v>259</v>
      </c>
      <c r="C40" s="162">
        <f>C39+C38</f>
        <v>290856.95999999996</v>
      </c>
      <c r="D40" s="24"/>
      <c r="E40" s="26">
        <f>C40/$C$40</f>
        <v>1</v>
      </c>
    </row>
    <row r="41" spans="2:12" x14ac:dyDescent="0.25">
      <c r="B41" s="24" t="s">
        <v>260</v>
      </c>
      <c r="C41" s="162">
        <f>C40/'Прил.5 Расчет СМР и ОБ'!E82</f>
        <v>290856.95999999996</v>
      </c>
      <c r="D41" s="24"/>
      <c r="E41" s="24"/>
    </row>
    <row r="42" spans="2:12" x14ac:dyDescent="0.25">
      <c r="B42" s="161"/>
      <c r="C42" s="4"/>
      <c r="D42" s="4"/>
      <c r="E42" s="4"/>
    </row>
    <row r="43" spans="2:12" x14ac:dyDescent="0.25">
      <c r="B43" s="161" t="s">
        <v>261</v>
      </c>
      <c r="C43" s="4"/>
      <c r="D43" s="4"/>
      <c r="E43" s="4"/>
    </row>
    <row r="44" spans="2:12" x14ac:dyDescent="0.25">
      <c r="B44" s="161" t="s">
        <v>262</v>
      </c>
      <c r="C44" s="4"/>
      <c r="D44" s="4"/>
      <c r="E44" s="4"/>
    </row>
    <row r="45" spans="2:12" x14ac:dyDescent="0.25">
      <c r="B45" s="161"/>
      <c r="C45" s="4"/>
      <c r="D45" s="4"/>
      <c r="E45" s="4"/>
    </row>
    <row r="46" spans="2:12" x14ac:dyDescent="0.25">
      <c r="B46" s="161" t="s">
        <v>263</v>
      </c>
      <c r="C46" s="4"/>
      <c r="D46" s="4"/>
      <c r="E46" s="4"/>
    </row>
    <row r="47" spans="2:12" x14ac:dyDescent="0.25">
      <c r="B47" s="258" t="s">
        <v>264</v>
      </c>
      <c r="C47" s="258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7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88"/>
  <sheetViews>
    <sheetView view="pageBreakPreview" topLeftCell="A58" zoomScaleSheetLayoutView="100" workbookViewId="0">
      <selection activeCell="F73" sqref="F73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88" customWidth="1"/>
    <col min="5" max="5" width="12.7109375" style="12" customWidth="1"/>
    <col min="6" max="6" width="1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9.140625" style="12"/>
  </cols>
  <sheetData>
    <row r="1" spans="1:14" x14ac:dyDescent="0.25">
      <c r="M1" s="12"/>
      <c r="N1" s="12"/>
    </row>
    <row r="2" spans="1:14" ht="15.75" customHeight="1" x14ac:dyDescent="0.25">
      <c r="H2" s="259" t="s">
        <v>265</v>
      </c>
      <c r="I2" s="259"/>
      <c r="J2" s="259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30" t="s">
        <v>266</v>
      </c>
      <c r="B4" s="230"/>
      <c r="C4" s="230"/>
      <c r="D4" s="230"/>
      <c r="E4" s="230"/>
      <c r="F4" s="230"/>
      <c r="G4" s="230"/>
      <c r="H4" s="230"/>
      <c r="I4" s="230"/>
      <c r="J4" s="230"/>
    </row>
    <row r="5" spans="1:14" s="4" customFormat="1" ht="12.75" customHeight="1" x14ac:dyDescent="0.2">
      <c r="A5" s="132"/>
      <c r="B5" s="132"/>
      <c r="C5" s="33"/>
      <c r="D5" s="132"/>
      <c r="E5" s="132"/>
      <c r="F5" s="132"/>
      <c r="G5" s="132"/>
      <c r="H5" s="132"/>
      <c r="I5" s="132"/>
      <c r="J5" s="132"/>
    </row>
    <row r="6" spans="1:14" s="4" customFormat="1" ht="12.75" customHeight="1" x14ac:dyDescent="0.2">
      <c r="A6" s="147" t="s">
        <v>267</v>
      </c>
      <c r="B6" s="146"/>
      <c r="C6" s="146"/>
      <c r="D6" s="265" t="s">
        <v>268</v>
      </c>
      <c r="E6" s="265"/>
      <c r="F6" s="265"/>
      <c r="G6" s="265"/>
      <c r="H6" s="265"/>
      <c r="I6" s="265"/>
      <c r="J6" s="265"/>
    </row>
    <row r="7" spans="1:14" s="4" customFormat="1" ht="12.75" customHeight="1" x14ac:dyDescent="0.2">
      <c r="A7" s="233" t="s">
        <v>50</v>
      </c>
      <c r="B7" s="257"/>
      <c r="C7" s="257"/>
      <c r="D7" s="257"/>
      <c r="E7" s="257"/>
      <c r="F7" s="257"/>
      <c r="G7" s="257"/>
      <c r="H7" s="257"/>
      <c r="I7" s="47"/>
      <c r="J7" s="47"/>
    </row>
    <row r="8" spans="1:14" s="4" customFormat="1" ht="13.7" customHeight="1" x14ac:dyDescent="0.2">
      <c r="A8" s="233"/>
      <c r="B8" s="257"/>
      <c r="C8" s="257"/>
      <c r="D8" s="257"/>
      <c r="E8" s="257"/>
      <c r="F8" s="257"/>
      <c r="G8" s="257"/>
      <c r="H8" s="257"/>
    </row>
    <row r="9" spans="1:14" ht="27" customHeight="1" x14ac:dyDescent="0.25">
      <c r="A9" s="262" t="s">
        <v>13</v>
      </c>
      <c r="B9" s="262" t="s">
        <v>101</v>
      </c>
      <c r="C9" s="262" t="s">
        <v>226</v>
      </c>
      <c r="D9" s="262" t="s">
        <v>103</v>
      </c>
      <c r="E9" s="263" t="s">
        <v>269</v>
      </c>
      <c r="F9" s="260" t="s">
        <v>105</v>
      </c>
      <c r="G9" s="261"/>
      <c r="H9" s="263" t="s">
        <v>270</v>
      </c>
      <c r="I9" s="260" t="s">
        <v>271</v>
      </c>
      <c r="J9" s="261"/>
      <c r="M9" s="12"/>
      <c r="N9" s="12"/>
    </row>
    <row r="10" spans="1:14" ht="28.5" customHeight="1" x14ac:dyDescent="0.25">
      <c r="A10" s="262"/>
      <c r="B10" s="262"/>
      <c r="C10" s="262"/>
      <c r="D10" s="262"/>
      <c r="E10" s="264"/>
      <c r="F10" s="2" t="s">
        <v>272</v>
      </c>
      <c r="G10" s="2" t="s">
        <v>107</v>
      </c>
      <c r="H10" s="264"/>
      <c r="I10" s="2" t="s">
        <v>272</v>
      </c>
      <c r="J10" s="2" t="s">
        <v>107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33">
        <v>9</v>
      </c>
      <c r="J11" s="133">
        <v>10</v>
      </c>
      <c r="M11" s="12"/>
      <c r="N11" s="12"/>
    </row>
    <row r="12" spans="1:14" x14ac:dyDescent="0.25">
      <c r="A12" s="2"/>
      <c r="B12" s="250" t="s">
        <v>273</v>
      </c>
      <c r="C12" s="270"/>
      <c r="D12" s="262"/>
      <c r="E12" s="271"/>
      <c r="F12" s="272"/>
      <c r="G12" s="272"/>
      <c r="H12" s="273"/>
      <c r="I12" s="136"/>
      <c r="J12" s="136"/>
    </row>
    <row r="13" spans="1:14" ht="25.5" customHeight="1" x14ac:dyDescent="0.25">
      <c r="A13" s="2">
        <v>1</v>
      </c>
      <c r="B13" s="145" t="s">
        <v>117</v>
      </c>
      <c r="C13" s="8" t="s">
        <v>274</v>
      </c>
      <c r="D13" s="2" t="s">
        <v>275</v>
      </c>
      <c r="E13" s="137">
        <f>G13/F13</f>
        <v>93.137214137214144</v>
      </c>
      <c r="F13" s="30">
        <v>9.6199999999999992</v>
      </c>
      <c r="G13" s="30">
        <f>Прил.3!H13</f>
        <v>895.98</v>
      </c>
      <c r="H13" s="139">
        <f>G13/G14</f>
        <v>1</v>
      </c>
      <c r="I13" s="30">
        <f>ФОТр.тек.!E13</f>
        <v>444.39870291576</v>
      </c>
      <c r="J13" s="30">
        <f>ROUND(I13*E13,2)</f>
        <v>41390.06</v>
      </c>
    </row>
    <row r="14" spans="1:14" s="12" customFormat="1" ht="25.5" customHeight="1" x14ac:dyDescent="0.2">
      <c r="A14" s="2"/>
      <c r="B14" s="2"/>
      <c r="C14" s="102" t="s">
        <v>276</v>
      </c>
      <c r="D14" s="2" t="s">
        <v>275</v>
      </c>
      <c r="E14" s="137">
        <f>SUM(E13:E13)</f>
        <v>93.137214137214144</v>
      </c>
      <c r="F14" s="30"/>
      <c r="G14" s="30">
        <f>SUM(G13:G13)</f>
        <v>895.98</v>
      </c>
      <c r="H14" s="135">
        <v>1</v>
      </c>
      <c r="I14" s="136"/>
      <c r="J14" s="30">
        <f>SUM(J13:J13)</f>
        <v>41390.06</v>
      </c>
    </row>
    <row r="15" spans="1:14" s="12" customFormat="1" ht="14.25" customHeight="1" x14ac:dyDescent="0.2">
      <c r="A15" s="2"/>
      <c r="B15" s="270" t="s">
        <v>119</v>
      </c>
      <c r="C15" s="270"/>
      <c r="D15" s="262"/>
      <c r="E15" s="271"/>
      <c r="F15" s="272"/>
      <c r="G15" s="272"/>
      <c r="H15" s="273"/>
      <c r="I15" s="136"/>
      <c r="J15" s="136"/>
    </row>
    <row r="16" spans="1:14" s="12" customFormat="1" ht="14.25" customHeight="1" x14ac:dyDescent="0.2">
      <c r="A16" s="2">
        <v>2</v>
      </c>
      <c r="B16" s="2">
        <v>2</v>
      </c>
      <c r="C16" s="8" t="s">
        <v>119</v>
      </c>
      <c r="D16" s="2" t="s">
        <v>275</v>
      </c>
      <c r="E16" s="137">
        <v>6.3554000000000004</v>
      </c>
      <c r="F16" s="196">
        <f>G16/E16</f>
        <v>13.830758095477862</v>
      </c>
      <c r="G16" s="30">
        <f>Прил.3!H18</f>
        <v>87.9</v>
      </c>
      <c r="H16" s="135">
        <v>1</v>
      </c>
      <c r="I16" s="30">
        <f>ROUND(F16*Прил.10!D11,2)</f>
        <v>612.55999999999995</v>
      </c>
      <c r="J16" s="30">
        <f>ROUND(I16*E16,2)</f>
        <v>3893.06</v>
      </c>
    </row>
    <row r="17" spans="1:10" s="12" customFormat="1" ht="14.25" customHeight="1" x14ac:dyDescent="0.2">
      <c r="A17" s="2"/>
      <c r="B17" s="250" t="s">
        <v>121</v>
      </c>
      <c r="C17" s="270"/>
      <c r="D17" s="262"/>
      <c r="E17" s="271"/>
      <c r="F17" s="272"/>
      <c r="G17" s="272"/>
      <c r="H17" s="273"/>
      <c r="I17" s="136"/>
      <c r="J17" s="136"/>
    </row>
    <row r="18" spans="1:10" s="12" customFormat="1" ht="14.25" customHeight="1" x14ac:dyDescent="0.2">
      <c r="A18" s="2"/>
      <c r="B18" s="270" t="s">
        <v>277</v>
      </c>
      <c r="C18" s="270"/>
      <c r="D18" s="262"/>
      <c r="E18" s="271"/>
      <c r="F18" s="272"/>
      <c r="G18" s="272"/>
      <c r="H18" s="273"/>
      <c r="I18" s="136"/>
      <c r="J18" s="136"/>
    </row>
    <row r="19" spans="1:10" s="12" customFormat="1" ht="25.5" customHeight="1" x14ac:dyDescent="0.2">
      <c r="A19" s="2">
        <v>3</v>
      </c>
      <c r="B19" s="145" t="s">
        <v>122</v>
      </c>
      <c r="C19" s="8" t="s">
        <v>123</v>
      </c>
      <c r="D19" s="2" t="s">
        <v>124</v>
      </c>
      <c r="E19" s="143">
        <v>2.48</v>
      </c>
      <c r="F19" s="101">
        <v>197.01</v>
      </c>
      <c r="G19" s="30">
        <f>ROUND(E19*F19,2)</f>
        <v>488.58</v>
      </c>
      <c r="H19" s="139">
        <f>G19/$G$30</f>
        <v>0.38334431786084172</v>
      </c>
      <c r="I19" s="30">
        <f>ROUND(F19*Прил.10!$D$12,2)</f>
        <v>2653.72</v>
      </c>
      <c r="J19" s="30">
        <f>ROUND(I19*E19,2)</f>
        <v>6581.23</v>
      </c>
    </row>
    <row r="20" spans="1:10" s="12" customFormat="1" ht="25.5" customHeight="1" x14ac:dyDescent="0.2">
      <c r="A20" s="2">
        <v>4</v>
      </c>
      <c r="B20" s="145" t="s">
        <v>125</v>
      </c>
      <c r="C20" s="8" t="s">
        <v>126</v>
      </c>
      <c r="D20" s="2" t="s">
        <v>124</v>
      </c>
      <c r="E20" s="143">
        <v>3.8090999999999999</v>
      </c>
      <c r="F20" s="101">
        <v>111.99</v>
      </c>
      <c r="G20" s="30">
        <f>ROUND(E20*F20,2)</f>
        <v>426.58</v>
      </c>
      <c r="H20" s="139">
        <f>G20/$G$30</f>
        <v>0.33469855318080532</v>
      </c>
      <c r="I20" s="30">
        <f>ROUND(F20*Прил.10!$D$12,2)</f>
        <v>1508.51</v>
      </c>
      <c r="J20" s="30">
        <f>ROUND(I20*E20,2)</f>
        <v>5746.07</v>
      </c>
    </row>
    <row r="21" spans="1:10" s="12" customFormat="1" ht="25.5" customHeight="1" x14ac:dyDescent="0.2">
      <c r="A21" s="2">
        <v>5</v>
      </c>
      <c r="B21" s="145" t="s">
        <v>127</v>
      </c>
      <c r="C21" s="8" t="s">
        <v>128</v>
      </c>
      <c r="D21" s="2" t="s">
        <v>124</v>
      </c>
      <c r="E21" s="143">
        <v>2.8767999999999998</v>
      </c>
      <c r="F21" s="101">
        <v>65.709999999999994</v>
      </c>
      <c r="G21" s="30">
        <f>ROUND(E21*F21,2)</f>
        <v>189.03</v>
      </c>
      <c r="H21" s="139">
        <f>G21/$G$30</f>
        <v>0.14831465963656906</v>
      </c>
      <c r="I21" s="30">
        <f>ROUND(F21*Прил.10!$D$12,2)</f>
        <v>885.11</v>
      </c>
      <c r="J21" s="30">
        <f>ROUND(I21*E21,2)</f>
        <v>2546.2800000000002</v>
      </c>
    </row>
    <row r="22" spans="1:10" s="12" customFormat="1" ht="14.25" customHeight="1" x14ac:dyDescent="0.2">
      <c r="A22" s="2"/>
      <c r="B22" s="2"/>
      <c r="C22" s="8" t="s">
        <v>278</v>
      </c>
      <c r="D22" s="2"/>
      <c r="E22" s="137"/>
      <c r="F22" s="30"/>
      <c r="G22" s="30">
        <f>SUM(G19:G21)</f>
        <v>1104.19</v>
      </c>
      <c r="H22" s="135">
        <f>G22/G30</f>
        <v>0.86635753067821619</v>
      </c>
      <c r="I22" s="138"/>
      <c r="J22" s="30">
        <f>SUM(J19:J21)</f>
        <v>14873.58</v>
      </c>
    </row>
    <row r="23" spans="1:10" s="12" customFormat="1" ht="25.5" customHeight="1" outlineLevel="1" x14ac:dyDescent="0.2">
      <c r="A23" s="2">
        <v>6</v>
      </c>
      <c r="B23" s="145" t="s">
        <v>129</v>
      </c>
      <c r="C23" s="8" t="s">
        <v>130</v>
      </c>
      <c r="D23" s="2" t="s">
        <v>124</v>
      </c>
      <c r="E23" s="143">
        <v>17.000800000000002</v>
      </c>
      <c r="F23" s="101">
        <v>8.1</v>
      </c>
      <c r="G23" s="30">
        <f t="shared" ref="G23:G28" si="0">ROUND(E23*F23,2)</f>
        <v>137.71</v>
      </c>
      <c r="H23" s="139">
        <f t="shared" ref="H23:H28" si="1">G23/$G$30</f>
        <v>0.10804852022722281</v>
      </c>
      <c r="I23" s="30">
        <f>ROUND(F23*Прил.10!$D$12,2)</f>
        <v>109.11</v>
      </c>
      <c r="J23" s="30">
        <f t="shared" ref="J23:J28" si="2">ROUND(I23*E23,2)</f>
        <v>1854.96</v>
      </c>
    </row>
    <row r="24" spans="1:10" s="12" customFormat="1" ht="25.5" customHeight="1" outlineLevel="1" x14ac:dyDescent="0.2">
      <c r="A24" s="2">
        <v>7</v>
      </c>
      <c r="B24" s="145" t="s">
        <v>131</v>
      </c>
      <c r="C24" s="8" t="s">
        <v>132</v>
      </c>
      <c r="D24" s="2" t="s">
        <v>124</v>
      </c>
      <c r="E24" s="143">
        <v>4.6440000000000001</v>
      </c>
      <c r="F24" s="101">
        <v>3.28</v>
      </c>
      <c r="G24" s="30">
        <f t="shared" si="0"/>
        <v>15.23</v>
      </c>
      <c r="H24" s="139">
        <f t="shared" si="1"/>
        <v>1.1949596710918621E-2</v>
      </c>
      <c r="I24" s="30">
        <f>ROUND(F24*Прил.10!$D$12,2)</f>
        <v>44.18</v>
      </c>
      <c r="J24" s="30">
        <f t="shared" si="2"/>
        <v>205.17</v>
      </c>
    </row>
    <row r="25" spans="1:10" s="12" customFormat="1" ht="14.25" customHeight="1" outlineLevel="1" x14ac:dyDescent="0.2">
      <c r="A25" s="2">
        <v>8</v>
      </c>
      <c r="B25" s="145" t="s">
        <v>133</v>
      </c>
      <c r="C25" s="8" t="s">
        <v>134</v>
      </c>
      <c r="D25" s="2" t="s">
        <v>124</v>
      </c>
      <c r="E25" s="143">
        <v>3.9049999999999998</v>
      </c>
      <c r="F25" s="101">
        <v>2.08</v>
      </c>
      <c r="G25" s="30">
        <f t="shared" si="0"/>
        <v>8.1199999999999992</v>
      </c>
      <c r="H25" s="139">
        <f t="shared" si="1"/>
        <v>6.3710259548692832E-3</v>
      </c>
      <c r="I25" s="30">
        <f>ROUND(F25*Прил.10!$D$12,2)</f>
        <v>28.02</v>
      </c>
      <c r="J25" s="30">
        <f t="shared" si="2"/>
        <v>109.42</v>
      </c>
    </row>
    <row r="26" spans="1:10" s="12" customFormat="1" ht="38.25" customHeight="1" outlineLevel="1" x14ac:dyDescent="0.2">
      <c r="A26" s="2">
        <v>9</v>
      </c>
      <c r="B26" s="145" t="s">
        <v>135</v>
      </c>
      <c r="C26" s="8" t="s">
        <v>136</v>
      </c>
      <c r="D26" s="2" t="s">
        <v>124</v>
      </c>
      <c r="E26" s="143">
        <v>6.6299999999999998E-2</v>
      </c>
      <c r="F26" s="101">
        <v>70.010000000000005</v>
      </c>
      <c r="G26" s="30">
        <f t="shared" si="0"/>
        <v>4.6399999999999997</v>
      </c>
      <c r="H26" s="139">
        <f t="shared" si="1"/>
        <v>3.6405862599253051E-3</v>
      </c>
      <c r="I26" s="30">
        <f>ROUND(F26*Прил.10!$D$12,2)</f>
        <v>943.03</v>
      </c>
      <c r="J26" s="30">
        <f t="shared" si="2"/>
        <v>62.52</v>
      </c>
    </row>
    <row r="27" spans="1:10" s="12" customFormat="1" ht="25.5" customHeight="1" outlineLevel="1" x14ac:dyDescent="0.2">
      <c r="A27" s="2">
        <v>10</v>
      </c>
      <c r="B27" s="145" t="s">
        <v>137</v>
      </c>
      <c r="C27" s="8" t="s">
        <v>138</v>
      </c>
      <c r="D27" s="2" t="s">
        <v>124</v>
      </c>
      <c r="E27" s="143">
        <v>4.6440000000000001</v>
      </c>
      <c r="F27" s="101">
        <v>0.9</v>
      </c>
      <c r="G27" s="30">
        <f t="shared" si="0"/>
        <v>4.18</v>
      </c>
      <c r="H27" s="139">
        <f t="shared" si="1"/>
        <v>3.2796660703637444E-3</v>
      </c>
      <c r="I27" s="30">
        <f>ROUND(F27*Прил.10!$D$12,2)</f>
        <v>12.12</v>
      </c>
      <c r="J27" s="30">
        <f t="shared" si="2"/>
        <v>56.29</v>
      </c>
    </row>
    <row r="28" spans="1:10" s="12" customFormat="1" ht="14.25" customHeight="1" outlineLevel="1" x14ac:dyDescent="0.2">
      <c r="A28" s="2">
        <v>11</v>
      </c>
      <c r="B28" s="145" t="s">
        <v>139</v>
      </c>
      <c r="C28" s="8" t="s">
        <v>140</v>
      </c>
      <c r="D28" s="2" t="s">
        <v>124</v>
      </c>
      <c r="E28" s="143">
        <v>0.2379</v>
      </c>
      <c r="F28" s="101">
        <v>1.9</v>
      </c>
      <c r="G28" s="30">
        <f t="shared" si="0"/>
        <v>0.45</v>
      </c>
      <c r="H28" s="139">
        <f t="shared" si="1"/>
        <v>3.5307409848413522E-4</v>
      </c>
      <c r="I28" s="30">
        <f>ROUND(F28*Прил.10!$D$12,2)</f>
        <v>25.59</v>
      </c>
      <c r="J28" s="30">
        <f t="shared" si="2"/>
        <v>6.09</v>
      </c>
    </row>
    <row r="29" spans="1:10" s="12" customFormat="1" ht="14.25" customHeight="1" x14ac:dyDescent="0.2">
      <c r="A29" s="2"/>
      <c r="B29" s="2"/>
      <c r="C29" s="8" t="s">
        <v>279</v>
      </c>
      <c r="D29" s="2"/>
      <c r="E29" s="134"/>
      <c r="F29" s="30"/>
      <c r="G29" s="138">
        <f>SUM(G23:G28)</f>
        <v>170.32999999999998</v>
      </c>
      <c r="H29" s="139">
        <f>G29/G30</f>
        <v>0.13364246932178386</v>
      </c>
      <c r="I29" s="30"/>
      <c r="J29" s="30">
        <f>SUM(J23:J28)</f>
        <v>2294.4500000000003</v>
      </c>
    </row>
    <row r="30" spans="1:10" s="12" customFormat="1" ht="25.5" customHeight="1" x14ac:dyDescent="0.2">
      <c r="A30" s="2"/>
      <c r="B30" s="2"/>
      <c r="C30" s="102" t="s">
        <v>280</v>
      </c>
      <c r="D30" s="2"/>
      <c r="E30" s="134"/>
      <c r="F30" s="30"/>
      <c r="G30" s="30">
        <f>G29+G22</f>
        <v>1274.52</v>
      </c>
      <c r="H30" s="140">
        <v>1</v>
      </c>
      <c r="I30" s="141"/>
      <c r="J30" s="142">
        <f>J29+J22</f>
        <v>17168.03</v>
      </c>
    </row>
    <row r="31" spans="1:10" s="12" customFormat="1" ht="14.25" customHeight="1" x14ac:dyDescent="0.2">
      <c r="A31" s="2"/>
      <c r="B31" s="250" t="s">
        <v>43</v>
      </c>
      <c r="C31" s="250"/>
      <c r="D31" s="274"/>
      <c r="E31" s="275"/>
      <c r="F31" s="276"/>
      <c r="G31" s="276"/>
      <c r="H31" s="277"/>
      <c r="I31" s="136"/>
      <c r="J31" s="136"/>
    </row>
    <row r="32" spans="1:10" x14ac:dyDescent="0.25">
      <c r="A32" s="2"/>
      <c r="B32" s="270" t="s">
        <v>281</v>
      </c>
      <c r="C32" s="270"/>
      <c r="D32" s="262"/>
      <c r="E32" s="271"/>
      <c r="F32" s="272"/>
      <c r="G32" s="272"/>
      <c r="H32" s="273"/>
      <c r="I32" s="136"/>
      <c r="J32" s="136"/>
    </row>
    <row r="33" spans="1:10" s="12" customFormat="1" ht="25.5" customHeight="1" x14ac:dyDescent="0.2">
      <c r="A33" s="2">
        <v>12</v>
      </c>
      <c r="B33" s="145" t="s">
        <v>282</v>
      </c>
      <c r="C33" s="182" t="s">
        <v>283</v>
      </c>
      <c r="D33" s="190" t="s">
        <v>143</v>
      </c>
      <c r="E33" s="191">
        <v>1</v>
      </c>
      <c r="F33" s="45">
        <f>ROUND(I33/Прил.10!D14,2)</f>
        <v>3642.45</v>
      </c>
      <c r="G33" s="30">
        <f>ROUND(E33*F33,2)</f>
        <v>3642.45</v>
      </c>
      <c r="H33" s="139">
        <f>G33/$G$37</f>
        <v>0.76849314201441854</v>
      </c>
      <c r="I33" s="182">
        <v>22801.75</v>
      </c>
      <c r="J33" s="30">
        <f>ROUND(I33*E33,2)</f>
        <v>22801.75</v>
      </c>
    </row>
    <row r="34" spans="1:10" s="12" customFormat="1" ht="14.25" customHeight="1" x14ac:dyDescent="0.2">
      <c r="A34" s="2">
        <v>13</v>
      </c>
      <c r="B34" s="192" t="s">
        <v>144</v>
      </c>
      <c r="C34" s="182" t="s">
        <v>145</v>
      </c>
      <c r="D34" s="190" t="s">
        <v>146</v>
      </c>
      <c r="E34" s="191">
        <v>1</v>
      </c>
      <c r="F34" s="182">
        <v>1097.28</v>
      </c>
      <c r="G34" s="30">
        <f>ROUND(E34*F34,2)</f>
        <v>1097.28</v>
      </c>
      <c r="H34" s="139">
        <f>G34/$G$37</f>
        <v>0.23150685798558146</v>
      </c>
      <c r="I34" s="182">
        <f>ROUND(F34*Прил.10!$D$14,2)</f>
        <v>6868.97</v>
      </c>
      <c r="J34" s="30">
        <f>ROUND(I34*E34,2)</f>
        <v>6868.97</v>
      </c>
    </row>
    <row r="35" spans="1:10" x14ac:dyDescent="0.25">
      <c r="A35" s="149"/>
      <c r="B35" s="2"/>
      <c r="C35" s="8" t="s">
        <v>284</v>
      </c>
      <c r="D35" s="2"/>
      <c r="E35" s="143"/>
      <c r="F35" s="101"/>
      <c r="G35" s="30">
        <f>G33+G34</f>
        <v>4739.7299999999996</v>
      </c>
      <c r="H35" s="139">
        <f>G35/$G$37</f>
        <v>1</v>
      </c>
      <c r="I35" s="138"/>
      <c r="J35" s="30">
        <f>J33+J34</f>
        <v>29670.720000000001</v>
      </c>
    </row>
    <row r="36" spans="1:10" x14ac:dyDescent="0.25">
      <c r="A36" s="149"/>
      <c r="B36" s="2"/>
      <c r="C36" s="8" t="s">
        <v>285</v>
      </c>
      <c r="D36" s="195"/>
      <c r="E36" s="143"/>
      <c r="F36" s="101"/>
      <c r="G36" s="30">
        <v>0</v>
      </c>
      <c r="H36" s="139">
        <f>G36/$G$37</f>
        <v>0</v>
      </c>
      <c r="I36" s="138"/>
      <c r="J36" s="30">
        <v>0</v>
      </c>
    </row>
    <row r="37" spans="1:10" x14ac:dyDescent="0.25">
      <c r="A37" s="2"/>
      <c r="B37" s="2"/>
      <c r="C37" s="102" t="s">
        <v>286</v>
      </c>
      <c r="D37" s="2"/>
      <c r="E37" s="134"/>
      <c r="F37" s="101"/>
      <c r="G37" s="30">
        <f>G35+G36</f>
        <v>4739.7299999999996</v>
      </c>
      <c r="H37" s="139">
        <f>G37/$G$37</f>
        <v>1</v>
      </c>
      <c r="I37" s="138"/>
      <c r="J37" s="30">
        <f>J35+J36</f>
        <v>29670.720000000001</v>
      </c>
    </row>
    <row r="38" spans="1:10" ht="25.5" customHeight="1" x14ac:dyDescent="0.25">
      <c r="A38" s="2"/>
      <c r="B38" s="2"/>
      <c r="C38" s="8" t="s">
        <v>287</v>
      </c>
      <c r="D38" s="2"/>
      <c r="E38" s="143"/>
      <c r="F38" s="101"/>
      <c r="G38" s="30">
        <f>'Прил.6 Расчет ОБ'!G14</f>
        <v>4739.7299999999996</v>
      </c>
      <c r="H38" s="135"/>
      <c r="I38" s="138"/>
      <c r="J38" s="30">
        <f>J37</f>
        <v>29670.720000000001</v>
      </c>
    </row>
    <row r="39" spans="1:10" s="12" customFormat="1" ht="14.25" customHeight="1" x14ac:dyDescent="0.2">
      <c r="A39" s="2"/>
      <c r="B39" s="250" t="s">
        <v>147</v>
      </c>
      <c r="C39" s="250"/>
      <c r="D39" s="274"/>
      <c r="E39" s="275"/>
      <c r="F39" s="276"/>
      <c r="G39" s="276"/>
      <c r="H39" s="277"/>
      <c r="I39" s="136"/>
      <c r="J39" s="136"/>
    </row>
    <row r="40" spans="1:10" s="12" customFormat="1" ht="14.25" customHeight="1" x14ac:dyDescent="0.2">
      <c r="A40" s="133"/>
      <c r="B40" s="266" t="s">
        <v>288</v>
      </c>
      <c r="C40" s="266"/>
      <c r="D40" s="263"/>
      <c r="E40" s="267"/>
      <c r="F40" s="268"/>
      <c r="G40" s="268"/>
      <c r="H40" s="269"/>
      <c r="I40" s="148"/>
      <c r="J40" s="148"/>
    </row>
    <row r="41" spans="1:10" s="12" customFormat="1" ht="51" customHeight="1" x14ac:dyDescent="0.2">
      <c r="A41" s="2">
        <v>14</v>
      </c>
      <c r="B41" s="145" t="s">
        <v>148</v>
      </c>
      <c r="C41" s="8" t="s">
        <v>149</v>
      </c>
      <c r="D41" s="2" t="s">
        <v>150</v>
      </c>
      <c r="E41" s="143">
        <v>0.61199999999999999</v>
      </c>
      <c r="F41" s="101">
        <v>8128</v>
      </c>
      <c r="G41" s="30">
        <f>ROUND(E41*F41,2)</f>
        <v>4974.34</v>
      </c>
      <c r="H41" s="139">
        <f t="shared" ref="H41:H76" si="3">G41/$G$76</f>
        <v>0.4159630592518696</v>
      </c>
      <c r="I41" s="30">
        <f>ROUND(F41*Прил.10!$D$13,2)</f>
        <v>65349.120000000003</v>
      </c>
      <c r="J41" s="30">
        <f>ROUND(I41*E41,2)</f>
        <v>39993.660000000003</v>
      </c>
    </row>
    <row r="42" spans="1:10" s="12" customFormat="1" ht="38.25" customHeight="1" x14ac:dyDescent="0.2">
      <c r="A42" s="2">
        <v>15</v>
      </c>
      <c r="B42" s="145" t="s">
        <v>151</v>
      </c>
      <c r="C42" s="8" t="s">
        <v>152</v>
      </c>
      <c r="D42" s="2" t="s">
        <v>150</v>
      </c>
      <c r="E42" s="143">
        <v>0.58799999999999997</v>
      </c>
      <c r="F42" s="101">
        <v>5999.99</v>
      </c>
      <c r="G42" s="30">
        <f>ROUND(E42*F42,2)</f>
        <v>3527.99</v>
      </c>
      <c r="H42" s="139">
        <f t="shared" si="3"/>
        <v>0.29501672853283117</v>
      </c>
      <c r="I42" s="30">
        <f>ROUND(F42*Прил.10!$D$13,2)</f>
        <v>48239.92</v>
      </c>
      <c r="J42" s="30">
        <f>ROUND(I42*E42,2)</f>
        <v>28365.07</v>
      </c>
    </row>
    <row r="43" spans="1:10" s="12" customFormat="1" ht="51" customHeight="1" x14ac:dyDescent="0.2">
      <c r="A43" s="2">
        <v>16</v>
      </c>
      <c r="B43" s="145" t="s">
        <v>153</v>
      </c>
      <c r="C43" s="8" t="s">
        <v>154</v>
      </c>
      <c r="D43" s="2" t="s">
        <v>155</v>
      </c>
      <c r="E43" s="143">
        <v>110</v>
      </c>
      <c r="F43" s="101">
        <v>8.2799999999999994</v>
      </c>
      <c r="G43" s="30">
        <f>ROUND(E43*F43,2)</f>
        <v>910.8</v>
      </c>
      <c r="H43" s="139">
        <f t="shared" si="3"/>
        <v>7.6162697838628404E-2</v>
      </c>
      <c r="I43" s="30">
        <f>ROUND(F43*Прил.10!$D$13,2)</f>
        <v>66.569999999999993</v>
      </c>
      <c r="J43" s="30">
        <f>ROUND(I43*E43,2)</f>
        <v>7322.7</v>
      </c>
    </row>
    <row r="44" spans="1:10" s="12" customFormat="1" ht="14.25" customHeight="1" x14ac:dyDescent="0.2">
      <c r="A44" s="2">
        <v>17</v>
      </c>
      <c r="B44" s="145" t="s">
        <v>156</v>
      </c>
      <c r="C44" s="8" t="s">
        <v>157</v>
      </c>
      <c r="D44" s="2" t="s">
        <v>158</v>
      </c>
      <c r="E44" s="143">
        <v>1</v>
      </c>
      <c r="F44" s="101">
        <v>682</v>
      </c>
      <c r="G44" s="30">
        <f>ROUND(E44*F44,2)</f>
        <v>682</v>
      </c>
      <c r="H44" s="139">
        <f t="shared" si="3"/>
        <v>5.703003944438359E-2</v>
      </c>
      <c r="I44" s="30">
        <f>ROUND(F44*Прил.10!$D$13,2)</f>
        <v>5483.28</v>
      </c>
      <c r="J44" s="30">
        <f>ROUND(I44*E44,2)</f>
        <v>5483.28</v>
      </c>
    </row>
    <row r="45" spans="1:10" s="12" customFormat="1" ht="25.5" customHeight="1" x14ac:dyDescent="0.2">
      <c r="A45" s="2">
        <v>18</v>
      </c>
      <c r="B45" s="145" t="s">
        <v>159</v>
      </c>
      <c r="C45" s="8" t="s">
        <v>160</v>
      </c>
      <c r="D45" s="2" t="s">
        <v>161</v>
      </c>
      <c r="E45" s="143">
        <v>0.03</v>
      </c>
      <c r="F45" s="101">
        <v>17230.189999999999</v>
      </c>
      <c r="G45" s="30">
        <f>ROUND(E45*F45,2)</f>
        <v>516.91</v>
      </c>
      <c r="H45" s="139">
        <f t="shared" si="3"/>
        <v>4.3224923297941822E-2</v>
      </c>
      <c r="I45" s="30">
        <f>ROUND(F45*Прил.10!$D$13,2)</f>
        <v>138530.73000000001</v>
      </c>
      <c r="J45" s="30">
        <f>ROUND(I45*E45,2)</f>
        <v>4155.92</v>
      </c>
    </row>
    <row r="46" spans="1:10" s="12" customFormat="1" ht="14.25" customHeight="1" x14ac:dyDescent="0.2">
      <c r="A46" s="149"/>
      <c r="B46" s="150"/>
      <c r="C46" s="151" t="s">
        <v>289</v>
      </c>
      <c r="D46" s="149"/>
      <c r="E46" s="174"/>
      <c r="F46" s="142"/>
      <c r="G46" s="142">
        <f>SUM(G41:G45)</f>
        <v>10612.039999999999</v>
      </c>
      <c r="H46" s="139">
        <f t="shared" si="3"/>
        <v>0.8873974483656546</v>
      </c>
      <c r="I46" s="30"/>
      <c r="J46" s="142">
        <f>SUM(J41:J45)</f>
        <v>85320.63</v>
      </c>
    </row>
    <row r="47" spans="1:10" s="12" customFormat="1" ht="14.25" customHeight="1" outlineLevel="1" x14ac:dyDescent="0.2">
      <c r="A47" s="2">
        <v>19</v>
      </c>
      <c r="B47" s="145" t="s">
        <v>162</v>
      </c>
      <c r="C47" s="8" t="s">
        <v>163</v>
      </c>
      <c r="D47" s="2" t="s">
        <v>164</v>
      </c>
      <c r="E47" s="143">
        <v>1.1000000000000001</v>
      </c>
      <c r="F47" s="101">
        <v>277.5</v>
      </c>
      <c r="G47" s="30">
        <f t="shared" ref="G47:G74" si="4">ROUND(E47*F47,2)</f>
        <v>305.25</v>
      </c>
      <c r="H47" s="139">
        <f t="shared" si="3"/>
        <v>2.5525541848091044E-2</v>
      </c>
      <c r="I47" s="30">
        <f>ROUND(F47*Прил.10!$D$13,2)</f>
        <v>2231.1</v>
      </c>
      <c r="J47" s="30">
        <f t="shared" ref="J47:J74" si="5">ROUND(I47*E47,2)</f>
        <v>2454.21</v>
      </c>
    </row>
    <row r="48" spans="1:10" s="12" customFormat="1" ht="38.25" customHeight="1" outlineLevel="1" x14ac:dyDescent="0.2">
      <c r="A48" s="2">
        <v>20</v>
      </c>
      <c r="B48" s="145" t="s">
        <v>165</v>
      </c>
      <c r="C48" s="8" t="s">
        <v>166</v>
      </c>
      <c r="D48" s="2" t="s">
        <v>150</v>
      </c>
      <c r="E48" s="143">
        <v>5.6649999999999999E-2</v>
      </c>
      <c r="F48" s="101">
        <v>5000</v>
      </c>
      <c r="G48" s="30">
        <f t="shared" si="4"/>
        <v>283.25</v>
      </c>
      <c r="H48" s="139">
        <f t="shared" si="3"/>
        <v>2.3685863156336733E-2</v>
      </c>
      <c r="I48" s="30">
        <f>ROUND(F48*Прил.10!$D$13,2)</f>
        <v>40200</v>
      </c>
      <c r="J48" s="30">
        <f t="shared" si="5"/>
        <v>2277.33</v>
      </c>
    </row>
    <row r="49" spans="1:10" s="12" customFormat="1" ht="25.5" customHeight="1" outlineLevel="1" x14ac:dyDescent="0.2">
      <c r="A49" s="2">
        <v>21</v>
      </c>
      <c r="B49" s="145" t="s">
        <v>167</v>
      </c>
      <c r="C49" s="8" t="s">
        <v>168</v>
      </c>
      <c r="D49" s="2" t="s">
        <v>150</v>
      </c>
      <c r="E49" s="143">
        <v>0.02</v>
      </c>
      <c r="F49" s="101">
        <v>11500</v>
      </c>
      <c r="G49" s="30">
        <f t="shared" si="4"/>
        <v>230</v>
      </c>
      <c r="H49" s="139">
        <f t="shared" si="3"/>
        <v>1.9233004504704145E-2</v>
      </c>
      <c r="I49" s="30">
        <f>ROUND(F49*Прил.10!$D$13,2)</f>
        <v>92460</v>
      </c>
      <c r="J49" s="30">
        <f t="shared" si="5"/>
        <v>1849.2</v>
      </c>
    </row>
    <row r="50" spans="1:10" s="12" customFormat="1" ht="38.25" customHeight="1" outlineLevel="1" x14ac:dyDescent="0.2">
      <c r="A50" s="2">
        <v>22</v>
      </c>
      <c r="B50" s="145" t="s">
        <v>169</v>
      </c>
      <c r="C50" s="8" t="s">
        <v>170</v>
      </c>
      <c r="D50" s="2" t="s">
        <v>158</v>
      </c>
      <c r="E50" s="143">
        <v>0.29099999999999998</v>
      </c>
      <c r="F50" s="101">
        <v>600</v>
      </c>
      <c r="G50" s="30">
        <f t="shared" si="4"/>
        <v>174.6</v>
      </c>
      <c r="H50" s="139">
        <f t="shared" si="3"/>
        <v>1.4600359071831928E-2</v>
      </c>
      <c r="I50" s="30">
        <f>ROUND(F50*Прил.10!$D$13,2)</f>
        <v>4824</v>
      </c>
      <c r="J50" s="30">
        <f t="shared" si="5"/>
        <v>1403.78</v>
      </c>
    </row>
    <row r="51" spans="1:10" s="12" customFormat="1" ht="25.5" customHeight="1" outlineLevel="1" x14ac:dyDescent="0.2">
      <c r="A51" s="2">
        <v>23</v>
      </c>
      <c r="B51" s="145" t="s">
        <v>171</v>
      </c>
      <c r="C51" s="8" t="s">
        <v>172</v>
      </c>
      <c r="D51" s="2" t="s">
        <v>161</v>
      </c>
      <c r="E51" s="143">
        <v>0.1</v>
      </c>
      <c r="F51" s="101">
        <v>887.03</v>
      </c>
      <c r="G51" s="30">
        <f t="shared" si="4"/>
        <v>88.7</v>
      </c>
      <c r="H51" s="139">
        <f t="shared" si="3"/>
        <v>7.4172499981185113E-3</v>
      </c>
      <c r="I51" s="30">
        <f>ROUND(F51*Прил.10!$D$13,2)</f>
        <v>7131.72</v>
      </c>
      <c r="J51" s="30">
        <f t="shared" si="5"/>
        <v>713.17</v>
      </c>
    </row>
    <row r="52" spans="1:10" s="12" customFormat="1" ht="25.5" customHeight="1" outlineLevel="1" x14ac:dyDescent="0.2">
      <c r="A52" s="2">
        <v>24</v>
      </c>
      <c r="B52" s="145" t="s">
        <v>173</v>
      </c>
      <c r="C52" s="8" t="s">
        <v>174</v>
      </c>
      <c r="D52" s="2" t="s">
        <v>150</v>
      </c>
      <c r="E52" s="143">
        <v>6.9999999999999999E-4</v>
      </c>
      <c r="F52" s="101">
        <v>86162.5</v>
      </c>
      <c r="G52" s="30">
        <f t="shared" si="4"/>
        <v>60.31</v>
      </c>
      <c r="H52" s="139">
        <f t="shared" si="3"/>
        <v>5.0432282681682908E-3</v>
      </c>
      <c r="I52" s="30">
        <f>ROUND(F52*Прил.10!$D$13,2)</f>
        <v>692746.5</v>
      </c>
      <c r="J52" s="30">
        <f t="shared" si="5"/>
        <v>484.92</v>
      </c>
    </row>
    <row r="53" spans="1:10" s="12" customFormat="1" ht="25.5" customHeight="1" outlineLevel="1" x14ac:dyDescent="0.2">
      <c r="A53" s="2">
        <v>25</v>
      </c>
      <c r="B53" s="145" t="s">
        <v>175</v>
      </c>
      <c r="C53" s="8" t="s">
        <v>176</v>
      </c>
      <c r="D53" s="2" t="s">
        <v>161</v>
      </c>
      <c r="E53" s="143">
        <v>0.03</v>
      </c>
      <c r="F53" s="101">
        <v>1335.52</v>
      </c>
      <c r="G53" s="30">
        <f t="shared" si="4"/>
        <v>40.07</v>
      </c>
      <c r="H53" s="139">
        <f t="shared" si="3"/>
        <v>3.3507238717543262E-3</v>
      </c>
      <c r="I53" s="30">
        <f>ROUND(F53*Прил.10!$D$13,2)</f>
        <v>10737.58</v>
      </c>
      <c r="J53" s="30">
        <f t="shared" si="5"/>
        <v>322.13</v>
      </c>
    </row>
    <row r="54" spans="1:10" s="12" customFormat="1" ht="25.5" customHeight="1" outlineLevel="1" x14ac:dyDescent="0.2">
      <c r="A54" s="2">
        <v>26</v>
      </c>
      <c r="B54" s="145" t="s">
        <v>177</v>
      </c>
      <c r="C54" s="8" t="s">
        <v>178</v>
      </c>
      <c r="D54" s="2" t="s">
        <v>150</v>
      </c>
      <c r="E54" s="143">
        <v>2.398E-3</v>
      </c>
      <c r="F54" s="101">
        <v>12430</v>
      </c>
      <c r="G54" s="30">
        <f t="shared" si="4"/>
        <v>29.81</v>
      </c>
      <c r="H54" s="139">
        <f t="shared" si="3"/>
        <v>2.4927646273270893E-3</v>
      </c>
      <c r="I54" s="30">
        <f>ROUND(F54*Прил.10!$D$13,2)</f>
        <v>99937.2</v>
      </c>
      <c r="J54" s="30">
        <f t="shared" si="5"/>
        <v>239.65</v>
      </c>
    </row>
    <row r="55" spans="1:10" s="12" customFormat="1" ht="14.25" customHeight="1" outlineLevel="1" x14ac:dyDescent="0.2">
      <c r="A55" s="2">
        <v>27</v>
      </c>
      <c r="B55" s="145" t="s">
        <v>179</v>
      </c>
      <c r="C55" s="8" t="s">
        <v>180</v>
      </c>
      <c r="D55" s="2" t="s">
        <v>164</v>
      </c>
      <c r="E55" s="143">
        <v>0.56000000000000005</v>
      </c>
      <c r="F55" s="101">
        <v>39</v>
      </c>
      <c r="G55" s="30">
        <f t="shared" si="4"/>
        <v>21.84</v>
      </c>
      <c r="H55" s="139">
        <f t="shared" si="3"/>
        <v>1.8262992103597326E-3</v>
      </c>
      <c r="I55" s="30">
        <f>ROUND(F55*Прил.10!$D$13,2)</f>
        <v>313.56</v>
      </c>
      <c r="J55" s="30">
        <f t="shared" si="5"/>
        <v>175.59</v>
      </c>
    </row>
    <row r="56" spans="1:10" s="12" customFormat="1" ht="38.25" customHeight="1" outlineLevel="1" x14ac:dyDescent="0.2">
      <c r="A56" s="2">
        <v>28</v>
      </c>
      <c r="B56" s="145" t="s">
        <v>181</v>
      </c>
      <c r="C56" s="8" t="s">
        <v>182</v>
      </c>
      <c r="D56" s="2" t="s">
        <v>158</v>
      </c>
      <c r="E56" s="143">
        <v>3.1E-2</v>
      </c>
      <c r="F56" s="101">
        <v>684</v>
      </c>
      <c r="G56" s="30">
        <f t="shared" si="4"/>
        <v>21.2</v>
      </c>
      <c r="H56" s="139">
        <f t="shared" si="3"/>
        <v>1.7727812847814254E-3</v>
      </c>
      <c r="I56" s="30">
        <f>ROUND(F56*Прил.10!$D$13,2)</f>
        <v>5499.36</v>
      </c>
      <c r="J56" s="30">
        <f t="shared" si="5"/>
        <v>170.48</v>
      </c>
    </row>
    <row r="57" spans="1:10" s="12" customFormat="1" ht="14.25" customHeight="1" outlineLevel="1" x14ac:dyDescent="0.2">
      <c r="A57" s="2">
        <v>29</v>
      </c>
      <c r="B57" s="145" t="s">
        <v>183</v>
      </c>
      <c r="C57" s="8" t="s">
        <v>184</v>
      </c>
      <c r="D57" s="2" t="s">
        <v>185</v>
      </c>
      <c r="E57" s="143">
        <v>1.905</v>
      </c>
      <c r="F57" s="101">
        <v>9.0399999999999991</v>
      </c>
      <c r="G57" s="30">
        <f t="shared" si="4"/>
        <v>17.22</v>
      </c>
      <c r="H57" s="139">
        <f t="shared" si="3"/>
        <v>1.4399666850913276E-3</v>
      </c>
      <c r="I57" s="30">
        <f>ROUND(F57*Прил.10!$D$13,2)</f>
        <v>72.680000000000007</v>
      </c>
      <c r="J57" s="30">
        <f t="shared" si="5"/>
        <v>138.46</v>
      </c>
    </row>
    <row r="58" spans="1:10" s="12" customFormat="1" ht="25.5" customHeight="1" outlineLevel="1" x14ac:dyDescent="0.2">
      <c r="A58" s="2">
        <v>30</v>
      </c>
      <c r="B58" s="145" t="s">
        <v>186</v>
      </c>
      <c r="C58" s="8" t="s">
        <v>187</v>
      </c>
      <c r="D58" s="2" t="s">
        <v>188</v>
      </c>
      <c r="E58" s="143">
        <v>14.13885</v>
      </c>
      <c r="F58" s="101">
        <v>1</v>
      </c>
      <c r="G58" s="30">
        <f t="shared" si="4"/>
        <v>14.14</v>
      </c>
      <c r="H58" s="139">
        <f t="shared" si="3"/>
        <v>1.1824116682457243E-3</v>
      </c>
      <c r="I58" s="30">
        <f>ROUND(F58*Прил.10!$D$13,2)</f>
        <v>8.0399999999999991</v>
      </c>
      <c r="J58" s="30">
        <f t="shared" si="5"/>
        <v>113.68</v>
      </c>
    </row>
    <row r="59" spans="1:10" s="12" customFormat="1" ht="25.5" customHeight="1" outlineLevel="1" x14ac:dyDescent="0.2">
      <c r="A59" s="2">
        <v>31</v>
      </c>
      <c r="B59" s="145" t="s">
        <v>189</v>
      </c>
      <c r="C59" s="8" t="s">
        <v>190</v>
      </c>
      <c r="D59" s="2" t="s">
        <v>185</v>
      </c>
      <c r="E59" s="143">
        <v>1.3260000000000001</v>
      </c>
      <c r="F59" s="101">
        <v>10.57</v>
      </c>
      <c r="G59" s="30">
        <f t="shared" si="4"/>
        <v>14.02</v>
      </c>
      <c r="H59" s="139">
        <f t="shared" si="3"/>
        <v>1.1723770571997916E-3</v>
      </c>
      <c r="I59" s="30">
        <f>ROUND(F59*Прил.10!$D$13,2)</f>
        <v>84.98</v>
      </c>
      <c r="J59" s="30">
        <f t="shared" si="5"/>
        <v>112.68</v>
      </c>
    </row>
    <row r="60" spans="1:10" s="12" customFormat="1" ht="25.5" customHeight="1" outlineLevel="1" x14ac:dyDescent="0.2">
      <c r="A60" s="2">
        <v>32</v>
      </c>
      <c r="B60" s="145" t="s">
        <v>191</v>
      </c>
      <c r="C60" s="8" t="s">
        <v>192</v>
      </c>
      <c r="D60" s="2" t="s">
        <v>143</v>
      </c>
      <c r="E60" s="143">
        <v>0.05</v>
      </c>
      <c r="F60" s="101">
        <v>266.67</v>
      </c>
      <c r="G60" s="30">
        <f t="shared" si="4"/>
        <v>13.33</v>
      </c>
      <c r="H60" s="139">
        <f t="shared" si="3"/>
        <v>1.1146780436856792E-3</v>
      </c>
      <c r="I60" s="30">
        <f>ROUND(F60*Прил.10!$D$13,2)</f>
        <v>2144.0300000000002</v>
      </c>
      <c r="J60" s="30">
        <f t="shared" si="5"/>
        <v>107.2</v>
      </c>
    </row>
    <row r="61" spans="1:10" s="12" customFormat="1" ht="14.25" customHeight="1" outlineLevel="1" x14ac:dyDescent="0.2">
      <c r="A61" s="2">
        <v>33</v>
      </c>
      <c r="B61" s="145" t="s">
        <v>193</v>
      </c>
      <c r="C61" s="8" t="s">
        <v>194</v>
      </c>
      <c r="D61" s="2" t="s">
        <v>143</v>
      </c>
      <c r="E61" s="143">
        <v>11</v>
      </c>
      <c r="F61" s="101">
        <v>0.71</v>
      </c>
      <c r="G61" s="30">
        <f t="shared" si="4"/>
        <v>7.81</v>
      </c>
      <c r="H61" s="139">
        <f t="shared" si="3"/>
        <v>6.5308593557277981E-4</v>
      </c>
      <c r="I61" s="30">
        <f>ROUND(F61*Прил.10!$D$13,2)</f>
        <v>5.71</v>
      </c>
      <c r="J61" s="30">
        <f t="shared" si="5"/>
        <v>62.81</v>
      </c>
    </row>
    <row r="62" spans="1:10" s="12" customFormat="1" ht="14.25" customHeight="1" outlineLevel="1" x14ac:dyDescent="0.2">
      <c r="A62" s="2">
        <v>34</v>
      </c>
      <c r="B62" s="145" t="s">
        <v>195</v>
      </c>
      <c r="C62" s="8" t="s">
        <v>196</v>
      </c>
      <c r="D62" s="2" t="s">
        <v>150</v>
      </c>
      <c r="E62" s="143">
        <v>3.8000000000000002E-4</v>
      </c>
      <c r="F62" s="101">
        <v>12430</v>
      </c>
      <c r="G62" s="30">
        <f t="shared" si="4"/>
        <v>4.72</v>
      </c>
      <c r="H62" s="139">
        <f t="shared" si="3"/>
        <v>3.9469470114001547E-4</v>
      </c>
      <c r="I62" s="30">
        <f>ROUND(F62*Прил.10!$D$13,2)</f>
        <v>99937.2</v>
      </c>
      <c r="J62" s="30">
        <f t="shared" si="5"/>
        <v>37.979999999999997</v>
      </c>
    </row>
    <row r="63" spans="1:10" s="12" customFormat="1" ht="14.25" customHeight="1" outlineLevel="1" x14ac:dyDescent="0.2">
      <c r="A63" s="2">
        <v>35</v>
      </c>
      <c r="B63" s="145" t="s">
        <v>197</v>
      </c>
      <c r="C63" s="8" t="s">
        <v>198</v>
      </c>
      <c r="D63" s="2" t="s">
        <v>150</v>
      </c>
      <c r="E63" s="143">
        <v>4.9799999999999996E-4</v>
      </c>
      <c r="F63" s="101">
        <v>7826.9</v>
      </c>
      <c r="G63" s="30">
        <f t="shared" si="4"/>
        <v>3.9</v>
      </c>
      <c r="H63" s="139">
        <f t="shared" si="3"/>
        <v>3.261248589928094E-4</v>
      </c>
      <c r="I63" s="30">
        <f>ROUND(F63*Прил.10!$D$13,2)</f>
        <v>62928.28</v>
      </c>
      <c r="J63" s="30">
        <f t="shared" si="5"/>
        <v>31.34</v>
      </c>
    </row>
    <row r="64" spans="1:10" s="12" customFormat="1" ht="14.25" customHeight="1" outlineLevel="1" x14ac:dyDescent="0.2">
      <c r="A64" s="2">
        <v>36</v>
      </c>
      <c r="B64" s="145" t="s">
        <v>199</v>
      </c>
      <c r="C64" s="8" t="s">
        <v>200</v>
      </c>
      <c r="D64" s="2" t="s">
        <v>201</v>
      </c>
      <c r="E64" s="143">
        <v>2.5270000000000001E-2</v>
      </c>
      <c r="F64" s="101">
        <v>120</v>
      </c>
      <c r="G64" s="30">
        <f t="shared" si="4"/>
        <v>3.03</v>
      </c>
      <c r="H64" s="139">
        <f t="shared" si="3"/>
        <v>2.5337392890979808E-4</v>
      </c>
      <c r="I64" s="30">
        <f>ROUND(F64*Прил.10!$D$13,2)</f>
        <v>964.8</v>
      </c>
      <c r="J64" s="30">
        <f t="shared" si="5"/>
        <v>24.38</v>
      </c>
    </row>
    <row r="65" spans="1:10" s="12" customFormat="1" ht="14.25" customHeight="1" outlineLevel="1" x14ac:dyDescent="0.2">
      <c r="A65" s="2">
        <v>37</v>
      </c>
      <c r="B65" s="145" t="s">
        <v>202</v>
      </c>
      <c r="C65" s="8" t="s">
        <v>203</v>
      </c>
      <c r="D65" s="2" t="s">
        <v>204</v>
      </c>
      <c r="E65" s="143">
        <v>1.0999999999999999E-2</v>
      </c>
      <c r="F65" s="101">
        <v>270</v>
      </c>
      <c r="G65" s="30">
        <f t="shared" si="4"/>
        <v>2.97</v>
      </c>
      <c r="H65" s="139">
        <f t="shared" si="3"/>
        <v>2.4835662338683177E-4</v>
      </c>
      <c r="I65" s="30">
        <f>ROUND(F65*Прил.10!$D$13,2)</f>
        <v>2170.8000000000002</v>
      </c>
      <c r="J65" s="30">
        <f t="shared" si="5"/>
        <v>23.88</v>
      </c>
    </row>
    <row r="66" spans="1:10" s="12" customFormat="1" ht="14.25" customHeight="1" outlineLevel="1" x14ac:dyDescent="0.2">
      <c r="A66" s="2">
        <v>38</v>
      </c>
      <c r="B66" s="145" t="s">
        <v>205</v>
      </c>
      <c r="C66" s="8" t="s">
        <v>206</v>
      </c>
      <c r="D66" s="2" t="s">
        <v>150</v>
      </c>
      <c r="E66" s="143">
        <v>2.9999999999999997E-4</v>
      </c>
      <c r="F66" s="101">
        <v>9424</v>
      </c>
      <c r="G66" s="30">
        <f t="shared" si="4"/>
        <v>2.83</v>
      </c>
      <c r="H66" s="139">
        <f t="shared" si="3"/>
        <v>2.3664957716657708E-4</v>
      </c>
      <c r="I66" s="30">
        <f>ROUND(F66*Прил.10!$D$13,2)</f>
        <v>75768.960000000006</v>
      </c>
      <c r="J66" s="30">
        <f t="shared" si="5"/>
        <v>22.73</v>
      </c>
    </row>
    <row r="67" spans="1:10" s="12" customFormat="1" ht="38.25" customHeight="1" outlineLevel="1" x14ac:dyDescent="0.2">
      <c r="A67" s="2">
        <v>39</v>
      </c>
      <c r="B67" s="145" t="s">
        <v>207</v>
      </c>
      <c r="C67" s="8" t="s">
        <v>208</v>
      </c>
      <c r="D67" s="2" t="s">
        <v>158</v>
      </c>
      <c r="E67" s="143">
        <v>5.8999999999999999E-3</v>
      </c>
      <c r="F67" s="101">
        <v>558.33000000000004</v>
      </c>
      <c r="G67" s="30">
        <f t="shared" si="4"/>
        <v>3.29</v>
      </c>
      <c r="H67" s="139">
        <f t="shared" si="3"/>
        <v>2.7511558617598539E-4</v>
      </c>
      <c r="I67" s="30">
        <f>ROUND(F67*Прил.10!$D$13,2)</f>
        <v>4488.97</v>
      </c>
      <c r="J67" s="30">
        <f t="shared" si="5"/>
        <v>26.48</v>
      </c>
    </row>
    <row r="68" spans="1:10" s="12" customFormat="1" ht="25.5" customHeight="1" outlineLevel="1" x14ac:dyDescent="0.2">
      <c r="A68" s="2">
        <v>40</v>
      </c>
      <c r="B68" s="145" t="s">
        <v>209</v>
      </c>
      <c r="C68" s="8" t="s">
        <v>210</v>
      </c>
      <c r="D68" s="2" t="s">
        <v>204</v>
      </c>
      <c r="E68" s="143">
        <v>1.06E-3</v>
      </c>
      <c r="F68" s="101">
        <v>1740.2</v>
      </c>
      <c r="G68" s="30">
        <f t="shared" si="4"/>
        <v>1.84</v>
      </c>
      <c r="H68" s="139">
        <f t="shared" si="3"/>
        <v>1.5386403603763317E-4</v>
      </c>
      <c r="I68" s="30">
        <f>ROUND(F68*Прил.10!$D$13,2)</f>
        <v>13991.21</v>
      </c>
      <c r="J68" s="30">
        <f t="shared" si="5"/>
        <v>14.83</v>
      </c>
    </row>
    <row r="69" spans="1:10" s="12" customFormat="1" ht="14.25" customHeight="1" outlineLevel="1" x14ac:dyDescent="0.2">
      <c r="A69" s="2">
        <v>41</v>
      </c>
      <c r="B69" s="145" t="s">
        <v>211</v>
      </c>
      <c r="C69" s="8" t="s">
        <v>212</v>
      </c>
      <c r="D69" s="2" t="s">
        <v>185</v>
      </c>
      <c r="E69" s="143">
        <v>3.5000000000000003E-2</v>
      </c>
      <c r="F69" s="101">
        <v>28.6</v>
      </c>
      <c r="G69" s="30">
        <f t="shared" si="4"/>
        <v>1</v>
      </c>
      <c r="H69" s="139">
        <f t="shared" si="3"/>
        <v>8.3621758716104975E-5</v>
      </c>
      <c r="I69" s="30">
        <f>ROUND(F69*Прил.10!$D$13,2)</f>
        <v>229.94</v>
      </c>
      <c r="J69" s="30">
        <f t="shared" si="5"/>
        <v>8.0500000000000007</v>
      </c>
    </row>
    <row r="70" spans="1:10" s="12" customFormat="1" ht="14.25" customHeight="1" outlineLevel="1" x14ac:dyDescent="0.2">
      <c r="A70" s="2">
        <v>42</v>
      </c>
      <c r="B70" s="145" t="s">
        <v>213</v>
      </c>
      <c r="C70" s="8" t="s">
        <v>214</v>
      </c>
      <c r="D70" s="2" t="s">
        <v>215</v>
      </c>
      <c r="E70" s="143">
        <v>4.0000000000000001E-3</v>
      </c>
      <c r="F70" s="101">
        <v>110</v>
      </c>
      <c r="G70" s="30">
        <f t="shared" si="4"/>
        <v>0.44</v>
      </c>
      <c r="H70" s="139">
        <f t="shared" si="3"/>
        <v>3.679357383508619E-5</v>
      </c>
      <c r="I70" s="30">
        <f>ROUND(F70*Прил.10!$D$13,2)</f>
        <v>884.4</v>
      </c>
      <c r="J70" s="30">
        <f t="shared" si="5"/>
        <v>3.54</v>
      </c>
    </row>
    <row r="71" spans="1:10" s="12" customFormat="1" ht="38.25" customHeight="1" outlineLevel="1" x14ac:dyDescent="0.2">
      <c r="A71" s="2">
        <v>43</v>
      </c>
      <c r="B71" s="145" t="s">
        <v>216</v>
      </c>
      <c r="C71" s="8" t="s">
        <v>217</v>
      </c>
      <c r="D71" s="2" t="s">
        <v>150</v>
      </c>
      <c r="E71" s="143">
        <v>9.1E-4</v>
      </c>
      <c r="F71" s="101">
        <v>480</v>
      </c>
      <c r="G71" s="30">
        <f t="shared" si="4"/>
        <v>0.44</v>
      </c>
      <c r="H71" s="139">
        <f t="shared" si="3"/>
        <v>3.679357383508619E-5</v>
      </c>
      <c r="I71" s="30">
        <f>ROUND(F71*Прил.10!$D$13,2)</f>
        <v>3859.2</v>
      </c>
      <c r="J71" s="30">
        <f t="shared" si="5"/>
        <v>3.51</v>
      </c>
    </row>
    <row r="72" spans="1:10" s="12" customFormat="1" ht="14.25" customHeight="1" outlineLevel="1" x14ac:dyDescent="0.2">
      <c r="A72" s="2">
        <v>44</v>
      </c>
      <c r="B72" s="145" t="s">
        <v>218</v>
      </c>
      <c r="C72" s="8" t="s">
        <v>219</v>
      </c>
      <c r="D72" s="2" t="s">
        <v>185</v>
      </c>
      <c r="E72" s="143">
        <v>0.06</v>
      </c>
      <c r="F72" s="101">
        <v>6.4</v>
      </c>
      <c r="G72" s="30">
        <f t="shared" si="4"/>
        <v>0.38</v>
      </c>
      <c r="H72" s="139">
        <f t="shared" si="3"/>
        <v>3.1776268312119893E-5</v>
      </c>
      <c r="I72" s="30">
        <f>ROUND(F72*Прил.10!$D$13,2)</f>
        <v>51.46</v>
      </c>
      <c r="J72" s="30">
        <f t="shared" si="5"/>
        <v>3.09</v>
      </c>
    </row>
    <row r="73" spans="1:10" s="12" customFormat="1" ht="25.5" customHeight="1" outlineLevel="1" x14ac:dyDescent="0.2">
      <c r="A73" s="2">
        <v>45</v>
      </c>
      <c r="B73" s="145" t="s">
        <v>220</v>
      </c>
      <c r="C73" s="8" t="s">
        <v>221</v>
      </c>
      <c r="D73" s="2" t="s">
        <v>158</v>
      </c>
      <c r="E73" s="143">
        <v>3.1E-4</v>
      </c>
      <c r="F73" s="101">
        <v>463.3</v>
      </c>
      <c r="G73" s="30">
        <f t="shared" si="4"/>
        <v>0.14000000000000001</v>
      </c>
      <c r="H73" s="139">
        <f t="shared" si="3"/>
        <v>1.1707046220254698E-5</v>
      </c>
      <c r="I73" s="30">
        <f>ROUND(F73*Прил.10!$D$13,2)</f>
        <v>3724.93</v>
      </c>
      <c r="J73" s="30">
        <f t="shared" si="5"/>
        <v>1.1499999999999999</v>
      </c>
    </row>
    <row r="74" spans="1:10" s="12" customFormat="1" ht="38.25" customHeight="1" outlineLevel="1" x14ac:dyDescent="0.2">
      <c r="A74" s="2">
        <v>46</v>
      </c>
      <c r="B74" s="145" t="s">
        <v>222</v>
      </c>
      <c r="C74" s="8" t="s">
        <v>223</v>
      </c>
      <c r="D74" s="2" t="s">
        <v>158</v>
      </c>
      <c r="E74" s="143">
        <v>8.0000000000000004E-4</v>
      </c>
      <c r="F74" s="101">
        <v>55.26</v>
      </c>
      <c r="G74" s="30">
        <f t="shared" si="4"/>
        <v>0.04</v>
      </c>
      <c r="H74" s="139">
        <f t="shared" si="3"/>
        <v>3.344870348644199E-6</v>
      </c>
      <c r="I74" s="30">
        <f>ROUND(F74*Прил.10!$D$13,2)</f>
        <v>444.29</v>
      </c>
      <c r="J74" s="30">
        <f t="shared" si="5"/>
        <v>0.36</v>
      </c>
    </row>
    <row r="75" spans="1:10" s="12" customFormat="1" ht="14.25" customHeight="1" x14ac:dyDescent="0.2">
      <c r="A75" s="2"/>
      <c r="B75" s="2"/>
      <c r="C75" s="8" t="s">
        <v>290</v>
      </c>
      <c r="D75" s="2"/>
      <c r="E75" s="143"/>
      <c r="F75" s="101"/>
      <c r="G75" s="30">
        <f>SUM(G47:G74)</f>
        <v>1346.57</v>
      </c>
      <c r="H75" s="139">
        <f t="shared" si="3"/>
        <v>0.11260255163434547</v>
      </c>
      <c r="I75" s="30"/>
      <c r="J75" s="30">
        <f>SUM(J47:J74)</f>
        <v>10826.609999999995</v>
      </c>
    </row>
    <row r="76" spans="1:10" s="12" customFormat="1" ht="14.25" customHeight="1" x14ac:dyDescent="0.2">
      <c r="A76" s="2"/>
      <c r="B76" s="2"/>
      <c r="C76" s="102" t="s">
        <v>291</v>
      </c>
      <c r="D76" s="2"/>
      <c r="E76" s="134"/>
      <c r="F76" s="101"/>
      <c r="G76" s="30">
        <f>G46+G75</f>
        <v>11958.609999999999</v>
      </c>
      <c r="H76" s="135">
        <f t="shared" si="3"/>
        <v>1</v>
      </c>
      <c r="I76" s="30"/>
      <c r="J76" s="30">
        <f>J46+J75</f>
        <v>96147.24</v>
      </c>
    </row>
    <row r="77" spans="1:10" s="12" customFormat="1" ht="14.25" customHeight="1" x14ac:dyDescent="0.2">
      <c r="A77" s="2"/>
      <c r="B77" s="2"/>
      <c r="C77" s="8" t="s">
        <v>292</v>
      </c>
      <c r="D77" s="2"/>
      <c r="E77" s="134"/>
      <c r="F77" s="101"/>
      <c r="G77" s="30">
        <f>G14+G30+G76</f>
        <v>14129.109999999999</v>
      </c>
      <c r="H77" s="135"/>
      <c r="I77" s="30"/>
      <c r="J77" s="30">
        <f>J14+J30+J76</f>
        <v>154705.33000000002</v>
      </c>
    </row>
    <row r="78" spans="1:10" s="12" customFormat="1" ht="14.25" customHeight="1" x14ac:dyDescent="0.2">
      <c r="A78" s="2"/>
      <c r="B78" s="2"/>
      <c r="C78" s="8" t="s">
        <v>293</v>
      </c>
      <c r="D78" s="189">
        <f>ROUND(G78/(G$16+$G$14),2)</f>
        <v>1.02</v>
      </c>
      <c r="E78" s="134"/>
      <c r="F78" s="101"/>
      <c r="G78" s="30">
        <v>1007</v>
      </c>
      <c r="H78" s="135"/>
      <c r="I78" s="30"/>
      <c r="J78" s="30">
        <f>ROUND(D78*(J14+J16),2)</f>
        <v>46188.78</v>
      </c>
    </row>
    <row r="79" spans="1:10" s="12" customFormat="1" ht="14.25" customHeight="1" x14ac:dyDescent="0.2">
      <c r="A79" s="2"/>
      <c r="B79" s="2"/>
      <c r="C79" s="8" t="s">
        <v>294</v>
      </c>
      <c r="D79" s="189">
        <f>ROUND(G79/(G$14+G$16),2)</f>
        <v>0.69</v>
      </c>
      <c r="E79" s="134"/>
      <c r="F79" s="101"/>
      <c r="G79" s="30">
        <v>680.4</v>
      </c>
      <c r="H79" s="135"/>
      <c r="I79" s="30"/>
      <c r="J79" s="30">
        <f>ROUND(D79*(J14+J16),2)</f>
        <v>31245.35</v>
      </c>
    </row>
    <row r="80" spans="1:10" s="12" customFormat="1" ht="14.25" customHeight="1" x14ac:dyDescent="0.2">
      <c r="A80" s="2"/>
      <c r="B80" s="2"/>
      <c r="C80" s="8" t="s">
        <v>295</v>
      </c>
      <c r="D80" s="2"/>
      <c r="E80" s="134"/>
      <c r="F80" s="101"/>
      <c r="G80" s="30">
        <f>G14+G30+G76+G78+G79</f>
        <v>15816.509999999998</v>
      </c>
      <c r="H80" s="135"/>
      <c r="I80" s="30"/>
      <c r="J80" s="30">
        <f>J14+J30+J76+J78+J79</f>
        <v>232139.46000000002</v>
      </c>
    </row>
    <row r="81" spans="1:10" s="12" customFormat="1" ht="14.25" customHeight="1" x14ac:dyDescent="0.2">
      <c r="A81" s="2"/>
      <c r="B81" s="2"/>
      <c r="C81" s="8" t="s">
        <v>296</v>
      </c>
      <c r="D81" s="2"/>
      <c r="E81" s="134"/>
      <c r="F81" s="101"/>
      <c r="G81" s="30">
        <f>G80+G37</f>
        <v>20556.239999999998</v>
      </c>
      <c r="H81" s="135"/>
      <c r="I81" s="30"/>
      <c r="J81" s="30">
        <f>J80+J37</f>
        <v>261810.18000000002</v>
      </c>
    </row>
    <row r="82" spans="1:10" s="12" customFormat="1" ht="34.5" customHeight="1" x14ac:dyDescent="0.2">
      <c r="A82" s="2"/>
      <c r="B82" s="2"/>
      <c r="C82" s="8" t="s">
        <v>260</v>
      </c>
      <c r="D82" s="224" t="s">
        <v>297</v>
      </c>
      <c r="E82" s="134">
        <v>1</v>
      </c>
      <c r="F82" s="101"/>
      <c r="G82" s="30">
        <f>G81/E82</f>
        <v>20556.239999999998</v>
      </c>
      <c r="H82" s="135"/>
      <c r="I82" s="30"/>
      <c r="J82" s="30">
        <f>J81/E82</f>
        <v>261810.18000000002</v>
      </c>
    </row>
    <row r="84" spans="1:10" s="12" customFormat="1" ht="14.25" customHeight="1" x14ac:dyDescent="0.2">
      <c r="A84" s="4" t="s">
        <v>298</v>
      </c>
      <c r="D84" s="188"/>
    </row>
    <row r="85" spans="1:10" s="12" customFormat="1" ht="14.25" customHeight="1" x14ac:dyDescent="0.2">
      <c r="A85" s="31" t="s">
        <v>76</v>
      </c>
      <c r="D85" s="188"/>
    </row>
    <row r="86" spans="1:10" s="12" customFormat="1" ht="14.25" customHeight="1" x14ac:dyDescent="0.2">
      <c r="A86" s="4"/>
      <c r="D86" s="188"/>
    </row>
    <row r="87" spans="1:10" s="12" customFormat="1" ht="14.25" customHeight="1" x14ac:dyDescent="0.2">
      <c r="A87" s="4" t="s">
        <v>77</v>
      </c>
      <c r="D87" s="188"/>
    </row>
    <row r="88" spans="1:10" s="12" customFormat="1" ht="14.25" customHeight="1" x14ac:dyDescent="0.2">
      <c r="A88" s="31" t="s">
        <v>78</v>
      </c>
      <c r="D88" s="188"/>
    </row>
  </sheetData>
  <sheetProtection formatCells="0" formatColumns="0" formatRows="0" insertColumns="0" insertRows="0" insertHyperlinks="0" deleteColumns="0" deleteRows="0" sort="0" autoFilter="0" pivotTables="0"/>
  <mergeCells count="21">
    <mergeCell ref="B40:H40"/>
    <mergeCell ref="B12:H12"/>
    <mergeCell ref="B15:H15"/>
    <mergeCell ref="B17:H17"/>
    <mergeCell ref="B18:H18"/>
    <mergeCell ref="B32:H32"/>
    <mergeCell ref="B31:H31"/>
    <mergeCell ref="B39:H39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conditionalFormatting sqref="B19:B21">
    <cfRule type="duplicateValues" dxfId="3" priority="1"/>
  </conditionalFormatting>
  <conditionalFormatting sqref="B23:B28">
    <cfRule type="duplicateValues" dxfId="2" priority="2"/>
  </conditionalFormatting>
  <conditionalFormatting sqref="B41:B45">
    <cfRule type="duplicateValues" dxfId="1" priority="3"/>
  </conditionalFormatting>
  <conditionalFormatting sqref="B47:B74">
    <cfRule type="duplicateValues" dxfId="0" priority="4"/>
  </conditionalFormatting>
  <pageMargins left="0.70866141732283505" right="0.70866141732283505" top="0.74803149606299202" bottom="0.74803149606299202" header="0.31496062992126" footer="0.31496062992126"/>
  <pageSetup paperSize="9" scale="81" fitToHeight="0" orientation="landscape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1"/>
  <sheetViews>
    <sheetView view="pageBreakPreview" workbookViewId="0">
      <selection activeCell="I32" sqref="I32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78" t="s">
        <v>299</v>
      </c>
      <c r="B1" s="278"/>
      <c r="C1" s="278"/>
      <c r="D1" s="278"/>
      <c r="E1" s="278"/>
      <c r="F1" s="278"/>
      <c r="G1" s="278"/>
    </row>
    <row r="2" spans="1:7" ht="21.75" customHeight="1" x14ac:dyDescent="0.25">
      <c r="A2" s="50"/>
      <c r="B2" s="50"/>
      <c r="C2" s="50"/>
      <c r="D2" s="50"/>
      <c r="E2" s="50"/>
      <c r="F2" s="50"/>
      <c r="G2" s="50"/>
    </row>
    <row r="3" spans="1:7" x14ac:dyDescent="0.25">
      <c r="A3" s="230" t="s">
        <v>300</v>
      </c>
      <c r="B3" s="230"/>
      <c r="C3" s="230"/>
      <c r="D3" s="230"/>
      <c r="E3" s="230"/>
      <c r="F3" s="230"/>
      <c r="G3" s="230"/>
    </row>
    <row r="4" spans="1:7" ht="25.5" customHeight="1" x14ac:dyDescent="0.25">
      <c r="A4" s="233" t="s">
        <v>48</v>
      </c>
      <c r="B4" s="233"/>
      <c r="C4" s="233"/>
      <c r="D4" s="233"/>
      <c r="E4" s="233"/>
      <c r="F4" s="233"/>
      <c r="G4" s="233"/>
    </row>
    <row r="5" spans="1:7" x14ac:dyDescent="0.25">
      <c r="A5" s="4"/>
      <c r="B5" s="4"/>
      <c r="C5" s="4"/>
      <c r="D5" s="4"/>
      <c r="E5" s="4"/>
      <c r="F5" s="4"/>
      <c r="G5" s="4"/>
    </row>
    <row r="6" spans="1:7" ht="30.2" customHeight="1" x14ac:dyDescent="0.25">
      <c r="A6" s="283" t="s">
        <v>13</v>
      </c>
      <c r="B6" s="283" t="s">
        <v>101</v>
      </c>
      <c r="C6" s="283" t="s">
        <v>226</v>
      </c>
      <c r="D6" s="283" t="s">
        <v>103</v>
      </c>
      <c r="E6" s="263" t="s">
        <v>269</v>
      </c>
      <c r="F6" s="283" t="s">
        <v>105</v>
      </c>
      <c r="G6" s="283"/>
    </row>
    <row r="7" spans="1:7" x14ac:dyDescent="0.25">
      <c r="A7" s="283"/>
      <c r="B7" s="283"/>
      <c r="C7" s="283"/>
      <c r="D7" s="283"/>
      <c r="E7" s="264"/>
      <c r="F7" s="2" t="s">
        <v>272</v>
      </c>
      <c r="G7" s="2" t="s">
        <v>107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24"/>
      <c r="B9" s="279" t="s">
        <v>301</v>
      </c>
      <c r="C9" s="280"/>
      <c r="D9" s="280"/>
      <c r="E9" s="280"/>
      <c r="F9" s="280"/>
      <c r="G9" s="281"/>
    </row>
    <row r="10" spans="1:7" ht="27" customHeight="1" x14ac:dyDescent="0.25">
      <c r="A10" s="2"/>
      <c r="B10" s="102"/>
      <c r="C10" s="8" t="s">
        <v>302</v>
      </c>
      <c r="D10" s="102"/>
      <c r="E10" s="103"/>
      <c r="F10" s="101"/>
      <c r="G10" s="101">
        <v>0</v>
      </c>
    </row>
    <row r="11" spans="1:7" x14ac:dyDescent="0.25">
      <c r="A11" s="2"/>
      <c r="B11" s="270" t="s">
        <v>303</v>
      </c>
      <c r="C11" s="270"/>
      <c r="D11" s="270"/>
      <c r="E11" s="282"/>
      <c r="F11" s="272"/>
      <c r="G11" s="272"/>
    </row>
    <row r="12" spans="1:7" ht="33" customHeight="1" x14ac:dyDescent="0.25">
      <c r="A12" s="2">
        <v>1</v>
      </c>
      <c r="B12" s="182" t="str">
        <f>'Прил.5 Расчет СМР и ОБ'!B33</f>
        <v>БЦ.92_4.11</v>
      </c>
      <c r="C12" s="182" t="str">
        <f>'Прил.5 Расчет СМР и ОБ'!C33</f>
        <v>Мотор-редуктор для откатных ворот</v>
      </c>
      <c r="D12" s="190" t="str">
        <f>'Прил.5 Расчет СМР и ОБ'!D33</f>
        <v>шт</v>
      </c>
      <c r="E12" s="191">
        <f>'Прил.5 Расчет СМР и ОБ'!E33</f>
        <v>1</v>
      </c>
      <c r="F12" s="182">
        <f>'Прил.5 Расчет СМР и ОБ'!F33</f>
        <v>3642.45</v>
      </c>
      <c r="G12" s="30">
        <f>ROUND(E12*F12,2)</f>
        <v>3642.45</v>
      </c>
    </row>
    <row r="13" spans="1:7" ht="33" customHeight="1" x14ac:dyDescent="0.25">
      <c r="A13" s="2">
        <v>2</v>
      </c>
      <c r="B13" s="182" t="str">
        <f>'Прил.5 Расчет СМР и ОБ'!B34</f>
        <v>62.1.02.14-0069</v>
      </c>
      <c r="C13" s="182" t="str">
        <f>'Прил.5 Расчет СМР и ОБ'!C34</f>
        <v>Ящик управления РУСМ 5410-2274 У2</v>
      </c>
      <c r="D13" s="190" t="str">
        <f>'Прил.5 Расчет СМР и ОБ'!D34</f>
        <v>шт.</v>
      </c>
      <c r="E13" s="191">
        <f>'Прил.5 Расчет СМР и ОБ'!E34</f>
        <v>1</v>
      </c>
      <c r="F13" s="182">
        <f>'Прил.5 Расчет СМР и ОБ'!F34</f>
        <v>1097.28</v>
      </c>
      <c r="G13" s="30">
        <f>ROUND(E13*F13,2)</f>
        <v>1097.28</v>
      </c>
    </row>
    <row r="14" spans="1:7" ht="25.5" customHeight="1" x14ac:dyDescent="0.25">
      <c r="A14" s="2"/>
      <c r="B14" s="8"/>
      <c r="C14" s="8" t="s">
        <v>304</v>
      </c>
      <c r="D14" s="8"/>
      <c r="E14" s="45"/>
      <c r="F14" s="101"/>
      <c r="G14" s="30">
        <f>SUM(G12:G13)</f>
        <v>4739.7299999999996</v>
      </c>
    </row>
    <row r="15" spans="1:7" ht="19.5" customHeight="1" x14ac:dyDescent="0.25">
      <c r="A15" s="2"/>
      <c r="B15" s="8"/>
      <c r="C15" s="8" t="s">
        <v>305</v>
      </c>
      <c r="D15" s="8"/>
      <c r="E15" s="45"/>
      <c r="F15" s="101"/>
      <c r="G15" s="30">
        <f>G10+G14</f>
        <v>4739.7299999999996</v>
      </c>
    </row>
    <row r="16" spans="1:7" x14ac:dyDescent="0.25">
      <c r="A16" s="28"/>
      <c r="B16" s="104"/>
      <c r="C16" s="28"/>
      <c r="D16" s="28"/>
      <c r="E16" s="28"/>
      <c r="F16" s="28"/>
      <c r="G16" s="28"/>
    </row>
    <row r="17" spans="1:7" x14ac:dyDescent="0.25">
      <c r="A17" s="4" t="s">
        <v>298</v>
      </c>
      <c r="B17" s="12"/>
      <c r="C17" s="12"/>
      <c r="D17" s="28"/>
      <c r="E17" s="28"/>
      <c r="F17" s="28"/>
      <c r="G17" s="28"/>
    </row>
    <row r="18" spans="1:7" x14ac:dyDescent="0.25">
      <c r="A18" s="31" t="s">
        <v>76</v>
      </c>
      <c r="B18" s="12"/>
      <c r="C18" s="12"/>
      <c r="D18" s="28"/>
      <c r="E18" s="28"/>
      <c r="F18" s="28"/>
      <c r="G18" s="28"/>
    </row>
    <row r="19" spans="1:7" x14ac:dyDescent="0.25">
      <c r="A19" s="4"/>
      <c r="B19" s="12"/>
      <c r="C19" s="12"/>
      <c r="D19" s="28"/>
      <c r="E19" s="28"/>
      <c r="F19" s="28"/>
      <c r="G19" s="28"/>
    </row>
    <row r="20" spans="1:7" x14ac:dyDescent="0.25">
      <c r="A20" s="4" t="s">
        <v>77</v>
      </c>
      <c r="B20" s="12"/>
      <c r="C20" s="12"/>
      <c r="D20" s="28"/>
      <c r="E20" s="28"/>
      <c r="F20" s="28"/>
      <c r="G20" s="28"/>
    </row>
    <row r="21" spans="1:7" x14ac:dyDescent="0.25">
      <c r="A21" s="31" t="s">
        <v>78</v>
      </c>
      <c r="B21" s="12"/>
      <c r="C21" s="12"/>
      <c r="D21" s="28"/>
      <c r="E21" s="28"/>
      <c r="F21" s="28"/>
      <c r="G21" s="28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8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workbookViewId="0">
      <selection activeCell="D28" sqref="D28"/>
    </sheetView>
  </sheetViews>
  <sheetFormatPr defaultColWidth="8.85546875" defaultRowHeight="15" x14ac:dyDescent="0.25"/>
  <cols>
    <col min="1" max="1" width="14.42578125" style="212" customWidth="1"/>
    <col min="2" max="2" width="29.5703125" style="212" customWidth="1"/>
    <col min="3" max="3" width="39.140625" style="212" customWidth="1"/>
    <col min="4" max="4" width="48.140625" style="212" customWidth="1"/>
    <col min="5" max="5" width="8.85546875" style="212"/>
  </cols>
  <sheetData>
    <row r="1" spans="1:5" x14ac:dyDescent="0.25">
      <c r="B1" s="213"/>
      <c r="C1" s="213"/>
      <c r="D1" s="214" t="s">
        <v>306</v>
      </c>
    </row>
    <row r="2" spans="1:5" x14ac:dyDescent="0.25">
      <c r="A2" s="214"/>
      <c r="B2" s="214"/>
      <c r="C2" s="214"/>
      <c r="D2" s="214"/>
    </row>
    <row r="3" spans="1:5" ht="24.75" customHeight="1" x14ac:dyDescent="0.25">
      <c r="A3" s="230" t="s">
        <v>307</v>
      </c>
      <c r="B3" s="230"/>
      <c r="C3" s="230"/>
      <c r="D3" s="230"/>
    </row>
    <row r="4" spans="1:5" ht="24.75" customHeight="1" x14ac:dyDescent="0.25">
      <c r="A4" s="215"/>
      <c r="B4" s="215"/>
      <c r="C4" s="215"/>
      <c r="D4" s="215"/>
    </row>
    <row r="5" spans="1:5" ht="39" customHeight="1" x14ac:dyDescent="0.25">
      <c r="A5" s="233" t="s">
        <v>308</v>
      </c>
      <c r="B5" s="233"/>
      <c r="C5" s="233"/>
      <c r="D5" s="216" t="str">
        <f>'Прил.5 Расчет СМР и ОБ'!D6:J6</f>
        <v>Постоянная часть ПС, откатные (раздвижные, автоматические, противопожарные) ворота ПС 220 кВ</v>
      </c>
    </row>
    <row r="6" spans="1:5" ht="19.899999999999999" customHeight="1" x14ac:dyDescent="0.25">
      <c r="A6" s="233" t="s">
        <v>50</v>
      </c>
      <c r="B6" s="233"/>
      <c r="C6" s="233"/>
      <c r="D6" s="216"/>
    </row>
    <row r="7" spans="1:5" x14ac:dyDescent="0.25">
      <c r="A7" s="213"/>
      <c r="B7" s="213"/>
      <c r="C7" s="213"/>
      <c r="D7" s="213"/>
    </row>
    <row r="8" spans="1:5" ht="14.45" customHeight="1" x14ac:dyDescent="0.25">
      <c r="A8" s="244" t="s">
        <v>5</v>
      </c>
      <c r="B8" s="244" t="s">
        <v>6</v>
      </c>
      <c r="C8" s="244" t="s">
        <v>309</v>
      </c>
      <c r="D8" s="244" t="s">
        <v>310</v>
      </c>
    </row>
    <row r="9" spans="1:5" ht="15" customHeight="1" x14ac:dyDescent="0.25">
      <c r="A9" s="244"/>
      <c r="B9" s="244"/>
      <c r="C9" s="244"/>
      <c r="D9" s="244"/>
    </row>
    <row r="10" spans="1:5" x14ac:dyDescent="0.25">
      <c r="A10" s="217">
        <v>1</v>
      </c>
      <c r="B10" s="217">
        <v>2</v>
      </c>
      <c r="C10" s="217">
        <v>3</v>
      </c>
      <c r="D10" s="217">
        <v>4</v>
      </c>
    </row>
    <row r="11" spans="1:5" ht="41.45" customHeight="1" x14ac:dyDescent="0.25">
      <c r="A11" s="225" t="s">
        <v>311</v>
      </c>
      <c r="B11" s="226" t="s">
        <v>312</v>
      </c>
      <c r="C11" s="227" t="s">
        <v>313</v>
      </c>
      <c r="D11" s="218">
        <f>'Прил.4 РМ'!C41/1000</f>
        <v>290.85695999999996</v>
      </c>
      <c r="E11" s="219"/>
    </row>
    <row r="12" spans="1:5" x14ac:dyDescent="0.25">
      <c r="A12" s="220"/>
      <c r="B12" s="221"/>
      <c r="C12" s="220"/>
      <c r="D12" s="220"/>
    </row>
    <row r="13" spans="1:5" x14ac:dyDescent="0.25">
      <c r="A13" s="213" t="s">
        <v>314</v>
      </c>
      <c r="B13" s="222"/>
      <c r="C13" s="222"/>
      <c r="D13" s="220"/>
    </row>
    <row r="14" spans="1:5" x14ac:dyDescent="0.25">
      <c r="A14" s="223" t="s">
        <v>76</v>
      </c>
      <c r="B14" s="222"/>
      <c r="C14" s="222"/>
      <c r="D14" s="220"/>
    </row>
    <row r="15" spans="1:5" x14ac:dyDescent="0.25">
      <c r="A15" s="213"/>
      <c r="B15" s="222"/>
      <c r="C15" s="222"/>
      <c r="D15" s="220"/>
    </row>
    <row r="16" spans="1:5" x14ac:dyDescent="0.25">
      <c r="A16" s="213" t="s">
        <v>94</v>
      </c>
      <c r="B16" s="222"/>
      <c r="C16" s="222"/>
      <c r="D16" s="220"/>
    </row>
    <row r="17" spans="1:4" x14ac:dyDescent="0.25">
      <c r="A17" s="223" t="s">
        <v>78</v>
      </c>
      <c r="B17" s="222"/>
      <c r="C17" s="222"/>
      <c r="D17" s="220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0"/>
  <sheetViews>
    <sheetView view="pageBreakPreview" topLeftCell="A4" zoomScale="60" zoomScaleNormal="85" workbookViewId="0">
      <selection activeCell="M38" sqref="M38"/>
    </sheetView>
  </sheetViews>
  <sheetFormatPr defaultColWidth="9.140625" defaultRowHeight="15" x14ac:dyDescent="0.25"/>
  <cols>
    <col min="2" max="2" width="40.7109375" customWidth="1"/>
    <col min="3" max="3" width="37" customWidth="1"/>
    <col min="4" max="4" width="32" customWidth="1"/>
  </cols>
  <sheetData>
    <row r="4" spans="2:5" ht="15.75" customHeight="1" x14ac:dyDescent="0.25">
      <c r="B4" s="238" t="s">
        <v>315</v>
      </c>
      <c r="C4" s="238"/>
      <c r="D4" s="238"/>
    </row>
    <row r="5" spans="2:5" ht="18.75" customHeight="1" x14ac:dyDescent="0.25">
      <c r="B5" s="129"/>
    </row>
    <row r="6" spans="2:5" ht="15.75" customHeight="1" x14ac:dyDescent="0.25">
      <c r="B6" s="243" t="s">
        <v>316</v>
      </c>
      <c r="C6" s="243"/>
      <c r="D6" s="243"/>
    </row>
    <row r="7" spans="2:5" x14ac:dyDescent="0.25">
      <c r="B7" s="284"/>
      <c r="C7" s="284"/>
      <c r="D7" s="284"/>
      <c r="E7" s="284"/>
    </row>
    <row r="8" spans="2:5" x14ac:dyDescent="0.25">
      <c r="B8" s="144"/>
      <c r="C8" s="144"/>
      <c r="D8" s="144"/>
      <c r="E8" s="144"/>
    </row>
    <row r="9" spans="2:5" ht="47.25" customHeight="1" x14ac:dyDescent="0.25">
      <c r="B9" s="120" t="s">
        <v>317</v>
      </c>
      <c r="C9" s="120" t="s">
        <v>318</v>
      </c>
      <c r="D9" s="120" t="s">
        <v>319</v>
      </c>
    </row>
    <row r="10" spans="2:5" ht="15.75" customHeight="1" x14ac:dyDescent="0.25">
      <c r="B10" s="120">
        <v>1</v>
      </c>
      <c r="C10" s="120">
        <v>2</v>
      </c>
      <c r="D10" s="120">
        <v>3</v>
      </c>
    </row>
    <row r="11" spans="2:5" ht="45" customHeight="1" x14ac:dyDescent="0.25">
      <c r="B11" s="120" t="s">
        <v>320</v>
      </c>
      <c r="C11" s="120" t="s">
        <v>321</v>
      </c>
      <c r="D11" s="120">
        <v>44.29</v>
      </c>
    </row>
    <row r="12" spans="2:5" ht="29.25" customHeight="1" x14ac:dyDescent="0.25">
      <c r="B12" s="120" t="s">
        <v>322</v>
      </c>
      <c r="C12" s="120" t="s">
        <v>321</v>
      </c>
      <c r="D12" s="120">
        <v>13.47</v>
      </c>
    </row>
    <row r="13" spans="2:5" ht="29.25" customHeight="1" x14ac:dyDescent="0.25">
      <c r="B13" s="120" t="s">
        <v>323</v>
      </c>
      <c r="C13" s="120" t="s">
        <v>321</v>
      </c>
      <c r="D13" s="120">
        <v>8.0399999999999991</v>
      </c>
    </row>
    <row r="14" spans="2:5" ht="30.75" customHeight="1" x14ac:dyDescent="0.25">
      <c r="B14" s="120" t="s">
        <v>324</v>
      </c>
      <c r="C14" s="114" t="s">
        <v>325</v>
      </c>
      <c r="D14" s="120">
        <v>6.26</v>
      </c>
    </row>
    <row r="15" spans="2:5" ht="89.45" customHeight="1" x14ac:dyDescent="0.25">
      <c r="B15" s="120" t="s">
        <v>326</v>
      </c>
      <c r="C15" s="120" t="s">
        <v>327</v>
      </c>
      <c r="D15" s="131">
        <v>3.9E-2</v>
      </c>
    </row>
    <row r="16" spans="2:5" ht="78.75" customHeight="1" x14ac:dyDescent="0.25">
      <c r="B16" s="120" t="s">
        <v>328</v>
      </c>
      <c r="C16" s="120" t="s">
        <v>329</v>
      </c>
      <c r="D16" s="131">
        <v>2.1000000000000001E-2</v>
      </c>
    </row>
    <row r="17" spans="2:4" ht="31.7" customHeight="1" x14ac:dyDescent="0.25">
      <c r="B17" s="120" t="s">
        <v>330</v>
      </c>
      <c r="C17" s="120" t="s">
        <v>331</v>
      </c>
      <c r="D17" s="131">
        <v>2.1399999999999999E-2</v>
      </c>
    </row>
    <row r="18" spans="2:4" ht="31.7" customHeight="1" x14ac:dyDescent="0.25">
      <c r="B18" s="120" t="s">
        <v>256</v>
      </c>
      <c r="C18" s="120" t="s">
        <v>332</v>
      </c>
      <c r="D18" s="131">
        <v>2E-3</v>
      </c>
    </row>
    <row r="19" spans="2:4" ht="24" customHeight="1" x14ac:dyDescent="0.25">
      <c r="B19" s="120" t="s">
        <v>258</v>
      </c>
      <c r="C19" s="120" t="s">
        <v>333</v>
      </c>
      <c r="D19" s="131">
        <v>0.03</v>
      </c>
    </row>
    <row r="20" spans="2:4" ht="18.75" customHeight="1" x14ac:dyDescent="0.25">
      <c r="B20" s="130"/>
    </row>
    <row r="21" spans="2:4" ht="18.75" customHeight="1" x14ac:dyDescent="0.25">
      <c r="B21" s="130"/>
    </row>
    <row r="22" spans="2:4" ht="18.75" customHeight="1" x14ac:dyDescent="0.25">
      <c r="B22" s="130"/>
    </row>
    <row r="23" spans="2:4" ht="18.75" customHeight="1" x14ac:dyDescent="0.25">
      <c r="B23" s="130"/>
    </row>
    <row r="26" spans="2:4" x14ac:dyDescent="0.25">
      <c r="B26" s="4" t="s">
        <v>75</v>
      </c>
      <c r="C26" s="12"/>
    </row>
    <row r="27" spans="2:4" x14ac:dyDescent="0.25">
      <c r="B27" s="31" t="s">
        <v>76</v>
      </c>
      <c r="C27" s="12"/>
    </row>
    <row r="28" spans="2:4" x14ac:dyDescent="0.25">
      <c r="B28" s="4"/>
      <c r="C28" s="12"/>
    </row>
    <row r="29" spans="2:4" x14ac:dyDescent="0.25">
      <c r="B29" s="4" t="s">
        <v>77</v>
      </c>
      <c r="C29" s="12"/>
    </row>
    <row r="30" spans="2:4" x14ac:dyDescent="0.25">
      <c r="B30" s="31" t="s">
        <v>78</v>
      </c>
      <c r="C30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9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F13" sqref="F13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7.45" customHeight="1" x14ac:dyDescent="0.25">
      <c r="A2" s="243" t="s">
        <v>334</v>
      </c>
      <c r="B2" s="243"/>
      <c r="C2" s="243"/>
      <c r="D2" s="243"/>
      <c r="E2" s="243"/>
      <c r="F2" s="243"/>
    </row>
    <row r="4" spans="1:7" ht="18" customHeight="1" x14ac:dyDescent="0.25">
      <c r="A4" s="115" t="s">
        <v>335</v>
      </c>
      <c r="B4" s="116"/>
      <c r="C4" s="116"/>
      <c r="D4" s="116"/>
      <c r="E4" s="116"/>
      <c r="F4" s="116"/>
      <c r="G4" s="116"/>
    </row>
    <row r="5" spans="1:7" ht="15.75" customHeight="1" x14ac:dyDescent="0.25">
      <c r="A5" s="117" t="s">
        <v>13</v>
      </c>
      <c r="B5" s="117" t="s">
        <v>336</v>
      </c>
      <c r="C5" s="117" t="s">
        <v>337</v>
      </c>
      <c r="D5" s="117" t="s">
        <v>338</v>
      </c>
      <c r="E5" s="117" t="s">
        <v>339</v>
      </c>
      <c r="F5" s="117" t="s">
        <v>340</v>
      </c>
      <c r="G5" s="116"/>
    </row>
    <row r="6" spans="1:7" ht="15.75" customHeight="1" x14ac:dyDescent="0.25">
      <c r="A6" s="117">
        <v>1</v>
      </c>
      <c r="B6" s="117">
        <v>2</v>
      </c>
      <c r="C6" s="117">
        <v>3</v>
      </c>
      <c r="D6" s="117">
        <v>4</v>
      </c>
      <c r="E6" s="117">
        <v>5</v>
      </c>
      <c r="F6" s="117">
        <v>6</v>
      </c>
      <c r="G6" s="116"/>
    </row>
    <row r="7" spans="1:7" ht="110.25" customHeight="1" x14ac:dyDescent="0.25">
      <c r="A7" s="118" t="s">
        <v>341</v>
      </c>
      <c r="B7" s="119" t="s">
        <v>342</v>
      </c>
      <c r="C7" s="120" t="s">
        <v>343</v>
      </c>
      <c r="D7" s="120" t="s">
        <v>344</v>
      </c>
      <c r="E7" s="121">
        <v>47872.94</v>
      </c>
      <c r="F7" s="119" t="s">
        <v>345</v>
      </c>
      <c r="G7" s="116"/>
    </row>
    <row r="8" spans="1:7" ht="31.7" customHeight="1" x14ac:dyDescent="0.25">
      <c r="A8" s="118" t="s">
        <v>346</v>
      </c>
      <c r="B8" s="119" t="s">
        <v>347</v>
      </c>
      <c r="C8" s="120" t="s">
        <v>348</v>
      </c>
      <c r="D8" s="120" t="s">
        <v>349</v>
      </c>
      <c r="E8" s="121">
        <f>1973/12</f>
        <v>164.41666666667001</v>
      </c>
      <c r="F8" s="119" t="s">
        <v>350</v>
      </c>
      <c r="G8" s="122"/>
    </row>
    <row r="9" spans="1:7" ht="15.75" customHeight="1" x14ac:dyDescent="0.25">
      <c r="A9" s="118" t="s">
        <v>351</v>
      </c>
      <c r="B9" s="119" t="s">
        <v>352</v>
      </c>
      <c r="C9" s="120" t="s">
        <v>353</v>
      </c>
      <c r="D9" s="120" t="s">
        <v>344</v>
      </c>
      <c r="E9" s="121">
        <v>1</v>
      </c>
      <c r="F9" s="119"/>
      <c r="G9" s="122"/>
    </row>
    <row r="10" spans="1:7" ht="15.75" customHeight="1" x14ac:dyDescent="0.25">
      <c r="A10" s="118" t="s">
        <v>354</v>
      </c>
      <c r="B10" s="119" t="s">
        <v>355</v>
      </c>
      <c r="C10" s="120"/>
      <c r="D10" s="120"/>
      <c r="E10" s="123">
        <v>4</v>
      </c>
      <c r="F10" s="119" t="s">
        <v>356</v>
      </c>
      <c r="G10" s="122"/>
    </row>
    <row r="11" spans="1:7" ht="78.75" customHeight="1" x14ac:dyDescent="0.25">
      <c r="A11" s="118" t="s">
        <v>357</v>
      </c>
      <c r="B11" s="119" t="s">
        <v>358</v>
      </c>
      <c r="C11" s="120" t="s">
        <v>359</v>
      </c>
      <c r="D11" s="120" t="s">
        <v>344</v>
      </c>
      <c r="E11" s="165">
        <v>1.34</v>
      </c>
      <c r="F11" s="119" t="s">
        <v>360</v>
      </c>
      <c r="G11" s="116"/>
    </row>
    <row r="12" spans="1:7" ht="78.75" customHeight="1" x14ac:dyDescent="0.25">
      <c r="A12" s="118" t="s">
        <v>361</v>
      </c>
      <c r="B12" s="124" t="s">
        <v>362</v>
      </c>
      <c r="C12" s="120" t="s">
        <v>363</v>
      </c>
      <c r="D12" s="120" t="s">
        <v>344</v>
      </c>
      <c r="E12" s="125">
        <v>1.139</v>
      </c>
      <c r="F12" s="126" t="s">
        <v>364</v>
      </c>
      <c r="G12" s="122" t="s">
        <v>365</v>
      </c>
    </row>
    <row r="13" spans="1:7" ht="63" customHeight="1" x14ac:dyDescent="0.25">
      <c r="A13" s="118" t="s">
        <v>366</v>
      </c>
      <c r="B13" s="127" t="s">
        <v>367</v>
      </c>
      <c r="C13" s="120" t="s">
        <v>368</v>
      </c>
      <c r="D13" s="120" t="s">
        <v>369</v>
      </c>
      <c r="E13" s="128">
        <f>((E7*E9/E8)*E11)*E12</f>
        <v>444.39870291576</v>
      </c>
      <c r="F13" s="119" t="s">
        <v>370</v>
      </c>
      <c r="G13" s="116"/>
    </row>
  </sheetData>
  <mergeCells count="1">
    <mergeCell ref="A2:F2"/>
  </mergeCells>
  <hyperlinks>
    <hyperlink ref="G12" r:id="rId1" xr:uid="{00000000-0004-0000-0B00-000000000000}"/>
  </hyperlinks>
  <pageMargins left="0.7" right="0.7" top="0.75" bottom="0.75" header="0.3" footer="0.3"/>
  <pageSetup paperSize="9" scale="57" orientation="portrait" cellComments="atEnd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32" customFormat="1" ht="29.45" customHeight="1" x14ac:dyDescent="0.2">
      <c r="A1" s="285" t="s">
        <v>371</v>
      </c>
      <c r="B1" s="285"/>
      <c r="C1" s="285"/>
      <c r="D1" s="285"/>
      <c r="E1" s="285"/>
      <c r="F1" s="285"/>
      <c r="G1" s="285"/>
      <c r="H1" s="285"/>
      <c r="I1" s="285"/>
    </row>
    <row r="2" spans="1:13" s="32" customFormat="1" ht="13.7" customHeight="1" x14ac:dyDescent="0.2">
      <c r="A2" s="33"/>
      <c r="B2" s="33"/>
      <c r="C2" s="33"/>
      <c r="D2" s="33"/>
      <c r="E2" s="33"/>
      <c r="F2" s="33"/>
      <c r="G2" s="33"/>
      <c r="H2" s="33"/>
      <c r="I2" s="33"/>
    </row>
    <row r="3" spans="1:13" s="32" customFormat="1" ht="34.5" customHeight="1" x14ac:dyDescent="0.2">
      <c r="A3" s="233" t="e">
        <f>#REF!</f>
        <v>#REF!</v>
      </c>
      <c r="B3" s="233"/>
      <c r="C3" s="233"/>
      <c r="D3" s="233"/>
      <c r="E3" s="233"/>
      <c r="F3" s="233"/>
      <c r="G3" s="233"/>
      <c r="H3" s="233"/>
      <c r="I3" s="233"/>
    </row>
    <row r="4" spans="1:13" s="4" customFormat="1" ht="15.75" customHeight="1" x14ac:dyDescent="0.2">
      <c r="A4" s="286"/>
      <c r="B4" s="286"/>
      <c r="C4" s="286"/>
      <c r="D4" s="286"/>
      <c r="E4" s="286"/>
      <c r="F4" s="286"/>
      <c r="G4" s="286"/>
      <c r="H4" s="286"/>
      <c r="I4" s="286"/>
    </row>
    <row r="5" spans="1:13" s="34" customFormat="1" ht="36.75" customHeight="1" x14ac:dyDescent="0.35">
      <c r="A5" s="287" t="s">
        <v>13</v>
      </c>
      <c r="B5" s="287" t="s">
        <v>372</v>
      </c>
      <c r="C5" s="287" t="s">
        <v>373</v>
      </c>
      <c r="D5" s="287" t="s">
        <v>374</v>
      </c>
      <c r="E5" s="283" t="s">
        <v>375</v>
      </c>
      <c r="F5" s="283"/>
      <c r="G5" s="283"/>
      <c r="H5" s="283"/>
      <c r="I5" s="283"/>
    </row>
    <row r="6" spans="1:13" s="28" customFormat="1" ht="31.7" customHeight="1" x14ac:dyDescent="0.2">
      <c r="A6" s="287"/>
      <c r="B6" s="287"/>
      <c r="C6" s="287"/>
      <c r="D6" s="287"/>
      <c r="E6" s="35" t="s">
        <v>86</v>
      </c>
      <c r="F6" s="35" t="s">
        <v>87</v>
      </c>
      <c r="G6" s="35" t="s">
        <v>43</v>
      </c>
      <c r="H6" s="35" t="s">
        <v>376</v>
      </c>
      <c r="I6" s="35" t="s">
        <v>377</v>
      </c>
    </row>
    <row r="7" spans="1:13" s="28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8" customFormat="1" ht="13.15" customHeight="1" x14ac:dyDescent="0.2">
      <c r="A8" s="36">
        <v>1</v>
      </c>
      <c r="B8" s="37"/>
      <c r="C8" s="8" t="s">
        <v>246</v>
      </c>
      <c r="D8" s="38"/>
      <c r="E8" s="30">
        <f>'4.3 Отдел 2. Тех.характеристики'!H4/1000</f>
        <v>3.98509</v>
      </c>
      <c r="F8" s="30">
        <f>'4.3 Отдел 2. Тех.характеристики'!I4/1000</f>
        <v>3.1536300000000002</v>
      </c>
      <c r="G8" s="30">
        <f>'4.3 Отдел 2. Тех.характеристики'!J4/1000</f>
        <v>94.532139999999998</v>
      </c>
      <c r="H8" s="30"/>
      <c r="I8" s="30">
        <f>E8+F8+G8</f>
        <v>101.67086</v>
      </c>
      <c r="K8" s="39"/>
      <c r="L8" s="39"/>
      <c r="M8" s="39"/>
    </row>
    <row r="9" spans="1:13" s="28" customFormat="1" ht="38.25" customHeight="1" x14ac:dyDescent="0.2">
      <c r="A9" s="36">
        <v>2</v>
      </c>
      <c r="B9" s="8" t="s">
        <v>378</v>
      </c>
      <c r="C9" s="8" t="s">
        <v>379</v>
      </c>
      <c r="D9" s="113">
        <v>3.9E-2</v>
      </c>
      <c r="E9" s="30">
        <f>E8*D9</f>
        <v>0.15541851000000001</v>
      </c>
      <c r="F9" s="30">
        <f>F8*D9</f>
        <v>0.12299156999999999</v>
      </c>
      <c r="G9" s="30"/>
      <c r="H9" s="30"/>
      <c r="I9" s="30">
        <f>E9+F9</f>
        <v>0.27841008</v>
      </c>
    </row>
    <row r="10" spans="1:13" s="28" customFormat="1" ht="13.15" customHeight="1" x14ac:dyDescent="0.2">
      <c r="A10" s="36"/>
      <c r="B10" s="8"/>
      <c r="C10" s="8"/>
      <c r="D10" s="16"/>
      <c r="E10" s="30"/>
      <c r="F10" s="30"/>
      <c r="G10" s="30"/>
      <c r="H10" s="30"/>
      <c r="I10" s="30"/>
    </row>
    <row r="11" spans="1:13" s="28" customFormat="1" ht="51" customHeight="1" x14ac:dyDescent="0.2">
      <c r="A11" s="36">
        <v>3</v>
      </c>
      <c r="B11" s="8" t="s">
        <v>380</v>
      </c>
      <c r="C11" s="8" t="s">
        <v>328</v>
      </c>
      <c r="D11" s="113">
        <v>2.1000000000000001E-2</v>
      </c>
      <c r="E11" s="30">
        <f>(E8+E9)*D11</f>
        <v>8.6950678710000007E-2</v>
      </c>
      <c r="F11" s="30"/>
      <c r="G11" s="30"/>
      <c r="H11" s="30" t="s">
        <v>381</v>
      </c>
      <c r="I11" s="30">
        <f>E11</f>
        <v>8.6950678710000007E-2</v>
      </c>
    </row>
    <row r="12" spans="1:13" s="28" customFormat="1" ht="45" customHeight="1" x14ac:dyDescent="0.2">
      <c r="A12" s="36">
        <v>4</v>
      </c>
      <c r="B12" s="8" t="s">
        <v>382</v>
      </c>
      <c r="C12" s="8" t="s">
        <v>383</v>
      </c>
      <c r="D12" s="16">
        <v>5.6000000000000001E-2</v>
      </c>
      <c r="E12" s="30"/>
      <c r="F12" s="30"/>
      <c r="G12" s="30"/>
      <c r="H12" s="30">
        <f>(G8+F8)*D12</f>
        <v>5.4704031200000003</v>
      </c>
      <c r="I12" s="30">
        <f>H12</f>
        <v>5.4704031200000003</v>
      </c>
      <c r="J12" s="40" t="s">
        <v>384</v>
      </c>
    </row>
    <row r="13" spans="1:13" s="28" customFormat="1" ht="13.15" customHeight="1" x14ac:dyDescent="0.2">
      <c r="A13" s="36"/>
      <c r="B13" s="8"/>
      <c r="C13" s="8"/>
      <c r="D13" s="16"/>
      <c r="E13" s="30"/>
      <c r="F13" s="30"/>
      <c r="G13" s="30"/>
      <c r="H13" s="30"/>
      <c r="I13" s="30"/>
    </row>
    <row r="14" spans="1:13" s="28" customFormat="1" ht="39.6" customHeight="1" x14ac:dyDescent="0.2">
      <c r="A14" s="36">
        <v>5</v>
      </c>
      <c r="B14" s="8" t="s">
        <v>331</v>
      </c>
      <c r="C14" s="8" t="s">
        <v>385</v>
      </c>
      <c r="D14" s="113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30"/>
      <c r="F14" s="30"/>
      <c r="G14" s="30"/>
      <c r="H14" s="30">
        <f>(I8+I9+I11+I12)*D14*1</f>
        <v>2.3006417510044002</v>
      </c>
      <c r="I14" s="30">
        <f>H14</f>
        <v>2.3006417510044002</v>
      </c>
      <c r="J14" s="41">
        <f>(I8+I9+I11+I12)/1000</f>
        <v>0.10750662387871</v>
      </c>
    </row>
    <row r="15" spans="1:13" s="28" customFormat="1" ht="13.15" customHeight="1" x14ac:dyDescent="0.2">
      <c r="A15" s="36"/>
      <c r="B15" s="8"/>
      <c r="C15" s="8"/>
      <c r="D15" s="16"/>
      <c r="E15" s="30"/>
      <c r="F15" s="30"/>
      <c r="G15" s="30"/>
      <c r="H15" s="30"/>
      <c r="I15" s="30"/>
    </row>
    <row r="16" spans="1:13" s="28" customFormat="1" ht="39.6" customHeight="1" x14ac:dyDescent="0.2">
      <c r="A16" s="36">
        <v>6</v>
      </c>
      <c r="B16" s="8" t="s">
        <v>386</v>
      </c>
      <c r="C16" s="8" t="s">
        <v>387</v>
      </c>
      <c r="D16" s="16">
        <v>0</v>
      </c>
      <c r="E16" s="30"/>
      <c r="F16" s="30"/>
      <c r="G16" s="30"/>
      <c r="H16" s="30">
        <f>(E8+F8)*D16</f>
        <v>0</v>
      </c>
      <c r="I16" s="30">
        <f>H16</f>
        <v>0</v>
      </c>
      <c r="J16" s="40" t="s">
        <v>388</v>
      </c>
    </row>
    <row r="17" spans="1:10" s="28" customFormat="1" ht="81.75" customHeight="1" x14ac:dyDescent="0.2">
      <c r="A17" s="36">
        <v>7</v>
      </c>
      <c r="B17" s="8" t="s">
        <v>386</v>
      </c>
      <c r="C17" s="8" t="s">
        <v>389</v>
      </c>
      <c r="D17" s="16">
        <v>0</v>
      </c>
      <c r="E17" s="30"/>
      <c r="F17" s="30"/>
      <c r="G17" s="30"/>
      <c r="H17" s="30">
        <f>(E9+F9)*D17</f>
        <v>0</v>
      </c>
      <c r="I17" s="30">
        <f>H17</f>
        <v>0</v>
      </c>
      <c r="J17" s="40"/>
    </row>
    <row r="18" spans="1:10" s="28" customFormat="1" ht="13.15" customHeight="1" x14ac:dyDescent="0.2">
      <c r="A18" s="36"/>
      <c r="B18" s="8"/>
      <c r="C18" s="8"/>
      <c r="D18" s="16"/>
      <c r="E18" s="30"/>
      <c r="F18" s="30"/>
      <c r="G18" s="30"/>
      <c r="H18" s="30"/>
      <c r="I18" s="30"/>
    </row>
    <row r="19" spans="1:10" s="43" customFormat="1" ht="13.15" customHeight="1" x14ac:dyDescent="0.2">
      <c r="A19" s="36">
        <v>8</v>
      </c>
      <c r="B19" s="8"/>
      <c r="C19" s="8" t="s">
        <v>390</v>
      </c>
      <c r="D19" s="42"/>
      <c r="E19" s="30">
        <f>SUM(E8:E18)</f>
        <v>4.2274591887100001</v>
      </c>
      <c r="F19" s="30"/>
      <c r="G19" s="30">
        <f>SUM(G8:G18)</f>
        <v>94.532139999999998</v>
      </c>
      <c r="H19" s="30">
        <f>SUM(H8:H18)</f>
        <v>7.7710448710044</v>
      </c>
      <c r="I19" s="30">
        <f>SUM(I8:I18)</f>
        <v>109.80726562971</v>
      </c>
    </row>
    <row r="20" spans="1:10" s="28" customFormat="1" ht="51" customHeight="1" x14ac:dyDescent="0.2">
      <c r="A20" s="36">
        <v>9</v>
      </c>
      <c r="B20" s="8" t="s">
        <v>391</v>
      </c>
      <c r="C20" s="8" t="s">
        <v>258</v>
      </c>
      <c r="D20" s="44">
        <v>0.03</v>
      </c>
      <c r="E20" s="30">
        <f>E19*3%</f>
        <v>0.12682377566129999</v>
      </c>
      <c r="F20" s="30"/>
      <c r="G20" s="30">
        <f>G19*3%</f>
        <v>2.8359641999999998</v>
      </c>
      <c r="H20" s="30">
        <f>H19*3%</f>
        <v>0.23313134613013001</v>
      </c>
      <c r="I20" s="30">
        <f>I19*3%</f>
        <v>3.2942179688914002</v>
      </c>
    </row>
    <row r="21" spans="1:10" s="32" customFormat="1" ht="13.15" customHeight="1" x14ac:dyDescent="0.2">
      <c r="A21" s="36">
        <v>10</v>
      </c>
      <c r="B21" s="8"/>
      <c r="C21" s="8" t="s">
        <v>392</v>
      </c>
      <c r="D21" s="45"/>
      <c r="E21" s="30"/>
      <c r="F21" s="30"/>
      <c r="G21" s="30"/>
      <c r="H21" s="30"/>
      <c r="I21" s="30">
        <f>I19+I20</f>
        <v>113.10148359861</v>
      </c>
    </row>
    <row r="22" spans="1:10" s="32" customFormat="1" ht="13.15" customHeight="1" x14ac:dyDescent="0.2">
      <c r="A22" s="46"/>
      <c r="B22" s="47"/>
      <c r="C22" s="47"/>
      <c r="D22" s="48"/>
      <c r="E22" s="49"/>
      <c r="F22" s="49"/>
      <c r="G22" s="49"/>
      <c r="H22" s="49"/>
      <c r="I22" s="49"/>
    </row>
    <row r="23" spans="1:10" x14ac:dyDescent="0.25">
      <c r="A23" s="4" t="s">
        <v>393</v>
      </c>
      <c r="B23" s="50"/>
      <c r="C23" s="4"/>
      <c r="D23" s="28"/>
      <c r="E23" s="28"/>
      <c r="F23" s="28"/>
      <c r="G23" s="28"/>
      <c r="H23" s="28"/>
      <c r="I23" s="28"/>
    </row>
    <row r="24" spans="1:10" x14ac:dyDescent="0.25">
      <c r="A24" s="29" t="s">
        <v>394</v>
      </c>
      <c r="B24" s="50"/>
      <c r="C24" s="4"/>
      <c r="D24" s="28"/>
      <c r="E24" s="28"/>
      <c r="F24" s="28"/>
      <c r="G24" s="28"/>
      <c r="H24" s="28"/>
      <c r="I24" s="28"/>
    </row>
    <row r="25" spans="1:10" x14ac:dyDescent="0.25">
      <c r="A25" s="4"/>
      <c r="B25" s="50"/>
      <c r="C25" s="4"/>
      <c r="D25" s="28"/>
      <c r="E25" s="28"/>
      <c r="F25" s="28"/>
      <c r="G25" s="28"/>
      <c r="H25" s="28"/>
      <c r="I25" s="28"/>
    </row>
    <row r="26" spans="1:10" x14ac:dyDescent="0.25">
      <c r="A26" s="4" t="s">
        <v>395</v>
      </c>
      <c r="B26" s="50"/>
      <c r="C26" s="4"/>
      <c r="D26" s="28"/>
      <c r="E26" s="28"/>
      <c r="F26" s="28"/>
      <c r="G26" s="28"/>
      <c r="H26" s="28"/>
      <c r="I26" s="28"/>
    </row>
    <row r="27" spans="1:10" x14ac:dyDescent="0.25">
      <c r="A27" s="29" t="s">
        <v>396</v>
      </c>
      <c r="B27" s="50"/>
      <c r="C27" s="4"/>
      <c r="D27" s="28"/>
      <c r="E27" s="28"/>
      <c r="F27" s="28"/>
      <c r="G27" s="28"/>
      <c r="H27" s="28"/>
      <c r="I27" s="28"/>
    </row>
    <row r="28" spans="1:10" x14ac:dyDescent="0.25">
      <c r="B28" s="51"/>
    </row>
    <row r="29" spans="1:10" x14ac:dyDescent="0.25">
      <c r="B29" s="51"/>
    </row>
    <row r="30" spans="1:10" x14ac:dyDescent="0.25">
      <c r="B30" s="51"/>
    </row>
    <row r="31" spans="1:10" x14ac:dyDescent="0.25">
      <c r="B31" s="51"/>
    </row>
    <row r="32" spans="1:10" x14ac:dyDescent="0.25">
      <c r="B32" s="51"/>
    </row>
    <row r="33" spans="2:2" x14ac:dyDescent="0.25">
      <c r="B33" s="51"/>
    </row>
    <row r="34" spans="2:2" x14ac:dyDescent="0.25">
      <c r="B34" s="51"/>
    </row>
    <row r="35" spans="2:2" x14ac:dyDescent="0.25">
      <c r="B35" s="51"/>
    </row>
    <row r="36" spans="2:2" x14ac:dyDescent="0.25">
      <c r="B36" s="51"/>
    </row>
    <row r="37" spans="2:2" x14ac:dyDescent="0.25">
      <c r="B37" s="51"/>
    </row>
    <row r="38" spans="2:2" x14ac:dyDescent="0.25">
      <c r="B38" s="51"/>
    </row>
    <row r="39" spans="2:2" x14ac:dyDescent="0.25">
      <c r="B39" s="51"/>
    </row>
    <row r="40" spans="2:2" x14ac:dyDescent="0.25">
      <c r="B40" s="51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92" t="s">
        <v>397</v>
      </c>
      <c r="O2" s="292"/>
    </row>
    <row r="3" spans="1:16" x14ac:dyDescent="0.25">
      <c r="A3" s="293" t="s">
        <v>398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</row>
    <row r="5" spans="1:16" ht="37.5" customHeight="1" x14ac:dyDescent="0.25">
      <c r="A5" s="294" t="s">
        <v>399</v>
      </c>
      <c r="B5" s="297" t="s">
        <v>400</v>
      </c>
      <c r="C5" s="300" t="s">
        <v>401</v>
      </c>
      <c r="D5" s="303" t="s">
        <v>402</v>
      </c>
      <c r="E5" s="304"/>
      <c r="F5" s="304"/>
      <c r="G5" s="304"/>
      <c r="H5" s="304"/>
      <c r="I5" s="303" t="s">
        <v>403</v>
      </c>
      <c r="J5" s="304"/>
      <c r="K5" s="304"/>
      <c r="L5" s="304"/>
      <c r="M5" s="304"/>
      <c r="N5" s="304"/>
      <c r="O5" s="52" t="s">
        <v>404</v>
      </c>
    </row>
    <row r="6" spans="1:16" s="55" customFormat="1" ht="150" customHeight="1" x14ac:dyDescent="0.25">
      <c r="A6" s="295"/>
      <c r="B6" s="298"/>
      <c r="C6" s="301"/>
      <c r="D6" s="300" t="s">
        <v>405</v>
      </c>
      <c r="E6" s="305" t="s">
        <v>406</v>
      </c>
      <c r="F6" s="306"/>
      <c r="G6" s="307"/>
      <c r="H6" s="53" t="s">
        <v>407</v>
      </c>
      <c r="I6" s="308" t="s">
        <v>408</v>
      </c>
      <c r="J6" s="308" t="s">
        <v>405</v>
      </c>
      <c r="K6" s="309" t="s">
        <v>406</v>
      </c>
      <c r="L6" s="309"/>
      <c r="M6" s="309"/>
      <c r="N6" s="53" t="s">
        <v>407</v>
      </c>
      <c r="O6" s="54" t="s">
        <v>409</v>
      </c>
    </row>
    <row r="7" spans="1:16" s="55" customFormat="1" ht="30.75" customHeight="1" x14ac:dyDescent="0.25">
      <c r="A7" s="296"/>
      <c r="B7" s="299"/>
      <c r="C7" s="302"/>
      <c r="D7" s="302"/>
      <c r="E7" s="52" t="s">
        <v>86</v>
      </c>
      <c r="F7" s="52" t="s">
        <v>87</v>
      </c>
      <c r="G7" s="52" t="s">
        <v>43</v>
      </c>
      <c r="H7" s="56" t="s">
        <v>410</v>
      </c>
      <c r="I7" s="308"/>
      <c r="J7" s="308"/>
      <c r="K7" s="52" t="s">
        <v>86</v>
      </c>
      <c r="L7" s="52" t="s">
        <v>87</v>
      </c>
      <c r="M7" s="52" t="s">
        <v>43</v>
      </c>
      <c r="N7" s="56" t="s">
        <v>410</v>
      </c>
      <c r="O7" s="52" t="s">
        <v>411</v>
      </c>
    </row>
    <row r="8" spans="1:16" s="55" customFormat="1" x14ac:dyDescent="0.25">
      <c r="A8" s="57">
        <v>1</v>
      </c>
      <c r="B8" s="57">
        <v>2</v>
      </c>
      <c r="C8" s="57">
        <v>3</v>
      </c>
      <c r="D8" s="57">
        <v>4</v>
      </c>
      <c r="E8" s="57">
        <v>5</v>
      </c>
      <c r="F8" s="57">
        <v>6</v>
      </c>
      <c r="G8" s="57">
        <v>7</v>
      </c>
      <c r="H8" s="57">
        <v>8</v>
      </c>
      <c r="I8" s="57">
        <v>9</v>
      </c>
      <c r="J8" s="57">
        <v>10</v>
      </c>
      <c r="K8" s="57">
        <v>11</v>
      </c>
      <c r="L8" s="57">
        <v>12</v>
      </c>
      <c r="M8" s="57">
        <v>13</v>
      </c>
      <c r="N8" s="57">
        <v>14</v>
      </c>
      <c r="O8" s="57">
        <v>15</v>
      </c>
    </row>
    <row r="9" spans="1:16" s="55" customFormat="1" ht="102.75" customHeight="1" x14ac:dyDescent="0.25">
      <c r="A9" s="57">
        <v>1</v>
      </c>
      <c r="B9" s="294" t="s">
        <v>412</v>
      </c>
      <c r="C9" s="58" t="s">
        <v>413</v>
      </c>
      <c r="D9" s="59">
        <f t="shared" ref="D9:D15" si="0">SUM(E9:G9)</f>
        <v>583.41863000000001</v>
      </c>
      <c r="E9" s="59">
        <f>340656.93/1000</f>
        <v>340.65692999999999</v>
      </c>
      <c r="F9" s="59">
        <f>242761.7/1000</f>
        <v>242.76169999999999</v>
      </c>
      <c r="G9" s="59">
        <v>0</v>
      </c>
      <c r="H9" s="59">
        <f>(713.49*0.8)/1000</f>
        <v>0.57079199999999997</v>
      </c>
      <c r="I9" s="59">
        <v>11656.266250000001</v>
      </c>
      <c r="J9" s="59">
        <f t="shared" ref="J9:J15" si="1">K9+L9+M9</f>
        <v>3553.0194566999999</v>
      </c>
      <c r="K9" s="59">
        <f>E9*H22</f>
        <v>2074.6007036999999</v>
      </c>
      <c r="L9" s="59">
        <f>F9*H22</f>
        <v>1478.4187529999999</v>
      </c>
      <c r="M9" s="59">
        <f>G9*H24</f>
        <v>0</v>
      </c>
      <c r="N9" s="59">
        <f>H9*H25</f>
        <v>6.48990504</v>
      </c>
      <c r="O9" s="60">
        <f t="shared" ref="O9:O15" si="2">N9/(L9+M9)</f>
        <v>4.389761038157E-3</v>
      </c>
    </row>
    <row r="10" spans="1:16" s="55" customFormat="1" ht="54.75" customHeight="1" x14ac:dyDescent="0.25">
      <c r="A10" s="56">
        <v>2</v>
      </c>
      <c r="B10" s="296"/>
      <c r="C10" s="61" t="s">
        <v>414</v>
      </c>
      <c r="D10" s="59">
        <f t="shared" si="0"/>
        <v>2228.558</v>
      </c>
      <c r="E10" s="59">
        <f>430700/1000</f>
        <v>430.7</v>
      </c>
      <c r="F10" s="59">
        <f>1797858/1000</f>
        <v>1797.8579999999999</v>
      </c>
      <c r="G10" s="59">
        <v>0</v>
      </c>
      <c r="H10" s="59">
        <f>1685/1000</f>
        <v>1.6850000000000001</v>
      </c>
      <c r="I10" s="59">
        <f>15834377.63/1000</f>
        <v>15834.377630000001</v>
      </c>
      <c r="J10" s="59">
        <f t="shared" si="1"/>
        <v>14351.91352</v>
      </c>
      <c r="K10" s="59">
        <f>E10*I22</f>
        <v>2773.7080000000001</v>
      </c>
      <c r="L10" s="59">
        <f>F10*I22</f>
        <v>11578.20552</v>
      </c>
      <c r="M10" s="59">
        <f>G10*I24</f>
        <v>0</v>
      </c>
      <c r="N10" s="59">
        <f>H10*I25</f>
        <v>14.1877</v>
      </c>
      <c r="O10" s="60">
        <f t="shared" si="2"/>
        <v>1.2253798721652001E-3</v>
      </c>
      <c r="P10" s="62"/>
    </row>
    <row r="11" spans="1:16" s="55" customFormat="1" ht="24.6" customHeight="1" x14ac:dyDescent="0.25">
      <c r="A11" s="57">
        <v>3</v>
      </c>
      <c r="B11" s="294" t="s">
        <v>415</v>
      </c>
      <c r="C11" s="61" t="s">
        <v>416</v>
      </c>
      <c r="D11" s="59">
        <f t="shared" si="0"/>
        <v>22378.080000000002</v>
      </c>
      <c r="E11" s="59">
        <v>15858.44</v>
      </c>
      <c r="F11" s="59">
        <v>6519.64</v>
      </c>
      <c r="G11" s="59">
        <v>0</v>
      </c>
      <c r="H11" s="59">
        <v>9.7100000000000009</v>
      </c>
      <c r="I11" s="59">
        <v>170961.79</v>
      </c>
      <c r="J11" s="59">
        <f t="shared" si="1"/>
        <v>129121.52159999999</v>
      </c>
      <c r="K11" s="59">
        <f>E11*J22</f>
        <v>91503.198799999998</v>
      </c>
      <c r="L11" s="59">
        <f>F11*J22</f>
        <v>37618.322800000002</v>
      </c>
      <c r="M11" s="59">
        <f>G11*J24</f>
        <v>0</v>
      </c>
      <c r="N11" s="59">
        <f>H11*J25</f>
        <v>154.48609999999999</v>
      </c>
      <c r="O11" s="60">
        <f t="shared" si="2"/>
        <v>4.1066716562919003E-3</v>
      </c>
    </row>
    <row r="12" spans="1:16" s="55" customFormat="1" ht="31.9" customHeight="1" x14ac:dyDescent="0.25">
      <c r="A12" s="56">
        <v>4</v>
      </c>
      <c r="B12" s="296"/>
      <c r="C12" s="61" t="s">
        <v>417</v>
      </c>
      <c r="D12" s="59">
        <f t="shared" si="0"/>
        <v>93405.18</v>
      </c>
      <c r="E12" s="59">
        <v>53163.12</v>
      </c>
      <c r="F12" s="59">
        <v>40153.81</v>
      </c>
      <c r="G12" s="59">
        <v>88.25</v>
      </c>
      <c r="H12" s="59">
        <v>33.76</v>
      </c>
      <c r="I12" s="59">
        <v>725870.83</v>
      </c>
      <c r="J12" s="59">
        <f t="shared" si="1"/>
        <v>538845.47</v>
      </c>
      <c r="K12" s="59">
        <v>306751.18</v>
      </c>
      <c r="L12" s="59">
        <v>231687.44</v>
      </c>
      <c r="M12" s="59">
        <v>406.85</v>
      </c>
      <c r="N12" s="59">
        <v>537.07000000000005</v>
      </c>
      <c r="O12" s="60">
        <f t="shared" si="2"/>
        <v>2.3140164284093001E-3</v>
      </c>
    </row>
    <row r="13" spans="1:16" s="55" customFormat="1" ht="60" customHeight="1" x14ac:dyDescent="0.25">
      <c r="A13" s="57">
        <v>5</v>
      </c>
      <c r="B13" s="294" t="s">
        <v>418</v>
      </c>
      <c r="C13" s="58" t="s">
        <v>419</v>
      </c>
      <c r="D13" s="59">
        <f t="shared" si="0"/>
        <v>52119.83</v>
      </c>
      <c r="E13" s="59">
        <v>15198.48</v>
      </c>
      <c r="F13" s="59">
        <v>31977.3</v>
      </c>
      <c r="G13" s="59">
        <v>4944.05</v>
      </c>
      <c r="H13" s="59">
        <v>16.13</v>
      </c>
      <c r="I13" s="59">
        <v>2024759.04</v>
      </c>
      <c r="J13" s="59">
        <f t="shared" si="1"/>
        <v>267889.86339999997</v>
      </c>
      <c r="K13" s="59">
        <f>E13*L22</f>
        <v>79488.050399999993</v>
      </c>
      <c r="L13" s="59">
        <f>F13*L22</f>
        <v>167241.27900000001</v>
      </c>
      <c r="M13" s="59">
        <f>G13*L24</f>
        <v>21160.534</v>
      </c>
      <c r="N13" s="59">
        <f>H13*L25</f>
        <v>231.46549999999999</v>
      </c>
      <c r="O13" s="60">
        <f t="shared" si="2"/>
        <v>1.2285736337367E-3</v>
      </c>
    </row>
    <row r="14" spans="1:16" s="55" customFormat="1" ht="39.6" customHeight="1" x14ac:dyDescent="0.25">
      <c r="A14" s="56">
        <v>6</v>
      </c>
      <c r="B14" s="296"/>
      <c r="C14" s="61" t="s">
        <v>420</v>
      </c>
      <c r="D14" s="59">
        <f t="shared" si="0"/>
        <v>89613.6</v>
      </c>
      <c r="E14" s="59">
        <v>44598.73</v>
      </c>
      <c r="F14" s="59">
        <v>40017</v>
      </c>
      <c r="G14" s="59">
        <v>4997.87</v>
      </c>
      <c r="H14" s="59">
        <f>7.69+81.8</f>
        <v>89.49</v>
      </c>
      <c r="I14" s="59">
        <v>738823.57</v>
      </c>
      <c r="J14" s="59">
        <f t="shared" si="1"/>
        <v>511472.85759999999</v>
      </c>
      <c r="K14" s="59">
        <f>E14*M22</f>
        <v>257334.6721</v>
      </c>
      <c r="L14" s="59">
        <f>F14*M22</f>
        <v>230898.09</v>
      </c>
      <c r="M14" s="59">
        <f>G14*M24</f>
        <v>23240.095499999999</v>
      </c>
      <c r="N14" s="59">
        <f>H14*M25</f>
        <v>1423.7859000000001</v>
      </c>
      <c r="O14" s="60">
        <f t="shared" si="2"/>
        <v>5.6024083795152002E-3</v>
      </c>
    </row>
    <row r="15" spans="1:16" s="55" customFormat="1" ht="46.15" customHeight="1" x14ac:dyDescent="0.25">
      <c r="A15" s="57">
        <v>7</v>
      </c>
      <c r="B15" s="63" t="s">
        <v>421</v>
      </c>
      <c r="C15" s="61" t="s">
        <v>422</v>
      </c>
      <c r="D15" s="59">
        <f t="shared" si="0"/>
        <v>981651.63</v>
      </c>
      <c r="E15" s="59">
        <v>448398.51</v>
      </c>
      <c r="F15" s="59">
        <v>486091.33</v>
      </c>
      <c r="G15" s="59">
        <v>47161.79</v>
      </c>
      <c r="H15" s="59">
        <v>143.03</v>
      </c>
      <c r="I15" s="59">
        <v>16001185.93</v>
      </c>
      <c r="J15" s="59">
        <f t="shared" si="1"/>
        <v>6269109.2307000002</v>
      </c>
      <c r="K15" s="59">
        <f>123094.59*N22+325303.92*N23</f>
        <v>2908258.6863000002</v>
      </c>
      <c r="L15" s="59">
        <f>110226.08*N22+375865.25*N23</f>
        <v>3158998.0832000002</v>
      </c>
      <c r="M15" s="59">
        <f>G15*N24</f>
        <v>201852.46119999999</v>
      </c>
      <c r="N15" s="59">
        <f>H15*N25</f>
        <v>1185.7186999999999</v>
      </c>
      <c r="O15" s="60">
        <f t="shared" si="2"/>
        <v>3.5280316227560002E-4</v>
      </c>
    </row>
    <row r="16" spans="1:16" s="55" customFormat="1" ht="24" customHeight="1" x14ac:dyDescent="0.25">
      <c r="A16" s="64"/>
      <c r="B16" s="64"/>
      <c r="C16" s="65" t="s">
        <v>423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>
        <f>(O9+O10+O11+O12+O13+O14+O15)/7</f>
        <v>2.7456591672216E-3</v>
      </c>
    </row>
    <row r="17" spans="1:15" s="55" customFormat="1" ht="18.75" customHeight="1" x14ac:dyDescent="0.25">
      <c r="A17" s="68"/>
      <c r="B17" s="68"/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</row>
    <row r="18" spans="1:15" ht="21.2" customHeight="1" x14ac:dyDescent="0.25">
      <c r="C18" s="72" t="s">
        <v>424</v>
      </c>
    </row>
    <row r="19" spans="1:15" ht="30.75" customHeight="1" x14ac:dyDescent="0.25">
      <c r="L19" s="73"/>
    </row>
    <row r="20" spans="1:15" ht="15" customHeight="1" outlineLevel="1" x14ac:dyDescent="0.25">
      <c r="G20" s="291" t="s">
        <v>425</v>
      </c>
      <c r="H20" s="291"/>
      <c r="I20" s="291"/>
      <c r="J20" s="291"/>
      <c r="K20" s="291"/>
      <c r="L20" s="291"/>
      <c r="M20" s="291"/>
      <c r="N20" s="291"/>
    </row>
    <row r="21" spans="1:15" ht="15.75" customHeight="1" outlineLevel="1" x14ac:dyDescent="0.25">
      <c r="G21" s="74"/>
      <c r="H21" s="74" t="s">
        <v>426</v>
      </c>
      <c r="I21" s="74" t="s">
        <v>427</v>
      </c>
      <c r="J21" s="74" t="s">
        <v>428</v>
      </c>
      <c r="K21" s="75" t="s">
        <v>429</v>
      </c>
      <c r="L21" s="74" t="s">
        <v>430</v>
      </c>
      <c r="M21" s="74" t="s">
        <v>431</v>
      </c>
      <c r="N21" s="74" t="s">
        <v>432</v>
      </c>
      <c r="O21" s="68"/>
    </row>
    <row r="22" spans="1:15" ht="15.75" customHeight="1" outlineLevel="1" x14ac:dyDescent="0.25">
      <c r="G22" s="289" t="s">
        <v>433</v>
      </c>
      <c r="H22" s="288">
        <v>6.09</v>
      </c>
      <c r="I22" s="290">
        <v>6.44</v>
      </c>
      <c r="J22" s="288">
        <v>5.77</v>
      </c>
      <c r="K22" s="290">
        <v>5.77</v>
      </c>
      <c r="L22" s="288">
        <v>5.23</v>
      </c>
      <c r="M22" s="288">
        <v>5.77</v>
      </c>
      <c r="N22" s="76">
        <v>6.29</v>
      </c>
      <c r="O22" t="s">
        <v>434</v>
      </c>
    </row>
    <row r="23" spans="1:15" ht="15.75" customHeight="1" outlineLevel="1" x14ac:dyDescent="0.25">
      <c r="G23" s="289"/>
      <c r="H23" s="288"/>
      <c r="I23" s="290"/>
      <c r="J23" s="288"/>
      <c r="K23" s="290"/>
      <c r="L23" s="288"/>
      <c r="M23" s="288"/>
      <c r="N23" s="76">
        <v>6.56</v>
      </c>
      <c r="O23" t="s">
        <v>435</v>
      </c>
    </row>
    <row r="24" spans="1:15" ht="15.75" customHeight="1" outlineLevel="1" x14ac:dyDescent="0.25">
      <c r="G24" s="77" t="s">
        <v>436</v>
      </c>
      <c r="H24" s="76">
        <v>4.46</v>
      </c>
      <c r="I24" s="75">
        <v>4.28</v>
      </c>
      <c r="J24" s="76">
        <v>4.6500000000000004</v>
      </c>
      <c r="K24" s="75">
        <v>4.6100000000000003</v>
      </c>
      <c r="L24" s="76">
        <v>4.28</v>
      </c>
      <c r="M24" s="76">
        <v>4.6500000000000004</v>
      </c>
      <c r="N24" s="76">
        <v>4.28</v>
      </c>
      <c r="O24" s="68"/>
    </row>
    <row r="25" spans="1:15" ht="15.75" customHeight="1" outlineLevel="1" x14ac:dyDescent="0.25">
      <c r="G25" s="77" t="s">
        <v>410</v>
      </c>
      <c r="H25" s="76">
        <v>11.37</v>
      </c>
      <c r="I25" s="76">
        <v>8.42</v>
      </c>
      <c r="J25" s="76">
        <v>15.91</v>
      </c>
      <c r="K25" s="75">
        <v>15.91</v>
      </c>
      <c r="L25" s="76">
        <v>14.35</v>
      </c>
      <c r="M25" s="76">
        <v>15.91</v>
      </c>
      <c r="N25" s="76">
        <v>8.2899999999999991</v>
      </c>
      <c r="O25" s="68"/>
    </row>
    <row r="26" spans="1:15" ht="31.7" customHeight="1" outlineLevel="1" x14ac:dyDescent="0.25">
      <c r="G26" s="77" t="s">
        <v>437</v>
      </c>
      <c r="H26" s="76">
        <v>3.83</v>
      </c>
      <c r="I26" s="75">
        <v>3.95</v>
      </c>
      <c r="J26" s="76">
        <v>4.1500000000000004</v>
      </c>
      <c r="K26" s="75">
        <v>3.83</v>
      </c>
      <c r="L26" s="75">
        <v>3.95</v>
      </c>
      <c r="M26" s="76">
        <v>4.09</v>
      </c>
      <c r="N26" s="76">
        <v>3.95</v>
      </c>
      <c r="O26" s="68"/>
    </row>
    <row r="27" spans="1:15" ht="31.7" customHeight="1" outlineLevel="1" x14ac:dyDescent="0.25">
      <c r="G27" s="77" t="s">
        <v>438</v>
      </c>
      <c r="H27" s="76">
        <v>3.91</v>
      </c>
      <c r="I27" s="75">
        <v>3.99</v>
      </c>
      <c r="J27" s="76">
        <v>4.2300000000000004</v>
      </c>
      <c r="K27" s="75">
        <v>3.91</v>
      </c>
      <c r="L27" s="75">
        <v>3.99</v>
      </c>
      <c r="M27" s="76">
        <v>4.17</v>
      </c>
      <c r="N27" s="76">
        <v>3.99</v>
      </c>
      <c r="O27" s="68"/>
    </row>
    <row r="28" spans="1:15" ht="15.75" customHeight="1" outlineLevel="1" x14ac:dyDescent="0.25">
      <c r="G28" s="77" t="s">
        <v>376</v>
      </c>
      <c r="H28" s="76">
        <v>8.7899999999999991</v>
      </c>
      <c r="I28" s="76">
        <v>8.7899999999999991</v>
      </c>
      <c r="J28" s="76">
        <v>9.19</v>
      </c>
      <c r="K28" s="75">
        <v>9.1</v>
      </c>
      <c r="L28" s="76">
        <v>8.42</v>
      </c>
      <c r="M28" s="76">
        <v>9.19</v>
      </c>
      <c r="N28" s="76">
        <v>8.42</v>
      </c>
      <c r="O28" s="68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1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8" customWidth="1"/>
  </cols>
  <sheetData>
    <row r="2" spans="1:18" ht="18.75" customHeight="1" x14ac:dyDescent="0.25">
      <c r="A2" s="310" t="s">
        <v>439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</row>
    <row r="4" spans="1:18" ht="36.75" customHeight="1" x14ac:dyDescent="0.25">
      <c r="A4" s="294" t="s">
        <v>399</v>
      </c>
      <c r="B4" s="297" t="s">
        <v>400</v>
      </c>
      <c r="C4" s="300" t="s">
        <v>440</v>
      </c>
      <c r="D4" s="300" t="s">
        <v>441</v>
      </c>
      <c r="E4" s="303" t="s">
        <v>442</v>
      </c>
      <c r="F4" s="304"/>
      <c r="G4" s="304"/>
      <c r="H4" s="304"/>
      <c r="I4" s="304"/>
      <c r="J4" s="304"/>
      <c r="K4" s="304"/>
      <c r="L4" s="304"/>
      <c r="M4" s="304"/>
      <c r="N4" s="311" t="s">
        <v>443</v>
      </c>
      <c r="O4" s="312"/>
      <c r="P4" s="312"/>
      <c r="Q4" s="312"/>
      <c r="R4" s="313"/>
    </row>
    <row r="5" spans="1:18" ht="60" customHeight="1" x14ac:dyDescent="0.25">
      <c r="A5" s="295"/>
      <c r="B5" s="298"/>
      <c r="C5" s="301"/>
      <c r="D5" s="301"/>
      <c r="E5" s="308" t="s">
        <v>444</v>
      </c>
      <c r="F5" s="308" t="s">
        <v>445</v>
      </c>
      <c r="G5" s="305" t="s">
        <v>406</v>
      </c>
      <c r="H5" s="306"/>
      <c r="I5" s="306"/>
      <c r="J5" s="307"/>
      <c r="K5" s="308" t="s">
        <v>446</v>
      </c>
      <c r="L5" s="308"/>
      <c r="M5" s="308"/>
      <c r="N5" s="79" t="s">
        <v>447</v>
      </c>
      <c r="O5" s="79" t="s">
        <v>448</v>
      </c>
      <c r="P5" s="79" t="s">
        <v>449</v>
      </c>
      <c r="Q5" s="80" t="s">
        <v>450</v>
      </c>
      <c r="R5" s="79" t="s">
        <v>451</v>
      </c>
    </row>
    <row r="6" spans="1:18" ht="49.7" customHeight="1" x14ac:dyDescent="0.25">
      <c r="A6" s="296"/>
      <c r="B6" s="299"/>
      <c r="C6" s="302"/>
      <c r="D6" s="302"/>
      <c r="E6" s="308"/>
      <c r="F6" s="308"/>
      <c r="G6" s="52" t="s">
        <v>86</v>
      </c>
      <c r="H6" s="52" t="s">
        <v>87</v>
      </c>
      <c r="I6" s="52" t="s">
        <v>43</v>
      </c>
      <c r="J6" s="52" t="s">
        <v>376</v>
      </c>
      <c r="K6" s="52" t="s">
        <v>447</v>
      </c>
      <c r="L6" s="52" t="s">
        <v>448</v>
      </c>
      <c r="M6" s="52" t="s">
        <v>449</v>
      </c>
      <c r="N6" s="52" t="s">
        <v>452</v>
      </c>
      <c r="O6" s="52" t="s">
        <v>453</v>
      </c>
      <c r="P6" s="52" t="s">
        <v>454</v>
      </c>
      <c r="Q6" s="53" t="s">
        <v>455</v>
      </c>
      <c r="R6" s="52" t="s">
        <v>456</v>
      </c>
    </row>
    <row r="7" spans="1:18" ht="16.5" customHeight="1" x14ac:dyDescent="0.25">
      <c r="A7" s="57"/>
      <c r="B7" s="81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53"/>
      <c r="R7" s="56"/>
    </row>
    <row r="8" spans="1:18" x14ac:dyDescent="0.25">
      <c r="A8" s="57">
        <v>1</v>
      </c>
      <c r="B8" s="57"/>
      <c r="C8" s="57">
        <v>2</v>
      </c>
      <c r="D8" s="57">
        <v>3</v>
      </c>
      <c r="E8" s="57">
        <v>4</v>
      </c>
      <c r="F8" s="57">
        <v>5</v>
      </c>
      <c r="G8" s="57">
        <v>6</v>
      </c>
      <c r="H8" s="57">
        <v>7</v>
      </c>
      <c r="I8" s="57">
        <v>8</v>
      </c>
      <c r="J8" s="57">
        <v>9</v>
      </c>
      <c r="K8" s="57">
        <v>10</v>
      </c>
      <c r="L8" s="57">
        <v>11</v>
      </c>
      <c r="M8" s="57">
        <v>12</v>
      </c>
      <c r="N8" s="57">
        <v>13</v>
      </c>
      <c r="O8" s="57">
        <v>14</v>
      </c>
      <c r="P8" s="57">
        <v>15</v>
      </c>
      <c r="Q8" s="57">
        <v>16</v>
      </c>
      <c r="R8" s="57">
        <v>17</v>
      </c>
    </row>
    <row r="9" spans="1:18" ht="102.6" customHeight="1" x14ac:dyDescent="0.25">
      <c r="A9" s="294">
        <v>1</v>
      </c>
      <c r="B9" s="294" t="s">
        <v>457</v>
      </c>
      <c r="C9" s="314" t="s">
        <v>413</v>
      </c>
      <c r="D9" s="58" t="s">
        <v>458</v>
      </c>
      <c r="E9" s="59">
        <v>11656.266250000001</v>
      </c>
      <c r="F9" s="59">
        <f t="shared" ref="F9:F14" si="0">G9+H9+I9</f>
        <v>9442.6878704999999</v>
      </c>
      <c r="G9" s="59">
        <f>G10*E28</f>
        <v>2331.6699567000001</v>
      </c>
      <c r="H9" s="59">
        <f>H10*E28</f>
        <v>1695.3600216</v>
      </c>
      <c r="I9" s="59">
        <f>I10*E30</f>
        <v>5415.6578921999999</v>
      </c>
      <c r="J9" s="59"/>
      <c r="K9" s="59">
        <f>K10*1.19*E33</f>
        <v>136.37044035299999</v>
      </c>
      <c r="L9" s="59">
        <v>0</v>
      </c>
      <c r="M9" s="59">
        <f>M10*1.266*E34</f>
        <v>66.539350027799998</v>
      </c>
      <c r="N9" s="60">
        <f t="shared" ref="N9:N22" si="1">K9/(G9+H9)</f>
        <v>3.3863775806946002E-2</v>
      </c>
      <c r="O9" s="60">
        <f t="shared" ref="O9:O22" si="2">L9/(G9+H9)</f>
        <v>0</v>
      </c>
      <c r="P9" s="60">
        <f t="shared" ref="P9:P22" si="3">M9/(G9+H9)</f>
        <v>1.652318219292E-2</v>
      </c>
      <c r="Q9" s="82">
        <v>0</v>
      </c>
      <c r="R9" s="83">
        <f>N9+O9+P9+Q9</f>
        <v>5.0386957999864999E-2</v>
      </c>
    </row>
    <row r="10" spans="1:18" ht="72.75" hidden="1" customHeight="1" x14ac:dyDescent="0.25">
      <c r="A10" s="296"/>
      <c r="B10" s="295"/>
      <c r="C10" s="315"/>
      <c r="D10" s="58" t="s">
        <v>459</v>
      </c>
      <c r="E10" s="59">
        <v>2179.8248199999998</v>
      </c>
      <c r="F10" s="59">
        <f t="shared" si="0"/>
        <v>1875.52594</v>
      </c>
      <c r="G10" s="59">
        <f>382868.63/1000</f>
        <v>382.86863</v>
      </c>
      <c r="H10" s="59">
        <f>278384.24/1000</f>
        <v>278.38423999999998</v>
      </c>
      <c r="I10" s="59">
        <f>1214273.07/1000</f>
        <v>1214.27307</v>
      </c>
      <c r="J10" s="59"/>
      <c r="K10" s="59">
        <f>29920.89/1000</f>
        <v>29.92089</v>
      </c>
      <c r="L10" s="59">
        <v>0</v>
      </c>
      <c r="M10" s="59">
        <f>13442.13/1000</f>
        <v>13.442130000000001</v>
      </c>
      <c r="N10" s="60">
        <f t="shared" si="1"/>
        <v>4.5248786595059001E-2</v>
      </c>
      <c r="O10" s="60">
        <f t="shared" si="2"/>
        <v>0</v>
      </c>
      <c r="P10" s="60">
        <f t="shared" si="3"/>
        <v>2.0328274718868E-2</v>
      </c>
      <c r="Q10" s="82">
        <v>0</v>
      </c>
      <c r="R10" s="83"/>
    </row>
    <row r="11" spans="1:18" ht="192.75" customHeight="1" x14ac:dyDescent="0.25">
      <c r="A11" s="294">
        <v>2</v>
      </c>
      <c r="B11" s="295"/>
      <c r="C11" s="314" t="s">
        <v>460</v>
      </c>
      <c r="D11" s="58" t="s">
        <v>458</v>
      </c>
      <c r="E11" s="59">
        <v>688044.21</v>
      </c>
      <c r="F11" s="59">
        <f t="shared" si="0"/>
        <v>521424.06839999999</v>
      </c>
      <c r="G11" s="59">
        <f>G12*F28</f>
        <v>99804.705000000002</v>
      </c>
      <c r="H11" s="59">
        <f>H12*F28</f>
        <v>246917.90760000001</v>
      </c>
      <c r="I11" s="59">
        <f>I12*F30</f>
        <v>174701.4558</v>
      </c>
      <c r="J11" s="59"/>
      <c r="K11" s="59">
        <f>K12*1.19*F33</f>
        <v>8486.4829769999997</v>
      </c>
      <c r="L11" s="59">
        <f>L12*1.19*F33</f>
        <v>11572.501646999999</v>
      </c>
      <c r="M11" s="59">
        <f>M12*1.266*F34</f>
        <v>3883.6190735999999</v>
      </c>
      <c r="N11" s="60">
        <f t="shared" si="1"/>
        <v>2.4476289311970999E-2</v>
      </c>
      <c r="O11" s="60">
        <f t="shared" si="2"/>
        <v>3.3376829853179003E-2</v>
      </c>
      <c r="P11" s="60">
        <f t="shared" si="3"/>
        <v>1.1200939692042E-2</v>
      </c>
      <c r="Q11" s="82">
        <v>0</v>
      </c>
      <c r="R11" s="83">
        <f>N11+O11+P11+Q11</f>
        <v>6.9054058857192999E-2</v>
      </c>
    </row>
    <row r="12" spans="1:18" ht="100.9" hidden="1" customHeight="1" x14ac:dyDescent="0.25">
      <c r="A12" s="296"/>
      <c r="B12" s="296"/>
      <c r="C12" s="315"/>
      <c r="D12" s="58" t="s">
        <v>459</v>
      </c>
      <c r="E12" s="59">
        <v>116471.93</v>
      </c>
      <c r="F12" s="59">
        <f t="shared" si="0"/>
        <v>91466.75</v>
      </c>
      <c r="G12" s="59">
        <v>15053.5</v>
      </c>
      <c r="H12" s="59">
        <v>37242.519999999997</v>
      </c>
      <c r="I12" s="59">
        <v>39170.730000000003</v>
      </c>
      <c r="J12" s="59"/>
      <c r="K12" s="59">
        <v>1862.01</v>
      </c>
      <c r="L12" s="59">
        <v>2539.11</v>
      </c>
      <c r="M12" s="59">
        <v>784.56</v>
      </c>
      <c r="N12" s="60">
        <f t="shared" si="1"/>
        <v>3.5605195194586998E-2</v>
      </c>
      <c r="O12" s="60">
        <f t="shared" si="2"/>
        <v>4.8552643203058E-2</v>
      </c>
      <c r="P12" s="60">
        <f t="shared" si="3"/>
        <v>1.5002288893112999E-2</v>
      </c>
      <c r="Q12" s="82">
        <v>0</v>
      </c>
      <c r="R12" s="83"/>
    </row>
    <row r="13" spans="1:18" ht="49.15" customHeight="1" x14ac:dyDescent="0.25">
      <c r="A13" s="294">
        <v>3</v>
      </c>
      <c r="B13" s="294" t="s">
        <v>415</v>
      </c>
      <c r="C13" s="316" t="s">
        <v>416</v>
      </c>
      <c r="D13" s="58" t="s">
        <v>461</v>
      </c>
      <c r="E13" s="59">
        <v>170961.79</v>
      </c>
      <c r="F13" s="59">
        <f t="shared" si="0"/>
        <v>129121.52159999999</v>
      </c>
      <c r="G13" s="59">
        <f>G14*G28</f>
        <v>91503.198799999998</v>
      </c>
      <c r="H13" s="59">
        <f>H14*G28</f>
        <v>37618.322800000002</v>
      </c>
      <c r="I13" s="59">
        <f>I14*G30</f>
        <v>0</v>
      </c>
      <c r="J13" s="59"/>
      <c r="K13" s="59">
        <f>K14*1.19*G33</f>
        <v>1996.481088</v>
      </c>
      <c r="L13" s="59">
        <f>L14*1.19*G33</f>
        <v>2500.7293079999999</v>
      </c>
      <c r="M13" s="59">
        <f>M14*1.266*G34</f>
        <v>200.53819799999999</v>
      </c>
      <c r="N13" s="60">
        <f t="shared" si="1"/>
        <v>1.5462031915832E-2</v>
      </c>
      <c r="O13" s="60">
        <f t="shared" si="2"/>
        <v>1.9367254017862E-2</v>
      </c>
      <c r="P13" s="60">
        <f t="shared" si="3"/>
        <v>1.5530966140659E-3</v>
      </c>
      <c r="Q13" s="82">
        <v>4.5614105389631997E-3</v>
      </c>
      <c r="R13" s="83">
        <f>N13+O13+P13+Q13</f>
        <v>4.0943793086723003E-2</v>
      </c>
    </row>
    <row r="14" spans="1:18" ht="57.2" hidden="1" customHeight="1" x14ac:dyDescent="0.25">
      <c r="A14" s="296"/>
      <c r="B14" s="295"/>
      <c r="C14" s="317"/>
      <c r="D14" s="58" t="s">
        <v>459</v>
      </c>
      <c r="E14" s="59">
        <v>29033.31</v>
      </c>
      <c r="F14" s="59">
        <f t="shared" si="0"/>
        <v>22378.080000000002</v>
      </c>
      <c r="G14" s="59">
        <v>15858.44</v>
      </c>
      <c r="H14" s="59">
        <v>6519.64</v>
      </c>
      <c r="I14" s="59">
        <v>0</v>
      </c>
      <c r="J14" s="59"/>
      <c r="K14" s="59">
        <v>420.48</v>
      </c>
      <c r="L14" s="59">
        <v>526.67999999999995</v>
      </c>
      <c r="M14" s="59">
        <v>39.700000000000003</v>
      </c>
      <c r="N14" s="60">
        <f t="shared" si="1"/>
        <v>1.8789815748268001E-2</v>
      </c>
      <c r="O14" s="60">
        <f t="shared" si="2"/>
        <v>2.3535531198387E-2</v>
      </c>
      <c r="P14" s="60">
        <f t="shared" si="3"/>
        <v>1.7740574705247E-3</v>
      </c>
      <c r="Q14" s="82">
        <v>4.9753003421204997E-3</v>
      </c>
      <c r="R14" s="83"/>
    </row>
    <row r="15" spans="1:18" ht="67.900000000000006" customHeight="1" x14ac:dyDescent="0.25">
      <c r="A15" s="294">
        <v>4</v>
      </c>
      <c r="B15" s="295"/>
      <c r="C15" s="318" t="s">
        <v>417</v>
      </c>
      <c r="D15" s="61" t="s">
        <v>461</v>
      </c>
      <c r="E15" s="59">
        <v>725870.83</v>
      </c>
      <c r="F15" s="59">
        <v>551588.679</v>
      </c>
      <c r="G15" s="59">
        <v>319494.33</v>
      </c>
      <c r="H15" s="59">
        <v>231687.44</v>
      </c>
      <c r="I15" s="59">
        <v>406.85</v>
      </c>
      <c r="J15" s="59"/>
      <c r="K15" s="59">
        <v>12415.71</v>
      </c>
      <c r="L15" s="59">
        <v>14808.286339</v>
      </c>
      <c r="M15" s="59">
        <v>3822.96</v>
      </c>
      <c r="N15" s="60">
        <f t="shared" si="1"/>
        <v>2.2525618000755001E-2</v>
      </c>
      <c r="O15" s="60">
        <f t="shared" si="2"/>
        <v>2.6866429814977E-2</v>
      </c>
      <c r="P15" s="60">
        <f t="shared" si="3"/>
        <v>6.9359333128888E-3</v>
      </c>
      <c r="Q15" s="82">
        <v>3.5515340532281999E-3</v>
      </c>
      <c r="R15" s="83">
        <f>N15+O15+P15+Q15</f>
        <v>5.9879515181849002E-2</v>
      </c>
    </row>
    <row r="16" spans="1:18" ht="67.900000000000006" hidden="1" customHeight="1" x14ac:dyDescent="0.25">
      <c r="A16" s="296"/>
      <c r="B16" s="296"/>
      <c r="C16" s="319"/>
      <c r="D16" s="61" t="s">
        <v>459</v>
      </c>
      <c r="E16" s="59">
        <v>125177.97</v>
      </c>
      <c r="F16" s="59">
        <v>95613.7</v>
      </c>
      <c r="G16" s="59">
        <v>55371.64</v>
      </c>
      <c r="H16" s="59">
        <v>40153.81</v>
      </c>
      <c r="I16" s="59">
        <v>88.25</v>
      </c>
      <c r="J16" s="59"/>
      <c r="K16" s="59">
        <v>2724.12</v>
      </c>
      <c r="L16" s="59">
        <v>3249.07</v>
      </c>
      <c r="M16" s="59">
        <v>772.31</v>
      </c>
      <c r="N16" s="60">
        <f t="shared" si="1"/>
        <v>2.8517217139516E-2</v>
      </c>
      <c r="O16" s="60">
        <f t="shared" si="2"/>
        <v>3.4012611298874E-2</v>
      </c>
      <c r="P16" s="60">
        <f t="shared" si="3"/>
        <v>8.0848611548021993E-3</v>
      </c>
      <c r="Q16" s="82">
        <v>3.8737899135989E-3</v>
      </c>
      <c r="R16" s="83"/>
    </row>
    <row r="17" spans="1:18" ht="67.900000000000006" customHeight="1" x14ac:dyDescent="0.25">
      <c r="A17" s="294">
        <v>5</v>
      </c>
      <c r="B17" s="309" t="s">
        <v>418</v>
      </c>
      <c r="C17" s="314" t="s">
        <v>462</v>
      </c>
      <c r="D17" s="58" t="s">
        <v>463</v>
      </c>
      <c r="E17" s="59">
        <v>561932.85</v>
      </c>
      <c r="F17" s="59">
        <f>G17+H17+I17</f>
        <v>399667.21620000002</v>
      </c>
      <c r="G17" s="59">
        <f>G18*I28</f>
        <v>163785.296</v>
      </c>
      <c r="H17" s="59">
        <f>H18*I28</f>
        <v>147763.611</v>
      </c>
      <c r="I17" s="59">
        <f>I18*I30</f>
        <v>88118.309200000003</v>
      </c>
      <c r="J17" s="59"/>
      <c r="K17" s="59">
        <f>K18*1.19*I33</f>
        <v>19215.596995</v>
      </c>
      <c r="L17" s="59">
        <f>L18*1.19*I33</f>
        <v>0</v>
      </c>
      <c r="M17" s="59">
        <f>M18*1.266*I34</f>
        <v>1734.8322095999999</v>
      </c>
      <c r="N17" s="60">
        <f t="shared" si="1"/>
        <v>6.1677626090981999E-2</v>
      </c>
      <c r="O17" s="60">
        <f t="shared" si="2"/>
        <v>0</v>
      </c>
      <c r="P17" s="60">
        <f t="shared" si="3"/>
        <v>5.5684105147574998E-3</v>
      </c>
      <c r="Q17" s="82">
        <v>5.5643872525604002E-3</v>
      </c>
      <c r="R17" s="83">
        <f>N17+O17+P17+Q17</f>
        <v>7.2810423858299E-2</v>
      </c>
    </row>
    <row r="18" spans="1:18" ht="67.900000000000006" hidden="1" customHeight="1" x14ac:dyDescent="0.25">
      <c r="A18" s="296"/>
      <c r="B18" s="309"/>
      <c r="C18" s="315"/>
      <c r="D18" s="58" t="s">
        <v>459</v>
      </c>
      <c r="E18" s="59">
        <v>94393.09</v>
      </c>
      <c r="F18" s="59">
        <f>G18+H18+I18</f>
        <v>69651.210000000006</v>
      </c>
      <c r="G18" s="59">
        <v>25792.959999999999</v>
      </c>
      <c r="H18" s="59">
        <v>23269.86</v>
      </c>
      <c r="I18" s="59">
        <v>20588.39</v>
      </c>
      <c r="J18" s="59"/>
      <c r="K18" s="59">
        <v>4087.99</v>
      </c>
      <c r="L18" s="59">
        <v>0</v>
      </c>
      <c r="M18" s="59">
        <v>343.44</v>
      </c>
      <c r="N18" s="60">
        <f t="shared" si="1"/>
        <v>8.3321545724441004E-2</v>
      </c>
      <c r="O18" s="60">
        <f t="shared" si="2"/>
        <v>0</v>
      </c>
      <c r="P18" s="60">
        <f t="shared" si="3"/>
        <v>7.0000052993284996E-3</v>
      </c>
      <c r="Q18" s="82">
        <v>9.4728844648146997E-3</v>
      </c>
      <c r="R18" s="83"/>
    </row>
    <row r="19" spans="1:18" ht="67.900000000000006" customHeight="1" x14ac:dyDescent="0.25">
      <c r="A19" s="294">
        <v>6</v>
      </c>
      <c r="B19" s="309"/>
      <c r="C19" s="314" t="s">
        <v>420</v>
      </c>
      <c r="D19" s="61" t="s">
        <v>461</v>
      </c>
      <c r="E19" s="59">
        <v>738823.57</v>
      </c>
      <c r="F19" s="59">
        <v>511472.86</v>
      </c>
      <c r="G19" s="59">
        <v>257334.67</v>
      </c>
      <c r="H19" s="59">
        <v>230898.09</v>
      </c>
      <c r="I19" s="59">
        <v>23240.1</v>
      </c>
      <c r="J19" s="59"/>
      <c r="K19" s="59">
        <v>19584.188309000001</v>
      </c>
      <c r="L19" s="59">
        <v>0</v>
      </c>
      <c r="M19" s="59">
        <v>2539.5687809999999</v>
      </c>
      <c r="N19" s="60">
        <f t="shared" si="1"/>
        <v>4.0112401119907999E-2</v>
      </c>
      <c r="O19" s="60">
        <f t="shared" si="2"/>
        <v>0</v>
      </c>
      <c r="P19" s="60">
        <f t="shared" si="3"/>
        <v>5.2015534168579998E-3</v>
      </c>
      <c r="Q19" s="82">
        <v>5.1286902198045999E-3</v>
      </c>
      <c r="R19" s="83">
        <f>N19+O19+P19+Q19</f>
        <v>5.0442644756571002E-2</v>
      </c>
    </row>
    <row r="20" spans="1:18" ht="67.900000000000006" hidden="1" customHeight="1" x14ac:dyDescent="0.25">
      <c r="A20" s="296"/>
      <c r="B20" s="309"/>
      <c r="C20" s="315"/>
      <c r="D20" s="61" t="s">
        <v>459</v>
      </c>
      <c r="E20" s="59">
        <v>128717.35</v>
      </c>
      <c r="F20" s="59">
        <v>89613.6</v>
      </c>
      <c r="G20" s="59">
        <v>44598.73</v>
      </c>
      <c r="H20" s="59">
        <v>40017</v>
      </c>
      <c r="I20" s="59">
        <v>4997.87</v>
      </c>
      <c r="J20" s="59"/>
      <c r="K20" s="59">
        <v>4023.79</v>
      </c>
      <c r="L20" s="59">
        <v>0</v>
      </c>
      <c r="M20" s="59">
        <v>481.05</v>
      </c>
      <c r="N20" s="60">
        <f t="shared" si="1"/>
        <v>4.7553687712675E-2</v>
      </c>
      <c r="O20" s="60">
        <f t="shared" si="2"/>
        <v>0</v>
      </c>
      <c r="P20" s="60">
        <f t="shared" si="3"/>
        <v>5.6851131580381003E-3</v>
      </c>
      <c r="Q20" s="82">
        <v>5.5940533914911996E-3</v>
      </c>
      <c r="R20" s="83"/>
    </row>
    <row r="21" spans="1:18" ht="67.900000000000006" customHeight="1" x14ac:dyDescent="0.25">
      <c r="A21" s="294">
        <v>7</v>
      </c>
      <c r="B21" s="294" t="s">
        <v>421</v>
      </c>
      <c r="C21" s="314" t="s">
        <v>422</v>
      </c>
      <c r="D21" s="61" t="s">
        <v>464</v>
      </c>
      <c r="E21" s="59">
        <v>16001185.93</v>
      </c>
      <c r="F21" s="59">
        <f>G21+H21+I21+J21</f>
        <v>6269109.2307000002</v>
      </c>
      <c r="G21" s="59">
        <f>123094.59*K28+325303.92*K29</f>
        <v>2908258.6863000002</v>
      </c>
      <c r="H21" s="59">
        <f>110226.08*K28+375865.25*K29</f>
        <v>3158998.0832000002</v>
      </c>
      <c r="I21" s="59">
        <f>I22*K30</f>
        <v>201852.46119999999</v>
      </c>
      <c r="J21" s="59">
        <f>J22*K35</f>
        <v>0</v>
      </c>
      <c r="K21" s="59">
        <f>K22*K33*1.19</f>
        <v>48825.362634999998</v>
      </c>
      <c r="L21" s="59">
        <f>L22*1.19*K33</f>
        <v>73238.020449999996</v>
      </c>
      <c r="M21" s="59">
        <f>M22*K34*1.266</f>
        <v>11514.8831238</v>
      </c>
      <c r="N21" s="60">
        <f t="shared" si="1"/>
        <v>8.0473539343916007E-3</v>
      </c>
      <c r="O21" s="60">
        <f t="shared" si="2"/>
        <v>1.2071027027926E-2</v>
      </c>
      <c r="P21" s="60">
        <f t="shared" si="3"/>
        <v>1.8978730522309999E-3</v>
      </c>
      <c r="Q21" s="82">
        <v>5.9210415358545E-4</v>
      </c>
      <c r="R21" s="83">
        <f>N21+O21+P21+Q21</f>
        <v>2.2608358168133998E-2</v>
      </c>
    </row>
    <row r="22" spans="1:18" ht="67.900000000000006" hidden="1" customHeight="1" x14ac:dyDescent="0.25">
      <c r="A22" s="296"/>
      <c r="B22" s="296"/>
      <c r="C22" s="315"/>
      <c r="D22" s="84" t="s">
        <v>459</v>
      </c>
      <c r="E22" s="85">
        <v>2195184.4700000002</v>
      </c>
      <c r="F22" s="85">
        <f>G22+H22+I22+J22</f>
        <v>981651.63</v>
      </c>
      <c r="G22" s="85">
        <f>123094.59+325303.92</f>
        <v>448398.51</v>
      </c>
      <c r="H22" s="85">
        <f>110226.08+375865.25</f>
        <v>486091.33</v>
      </c>
      <c r="I22" s="85">
        <v>47161.79</v>
      </c>
      <c r="J22" s="85">
        <v>0</v>
      </c>
      <c r="K22" s="85">
        <v>10387.27</v>
      </c>
      <c r="L22" s="85">
        <v>15580.9</v>
      </c>
      <c r="M22" s="85">
        <v>2279.5700000000002</v>
      </c>
      <c r="N22" s="86">
        <f t="shared" si="1"/>
        <v>1.1115444551008E-2</v>
      </c>
      <c r="O22" s="86">
        <f t="shared" si="2"/>
        <v>1.6673161475998E-2</v>
      </c>
      <c r="P22" s="86">
        <f t="shared" si="3"/>
        <v>2.4393737656901999E-3</v>
      </c>
      <c r="Q22" s="87">
        <v>7.7662380726578996E-4</v>
      </c>
      <c r="R22" s="88"/>
    </row>
    <row r="23" spans="1:18" ht="67.900000000000006" customHeight="1" x14ac:dyDescent="0.25">
      <c r="A23" s="64"/>
      <c r="B23" s="64"/>
      <c r="C23" s="89" t="s">
        <v>465</v>
      </c>
      <c r="D23" s="65"/>
      <c r="E23" s="90"/>
      <c r="F23" s="90"/>
      <c r="G23" s="90"/>
      <c r="H23" s="90"/>
      <c r="I23" s="90"/>
      <c r="J23" s="90"/>
      <c r="K23" s="90"/>
      <c r="L23" s="90"/>
      <c r="M23" s="90"/>
      <c r="N23" s="67">
        <f>(N9+N11+N13+N15+N17+N19+N21)/7</f>
        <v>2.9452156597254999E-2</v>
      </c>
      <c r="O23" s="67">
        <f>(O9+O11+O13+O15+O17+O19+O21)/7</f>
        <v>1.3097362959135E-2</v>
      </c>
      <c r="P23" s="67">
        <f>(P9+P11+P13+P15+P17+P19+P21)/7</f>
        <v>6.9829983993947003E-3</v>
      </c>
      <c r="Q23" s="67">
        <f>(Q9+Q11+Q13+Q15+Q17+Q19+Q21)/7</f>
        <v>2.7711608883059999E-3</v>
      </c>
      <c r="R23" s="67">
        <f>N23+O23+P23+Q23</f>
        <v>5.2303678844090998E-2</v>
      </c>
    </row>
    <row r="24" spans="1:18" ht="67.900000000000006" customHeight="1" x14ac:dyDescent="0.25">
      <c r="A24" s="68"/>
      <c r="B24" s="68"/>
      <c r="C24" s="73"/>
      <c r="D24" s="69"/>
      <c r="E24" s="70"/>
      <c r="F24" s="70"/>
      <c r="G24" s="70"/>
      <c r="H24" s="70"/>
      <c r="I24" s="70"/>
      <c r="J24" s="70"/>
      <c r="K24" s="70"/>
      <c r="L24" s="70"/>
      <c r="M24" s="70"/>
      <c r="N24" s="71"/>
      <c r="O24" s="71"/>
      <c r="P24" s="71"/>
      <c r="Q24" s="70"/>
    </row>
    <row r="26" spans="1:18" ht="14.45" customHeight="1" outlineLevel="1" x14ac:dyDescent="0.25">
      <c r="D26" s="320" t="s">
        <v>466</v>
      </c>
      <c r="E26" s="320"/>
      <c r="F26" s="320"/>
      <c r="G26" s="320"/>
      <c r="H26" s="320"/>
      <c r="I26" s="320"/>
      <c r="J26" s="320"/>
      <c r="K26" s="320"/>
      <c r="L26" s="73"/>
      <c r="R26" s="91"/>
    </row>
    <row r="27" spans="1:18" outlineLevel="1" x14ac:dyDescent="0.25">
      <c r="D27" s="92"/>
      <c r="E27" s="92" t="s">
        <v>426</v>
      </c>
      <c r="F27" s="92" t="s">
        <v>427</v>
      </c>
      <c r="G27" s="92" t="s">
        <v>428</v>
      </c>
      <c r="H27" s="93" t="s">
        <v>429</v>
      </c>
      <c r="I27" s="93" t="s">
        <v>430</v>
      </c>
      <c r="J27" s="93" t="s">
        <v>431</v>
      </c>
      <c r="K27" s="64" t="s">
        <v>432</v>
      </c>
    </row>
    <row r="28" spans="1:18" outlineLevel="1" x14ac:dyDescent="0.25">
      <c r="D28" s="321" t="s">
        <v>433</v>
      </c>
      <c r="E28" s="323">
        <v>6.09</v>
      </c>
      <c r="F28" s="325">
        <v>6.63</v>
      </c>
      <c r="G28" s="323">
        <v>5.77</v>
      </c>
      <c r="H28" s="327">
        <v>5.77</v>
      </c>
      <c r="I28" s="327">
        <v>6.35</v>
      </c>
      <c r="J28" s="323">
        <v>5.77</v>
      </c>
      <c r="K28" s="94">
        <v>6.29</v>
      </c>
      <c r="L28" t="s">
        <v>434</v>
      </c>
    </row>
    <row r="29" spans="1:18" outlineLevel="1" x14ac:dyDescent="0.25">
      <c r="D29" s="322"/>
      <c r="E29" s="324"/>
      <c r="F29" s="326"/>
      <c r="G29" s="324"/>
      <c r="H29" s="328"/>
      <c r="I29" s="328"/>
      <c r="J29" s="324"/>
      <c r="K29" s="94">
        <v>6.56</v>
      </c>
      <c r="L29" t="s">
        <v>435</v>
      </c>
    </row>
    <row r="30" spans="1:18" outlineLevel="1" x14ac:dyDescent="0.25">
      <c r="D30" s="95" t="s">
        <v>436</v>
      </c>
      <c r="E30" s="94">
        <v>4.46</v>
      </c>
      <c r="F30" s="92">
        <v>4.46</v>
      </c>
      <c r="G30" s="94">
        <v>4.6500000000000004</v>
      </c>
      <c r="H30" s="93">
        <v>4.6100000000000003</v>
      </c>
      <c r="I30" s="93">
        <v>4.28</v>
      </c>
      <c r="J30" s="94">
        <v>4.6500000000000004</v>
      </c>
      <c r="K30" s="94">
        <v>4.28</v>
      </c>
    </row>
    <row r="31" spans="1:18" outlineLevel="1" x14ac:dyDescent="0.25">
      <c r="D31" s="321" t="s">
        <v>410</v>
      </c>
      <c r="E31" s="323">
        <v>11.37</v>
      </c>
      <c r="F31" s="325">
        <v>13.56</v>
      </c>
      <c r="G31" s="323">
        <v>15.91</v>
      </c>
      <c r="H31" s="327">
        <v>15.91</v>
      </c>
      <c r="I31" s="327">
        <v>14.03</v>
      </c>
      <c r="J31" s="323">
        <v>15.91</v>
      </c>
      <c r="K31" s="94">
        <v>8.2899999999999991</v>
      </c>
      <c r="L31" t="s">
        <v>434</v>
      </c>
    </row>
    <row r="32" spans="1:18" outlineLevel="1" x14ac:dyDescent="0.25">
      <c r="D32" s="322"/>
      <c r="E32" s="324"/>
      <c r="F32" s="326"/>
      <c r="G32" s="324"/>
      <c r="H32" s="328"/>
      <c r="I32" s="328"/>
      <c r="J32" s="324"/>
      <c r="K32" s="94">
        <v>11.84</v>
      </c>
      <c r="L32" t="s">
        <v>435</v>
      </c>
    </row>
    <row r="33" spans="4:12" ht="15" customHeight="1" outlineLevel="1" x14ac:dyDescent="0.25">
      <c r="D33" s="96" t="s">
        <v>437</v>
      </c>
      <c r="E33" s="97">
        <v>3.83</v>
      </c>
      <c r="F33" s="98">
        <v>3.83</v>
      </c>
      <c r="G33" s="97">
        <v>3.99</v>
      </c>
      <c r="H33" s="99">
        <v>3.83</v>
      </c>
      <c r="I33" s="99">
        <v>3.95</v>
      </c>
      <c r="J33" s="97">
        <v>4.09</v>
      </c>
      <c r="K33" s="94">
        <v>3.95</v>
      </c>
      <c r="L33" t="s">
        <v>467</v>
      </c>
    </row>
    <row r="34" spans="4:12" outlineLevel="1" x14ac:dyDescent="0.25">
      <c r="D34" s="96" t="s">
        <v>438</v>
      </c>
      <c r="E34" s="97">
        <v>3.91</v>
      </c>
      <c r="F34" s="98">
        <v>3.91</v>
      </c>
      <c r="G34" s="97">
        <v>3.99</v>
      </c>
      <c r="H34" s="99">
        <v>3.91</v>
      </c>
      <c r="I34" s="99">
        <v>3.99</v>
      </c>
      <c r="J34" s="97">
        <v>4.17</v>
      </c>
      <c r="K34" s="94">
        <v>3.99</v>
      </c>
      <c r="L34" t="s">
        <v>467</v>
      </c>
    </row>
    <row r="35" spans="4:12" outlineLevel="1" x14ac:dyDescent="0.25">
      <c r="D35" s="95" t="s">
        <v>376</v>
      </c>
      <c r="E35" s="94">
        <v>8.7899999999999991</v>
      </c>
      <c r="F35" s="92">
        <v>8.7899999999999991</v>
      </c>
      <c r="G35" s="94">
        <v>9.19</v>
      </c>
      <c r="H35" s="93">
        <v>9.1</v>
      </c>
      <c r="I35" s="93">
        <v>8.42</v>
      </c>
      <c r="J35" s="94">
        <v>9.19</v>
      </c>
      <c r="K35" s="94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User4</cp:lastModifiedBy>
  <cp:lastPrinted>2023-11-24T12:12:28Z</cp:lastPrinted>
  <dcterms:created xsi:type="dcterms:W3CDTF">2020-09-30T08:50:27Z</dcterms:created>
  <dcterms:modified xsi:type="dcterms:W3CDTF">2024-02-08T10:14:37Z</dcterms:modified>
  <cp:category/>
</cp:coreProperties>
</file>