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4\Desktop\З1_З2\З1\330 кВ\"/>
    </mc:Choice>
  </mc:AlternateContent>
  <xr:revisionPtr revIDLastSave="0" documentId="13_ncr:1_{1C795E38-DE1B-4F85-954B-82D7DC3619A1}" xr6:coauthVersionLast="40" xr6:coauthVersionMax="40" xr10:uidLastSave="{00000000-0000-0000-0000-000000000000}"/>
  <bookViews>
    <workbookView xWindow="0" yWindow="0" windowWidth="28800" windowHeight="12225" tabRatio="924" firstSheet="3" activeTab="6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7">#REF!</definedName>
    <definedName name="__a2">#REF!</definedName>
    <definedName name="__IntlFixup" localSheetId="9">TRUE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7">#REF!</definedName>
    <definedName name="_FilterDatabase" localSheetId="9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7">#REF!</definedName>
    <definedName name="A99999999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7">#REF!</definedName>
    <definedName name="h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7">#REF!</definedName>
    <definedName name="hfcxtn" localSheetId="9">#REF!</definedName>
    <definedName name="hfcxtn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7">#REF!</definedName>
    <definedName name="q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7">#REF!</definedName>
    <definedName name="rf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7">#REF!</definedName>
    <definedName name="rtyrty">#REF!</definedName>
    <definedName name="rybuf" localSheetId="4">#REF!</definedName>
    <definedName name="rybuf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4">#REF!</definedName>
    <definedName name="аморт">#REF!</definedName>
    <definedName name="Амортизация" localSheetId="4">#REF!</definedName>
    <definedName name="Амортизация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7">#REF!</definedName>
    <definedName name="др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7">#REF!</definedName>
    <definedName name="ер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4">#REF!</definedName>
    <definedName name="ЗаданиеГС_КМ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7">#REF!</definedName>
    <definedName name="ивпт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4">#REF!</definedName>
    <definedName name="ИИМбал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7">#REF!</definedName>
    <definedName name="иолд">#REF!</definedName>
    <definedName name="ИОСост" localSheetId="4">#REF!</definedName>
    <definedName name="ИОСост">#REF!</definedName>
    <definedName name="ИОСпс" localSheetId="4">#REF!</definedName>
    <definedName name="ИОСпс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7">#REF!</definedName>
    <definedName name="ип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7">#REF!</definedName>
    <definedName name="ИПусто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7">#REF!</definedName>
    <definedName name="итьоиьб">#REF!</definedName>
    <definedName name="Иуе" localSheetId="4">#REF!</definedName>
    <definedName name="Иуе">#REF!</definedName>
    <definedName name="ИуеРЭО" localSheetId="4">#REF!</definedName>
    <definedName name="ИуеРЭО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7">#REF!</definedName>
    <definedName name="керл">#REF!</definedName>
    <definedName name="КЗ_Имущество" localSheetId="4">#REF!</definedName>
    <definedName name="КЗ_Имущество">#REF!</definedName>
    <definedName name="КЗ_ИП" localSheetId="4">#REF!</definedName>
    <definedName name="КЗ_ИП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4">#REF!</definedName>
    <definedName name="Компания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4">#REF!</definedName>
    <definedName name="матер">#REF!</definedName>
    <definedName name="матер." localSheetId="4">#REF!</definedName>
    <definedName name="матер.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7">#REF!</definedName>
    <definedName name="НДС">#REF!</definedName>
    <definedName name="НДСИмущество" localSheetId="4">#REF!</definedName>
    <definedName name="НДСИмущество">#REF!</definedName>
    <definedName name="НДСИП" localSheetId="4">#REF!</definedName>
    <definedName name="НДСИП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Прил.3!$A$1:$H$74</definedName>
    <definedName name="_xlnm.Print_Area" localSheetId="6">'Прил.4 РМ'!$A$1:$E$48</definedName>
    <definedName name="_xlnm.Print_Area" localSheetId="7">'Прил.5 Расчет СМР и ОБ'!$A$1:$J$90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4">#REF!</definedName>
    <definedName name="Прибыль_RAB">#REF!</definedName>
    <definedName name="Прибыль_Масса" localSheetId="4">#REF!</definedName>
    <definedName name="Прибыль_Масса">#REF!</definedName>
    <definedName name="Прибыль_Метод" localSheetId="4">#REF!</definedName>
    <definedName name="Прибыль_Метод">#REF!</definedName>
    <definedName name="Прибыль_ПроцентОС" localSheetId="4">#REF!</definedName>
    <definedName name="Прибыль_ПроцентОС">#REF!</definedName>
    <definedName name="Прибыль_ПроцентСС" localSheetId="4">#REF!</definedName>
    <definedName name="Прибыль_ПроцентСС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4">#REF!</definedName>
    <definedName name="приоб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4">#REF!</definedName>
    <definedName name="СтавкаДКЗ">#REF!</definedName>
    <definedName name="СтавкаЕСН" localSheetId="4">#REF!</definedName>
    <definedName name="СтавкаЕСН">#REF!</definedName>
    <definedName name="СтавкаНДС" localSheetId="4">#REF!</definedName>
    <definedName name="СтавкаНДС">#REF!</definedName>
    <definedName name="СтавкаНП" localSheetId="4">#REF!</definedName>
    <definedName name="СтавкаНП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7">#REF!</definedName>
    <definedName name="урс123" localSheetId="9">#REF!</definedName>
    <definedName name="урс12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4">#REF!</definedName>
    <definedName name="электроэнер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G13" i="9"/>
  <c r="F13" i="9"/>
  <c r="E13" i="9"/>
  <c r="D13" i="9"/>
  <c r="C13" i="9"/>
  <c r="B13" i="9"/>
  <c r="G12" i="9"/>
  <c r="G14" i="9" s="1"/>
  <c r="F12" i="9"/>
  <c r="E12" i="9"/>
  <c r="D12" i="9"/>
  <c r="C12" i="9"/>
  <c r="B12" i="9"/>
  <c r="J74" i="8"/>
  <c r="I74" i="8"/>
  <c r="G74" i="8"/>
  <c r="J73" i="8"/>
  <c r="I73" i="8"/>
  <c r="G73" i="8"/>
  <c r="I72" i="8"/>
  <c r="J72" i="8" s="1"/>
  <c r="G72" i="8"/>
  <c r="J71" i="8"/>
  <c r="I71" i="8"/>
  <c r="G71" i="8"/>
  <c r="J70" i="8"/>
  <c r="I70" i="8"/>
  <c r="G70" i="8"/>
  <c r="I69" i="8"/>
  <c r="J69" i="8" s="1"/>
  <c r="G69" i="8"/>
  <c r="J68" i="8"/>
  <c r="I68" i="8"/>
  <c r="G68" i="8"/>
  <c r="J67" i="8"/>
  <c r="I67" i="8"/>
  <c r="G67" i="8"/>
  <c r="I66" i="8"/>
  <c r="J66" i="8" s="1"/>
  <c r="G66" i="8"/>
  <c r="J65" i="8"/>
  <c r="I65" i="8"/>
  <c r="G65" i="8"/>
  <c r="J64" i="8"/>
  <c r="I64" i="8"/>
  <c r="G64" i="8"/>
  <c r="I63" i="8"/>
  <c r="J63" i="8" s="1"/>
  <c r="G63" i="8"/>
  <c r="J62" i="8"/>
  <c r="I62" i="8"/>
  <c r="G62" i="8"/>
  <c r="J61" i="8"/>
  <c r="I61" i="8"/>
  <c r="G61" i="8"/>
  <c r="I60" i="8"/>
  <c r="J60" i="8" s="1"/>
  <c r="G60" i="8"/>
  <c r="J59" i="8"/>
  <c r="I59" i="8"/>
  <c r="G59" i="8"/>
  <c r="J58" i="8"/>
  <c r="I58" i="8"/>
  <c r="G58" i="8"/>
  <c r="I57" i="8"/>
  <c r="J57" i="8" s="1"/>
  <c r="G57" i="8"/>
  <c r="J56" i="8"/>
  <c r="I56" i="8"/>
  <c r="G56" i="8"/>
  <c r="J55" i="8"/>
  <c r="I55" i="8"/>
  <c r="G55" i="8"/>
  <c r="I54" i="8"/>
  <c r="J54" i="8" s="1"/>
  <c r="G54" i="8"/>
  <c r="J53" i="8"/>
  <c r="I53" i="8"/>
  <c r="G53" i="8"/>
  <c r="J52" i="8"/>
  <c r="I52" i="8"/>
  <c r="G52" i="8"/>
  <c r="I51" i="8"/>
  <c r="J51" i="8" s="1"/>
  <c r="G51" i="8"/>
  <c r="J50" i="8"/>
  <c r="I50" i="8"/>
  <c r="G50" i="8"/>
  <c r="J49" i="8"/>
  <c r="I49" i="8"/>
  <c r="G49" i="8"/>
  <c r="I48" i="8"/>
  <c r="J48" i="8" s="1"/>
  <c r="G48" i="8"/>
  <c r="J47" i="8"/>
  <c r="I47" i="8"/>
  <c r="G47" i="8"/>
  <c r="J45" i="8"/>
  <c r="I45" i="8"/>
  <c r="G45" i="8"/>
  <c r="J44" i="8"/>
  <c r="I44" i="8"/>
  <c r="G44" i="8"/>
  <c r="J43" i="8"/>
  <c r="I43" i="8"/>
  <c r="G43" i="8"/>
  <c r="G46" i="8" s="1"/>
  <c r="J42" i="8"/>
  <c r="I42" i="8"/>
  <c r="G42" i="8"/>
  <c r="J41" i="8"/>
  <c r="I41" i="8"/>
  <c r="G41" i="8"/>
  <c r="J34" i="8"/>
  <c r="J35" i="8" s="1"/>
  <c r="J37" i="8" s="1"/>
  <c r="I34" i="8"/>
  <c r="G34" i="8"/>
  <c r="J33" i="8"/>
  <c r="G33" i="8"/>
  <c r="G35" i="8" s="1"/>
  <c r="F33" i="8"/>
  <c r="G29" i="8"/>
  <c r="J28" i="8"/>
  <c r="I28" i="8"/>
  <c r="G28" i="8"/>
  <c r="J27" i="8"/>
  <c r="I27" i="8"/>
  <c r="G27" i="8"/>
  <c r="J26" i="8"/>
  <c r="I26" i="8"/>
  <c r="G26" i="8"/>
  <c r="J25" i="8"/>
  <c r="I25" i="8"/>
  <c r="G25" i="8"/>
  <c r="J24" i="8"/>
  <c r="I24" i="8"/>
  <c r="G24" i="8"/>
  <c r="J23" i="8"/>
  <c r="J29" i="8" s="1"/>
  <c r="I23" i="8"/>
  <c r="G23" i="8"/>
  <c r="J21" i="8"/>
  <c r="I21" i="8"/>
  <c r="G21" i="8"/>
  <c r="I20" i="8"/>
  <c r="J20" i="8" s="1"/>
  <c r="G20" i="8"/>
  <c r="J19" i="8"/>
  <c r="J22" i="8" s="1"/>
  <c r="C12" i="7" s="1"/>
  <c r="I19" i="8"/>
  <c r="G19" i="8"/>
  <c r="G16" i="8"/>
  <c r="F16" i="8" s="1"/>
  <c r="I16" i="8" s="1"/>
  <c r="J16" i="8" s="1"/>
  <c r="C15" i="7" s="1"/>
  <c r="I13" i="8"/>
  <c r="G13" i="8"/>
  <c r="G14" i="8" s="1"/>
  <c r="D79" i="8" s="1"/>
  <c r="E13" i="8"/>
  <c r="E14" i="8" s="1"/>
  <c r="C33" i="7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7" i="6"/>
  <c r="H16" i="6"/>
  <c r="H15" i="6"/>
  <c r="H14" i="6"/>
  <c r="H13" i="6"/>
  <c r="H12" i="6"/>
  <c r="F12" i="6"/>
  <c r="J14" i="5"/>
  <c r="H14" i="5"/>
  <c r="F14" i="5"/>
  <c r="J13" i="5"/>
  <c r="H13" i="5"/>
  <c r="F13" i="5"/>
  <c r="J12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46" i="8" l="1"/>
  <c r="C16" i="7" s="1"/>
  <c r="J38" i="8"/>
  <c r="C26" i="7" s="1"/>
  <c r="C25" i="7"/>
  <c r="C21" i="7"/>
  <c r="J75" i="8"/>
  <c r="C17" i="7" s="1"/>
  <c r="G15" i="9"/>
  <c r="G38" i="8"/>
  <c r="J30" i="8"/>
  <c r="C13" i="7"/>
  <c r="G37" i="8"/>
  <c r="J13" i="8"/>
  <c r="J14" i="8" s="1"/>
  <c r="J79" i="8" s="1"/>
  <c r="H33" i="8"/>
  <c r="G75" i="8"/>
  <c r="D78" i="8"/>
  <c r="G22" i="8"/>
  <c r="H13" i="8"/>
  <c r="J76" i="8" l="1"/>
  <c r="J80" i="8" s="1"/>
  <c r="J81" i="8" s="1"/>
  <c r="J82" i="8" s="1"/>
  <c r="C23" i="7"/>
  <c r="J78" i="8"/>
  <c r="H36" i="8"/>
  <c r="H37" i="8"/>
  <c r="G76" i="8"/>
  <c r="C14" i="7"/>
  <c r="C18" i="7"/>
  <c r="H34" i="8"/>
  <c r="G30" i="8"/>
  <c r="C11" i="7"/>
  <c r="H35" i="8"/>
  <c r="J77" i="8" l="1"/>
  <c r="H76" i="8"/>
  <c r="H44" i="8"/>
  <c r="H41" i="8"/>
  <c r="H42" i="8"/>
  <c r="H49" i="8"/>
  <c r="H45" i="8"/>
  <c r="H72" i="8"/>
  <c r="H69" i="8"/>
  <c r="H66" i="8"/>
  <c r="H63" i="8"/>
  <c r="H60" i="8"/>
  <c r="H57" i="8"/>
  <c r="H54" i="8"/>
  <c r="H51" i="8"/>
  <c r="H48" i="8"/>
  <c r="H73" i="8"/>
  <c r="H70" i="8"/>
  <c r="H67" i="8"/>
  <c r="H61" i="8"/>
  <c r="H52" i="8"/>
  <c r="H43" i="8"/>
  <c r="H64" i="8"/>
  <c r="H58" i="8"/>
  <c r="H55" i="8"/>
  <c r="H53" i="8"/>
  <c r="H65" i="8"/>
  <c r="H68" i="8"/>
  <c r="H59" i="8"/>
  <c r="H62" i="8"/>
  <c r="H74" i="8"/>
  <c r="H71" i="8"/>
  <c r="H47" i="8"/>
  <c r="H46" i="8"/>
  <c r="H56" i="8"/>
  <c r="H50" i="8"/>
  <c r="C19" i="7"/>
  <c r="C24" i="7" s="1"/>
  <c r="D14" i="7" s="1"/>
  <c r="H27" i="8"/>
  <c r="H24" i="8"/>
  <c r="H21" i="8"/>
  <c r="H25" i="8"/>
  <c r="H28" i="8"/>
  <c r="H20" i="8"/>
  <c r="H26" i="8"/>
  <c r="H23" i="8"/>
  <c r="G77" i="8"/>
  <c r="G80" i="8"/>
  <c r="G81" i="8" s="1"/>
  <c r="G82" i="8" s="1"/>
  <c r="H29" i="8"/>
  <c r="H19" i="8"/>
  <c r="H22" i="8"/>
  <c r="H75" i="8"/>
  <c r="C20" i="7"/>
  <c r="C22" i="7"/>
  <c r="D22" i="7" l="1"/>
  <c r="C29" i="7"/>
  <c r="D24" i="7"/>
  <c r="C27" i="7"/>
  <c r="D15" i="7"/>
  <c r="D12" i="7"/>
  <c r="D16" i="7"/>
  <c r="D13" i="7"/>
  <c r="D17" i="7"/>
  <c r="D20" i="7"/>
  <c r="D11" i="7"/>
  <c r="D18" i="7"/>
  <c r="C34" i="7" l="1"/>
  <c r="C30" i="7"/>
  <c r="C32" i="7"/>
  <c r="C35" i="7" l="1"/>
  <c r="C37" i="7" s="1"/>
  <c r="C36" i="7" l="1"/>
  <c r="C38" i="7" l="1"/>
  <c r="C39" i="7" l="1"/>
  <c r="E39" i="7" l="1"/>
  <c r="C40" i="7"/>
  <c r="C41" i="7" s="1"/>
  <c r="E33" i="7" l="1"/>
  <c r="D11" i="10"/>
  <c r="E31" i="7"/>
  <c r="E40" i="7"/>
  <c r="E15" i="7"/>
  <c r="E12" i="7"/>
  <c r="E13" i="7"/>
  <c r="E16" i="7"/>
  <c r="E17" i="7"/>
  <c r="E26" i="7"/>
  <c r="E25" i="7"/>
  <c r="E18" i="7"/>
  <c r="E11" i="7"/>
  <c r="E14" i="7"/>
  <c r="E22" i="7"/>
  <c r="E20" i="7"/>
  <c r="E24" i="7"/>
  <c r="E29" i="7"/>
  <c r="E27" i="7"/>
  <c r="E34" i="7"/>
  <c r="E30" i="7"/>
  <c r="E32" i="7"/>
  <c r="E37" i="7"/>
  <c r="E35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<sst xmlns="http://schemas.openxmlformats.org/spreadsheetml/2006/main" count="769" uniqueCount="467">
  <si>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</si>
  <si>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</si>
  <si>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</si>
  <si>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</si>
  <si>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</si>
  <si>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</si>
  <si>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</si>
  <si>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</si>
  <si>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</si>
  <si>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</si>
  <si>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</si>
  <si>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</si>
  <si>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</si>
  <si>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</si>
  <si>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</si>
  <si>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</si>
  <si>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</si>
  <si>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</si>
  <si>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</si>
  <si>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</si>
  <si>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</si>
  <si>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</si>
  <si>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</si>
  <si>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</si>
  <si>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</si>
  <si>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</si>
  <si>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</si>
  <si>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</si>
  <si>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</si>
  <si>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</si>
  <si>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</si>
  <si>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</si>
  <si>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</si>
  <si>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</si>
  <si>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</si>
  <si>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</si>
  <si>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</si>
  <si>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</si>
  <si>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</si>
  <si>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</si>
  <si>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</si>
  <si>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</si>
  <si>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</si>
  <si>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</si>
  <si>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</si>
  <si>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</si>
  <si>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</si>
  <si>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</si>
  <si>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Постоянная часть ПС, откатные (раздвижные, автоматические, противопожарные) ворота ПС 330 кВ</t>
  </si>
  <si>
    <t>Сопоставимый уровень цен: 4 квартал 2019 г.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</si>
  <si>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</si>
  <si>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</si>
  <si>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</si>
  <si>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</si>
  <si>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330 кВ Мурманская</t>
  </si>
  <si>
    <t>Наименование субъекта Российской Федерации</t>
  </si>
  <si>
    <t>Мурманская область</t>
  </si>
  <si>
    <t>Климатический район и подрайон</t>
  </si>
  <si>
    <t xml:space="preserve"> 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</si>
  <si>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</si>
  <si>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</si>
  <si>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Мотор-редуктор - 1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</si>
  <si>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</si>
  <si>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</si>
  <si>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</si>
  <si>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</si>
  <si>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</si>
  <si>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</si>
  <si>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</si>
  <si>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</si>
  <si>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</si>
  <si>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</si>
  <si>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</si>
  <si>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</si>
  <si>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</si>
  <si>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</si>
  <si>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</si>
  <si>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</si>
  <si>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</si>
  <si>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</si>
  <si>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</si>
  <si>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</si>
  <si>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</si>
  <si>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</si>
  <si>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</si>
  <si>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2019г., тыс. руб.</t>
  </si>
  <si>
    <t>Строительные работы</t>
  </si>
  <si>
    <t>Монтажные работы</t>
  </si>
  <si>
    <t>Прочее</t>
  </si>
  <si>
    <t>Всего</t>
  </si>
  <si>
    <t>Откатные (раздвижные, автоматические, противопожарные) ворота ПС 330 кВ</t>
  </si>
  <si>
    <t>Всего по объекту:</t>
  </si>
  <si>
    <t>Всего по объекту в сопоставимом уровне цен 4 кв. 2019 г:</t>
  </si>
  <si>
    <t>Составил ______________________     А.Р. Маркова</t>
  </si>
  <si>
    <t>Проверил ______________________        А.В. Костянецкая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</si>
  <si>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</si>
  <si>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</si>
  <si>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</si>
  <si>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Постоянная часть ПС, откатные (раздвижные, автоматические, противопожарные) ворота 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</si>
  <si>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</si>
  <si>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</si>
  <si>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</si>
  <si>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</si>
  <si>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</si>
  <si>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</si>
  <si>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</si>
  <si>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</si>
  <si>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</si>
  <si>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</si>
  <si>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</si>
  <si>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</si>
  <si>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(средний разряд работы 3,8)</t>
  </si>
  <si>
    <t>чел.-ч</t>
  </si>
  <si>
    <t>1-4-2</t>
  </si>
  <si>
    <t>Затраты труда рабочих (средний разряд работы 4,2)</t>
  </si>
  <si>
    <t>1-4-1</t>
  </si>
  <si>
    <t>Затраты труда рабочих (средний разряд работы 4,1)</t>
  </si>
  <si>
    <t>1-4-0</t>
  </si>
  <si>
    <t>Затраты труда рабочих (средний разряд работы 4,0)</t>
  </si>
  <si>
    <t>Затраты труда машинистов</t>
  </si>
  <si>
    <t>Затраты труда машинистов(справочно)</t>
  </si>
  <si>
    <t>Машины и механизмы</t>
  </si>
  <si>
    <t>91.05.04-010</t>
  </si>
  <si>
    <t>Краны мостовые электрические, грузоподъемность 50 т</t>
  </si>
  <si>
    <t>маш.-ч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</si>
  <si>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</si>
  <si>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</si>
  <si>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</si>
  <si>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</si>
  <si>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</si>
  <si>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</si>
  <si>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91.06.03-061</t>
  </si>
  <si>
    <t>Лебедки электрические тяговым усилием до 12,26 кН (1,25 т)</t>
  </si>
  <si>
    <t>331-451</t>
  </si>
  <si>
    <t>Перфораторы: электрические</t>
  </si>
  <si>
    <t>91.01.05-106</t>
  </si>
  <si>
    <t>Экскаваторы одноковшовые дизельные на пневмоколесном ходу, емкость ковша 0,25 м3</t>
  </si>
  <si>
    <t>91.06.01-003</t>
  </si>
  <si>
    <t>Домкраты гидравлические, грузоподъемность 63-100 т</t>
  </si>
  <si>
    <t>91.07.04-001</t>
  </si>
  <si>
    <t>Вибраторы глубинные</t>
  </si>
  <si>
    <t>Прайс из СД ОП</t>
  </si>
  <si>
    <t>Мотор-редуктор МЦ2С-63-45-0,55-РG110ЦУЗ</t>
  </si>
  <si>
    <t>шт</t>
  </si>
  <si>
    <t>62.1.02.14-0069</t>
  </si>
  <si>
    <t>Ящик управления РУСМ 5410-2274 У2</t>
  </si>
  <si>
    <t>шт.</t>
  </si>
  <si>
    <t>Материалы</t>
  </si>
  <si>
    <t>07.2.07.12-0018</t>
  </si>
  <si>
    <t>Элементы конструктивные зданий и сооружений с преобладанием гнутых профилей, средняя масса сборочной единицы свыше 0,1 до 0,5 т</t>
  </si>
  <si>
    <t>т</t>
  </si>
  <si>
    <t>08.1.06.01-0002</t>
  </si>
  <si>
    <t>Ворота различных типов рамы, каркасы, панели с заполнением из тонколистовой стали без механизма открывания</t>
  </si>
  <si>
    <t>08.1.02.13-0005</t>
  </si>
  <si>
    <t>Рукава металлические из стальной оцинкованной ленты, негерметичные, простого профиля, РЗ-ЦХ, условный диаметр 15 мм</t>
  </si>
  <si>
    <t>м</t>
  </si>
  <si>
    <t>05.1.08.01-0088</t>
  </si>
  <si>
    <t>Блоки железобетонные фундаментные</t>
  </si>
  <si>
    <t>м3</t>
  </si>
  <si>
    <t>21.1.05.02-0001</t>
  </si>
  <si>
    <t>Кабель силовой повышенной гибкости с медными жилами КПГ 2х2,5-660</t>
  </si>
  <si>
    <t>1000 м</t>
  </si>
  <si>
    <t>18.5.08.09-0001</t>
  </si>
  <si>
    <t>Патрубки</t>
  </si>
  <si>
    <t>10 шт</t>
  </si>
  <si>
    <t>08.3.07.01-0076</t>
  </si>
  <si>
    <t>Прокат полосовой, горячекатаный, марка стали Ст3сп, ширина 50-200 мм, толщина 4-5 мм</t>
  </si>
  <si>
    <t>07.2.07.04-0007</t>
  </si>
  <si>
    <t>Конструкции стальные индивидуальные решетчатые сварные, масса до 0,1 т</t>
  </si>
  <si>
    <t>04.1.02.05-0023</t>
  </si>
  <si>
    <t>Смеси бетонные тяжелого бетона (БСТ), крупность заполнителя 10 мм, класс В7,5 (М100)</t>
  </si>
  <si>
    <t>21.2.03.05-0002</t>
  </si>
  <si>
    <t>Провод силовой установочный АПВ 2,5-450</t>
  </si>
  <si>
    <t>10.3.02.03-0002</t>
  </si>
  <si>
    <t>Припои оловянно-свинцовые бессурьмянистые в чушках, марка ПОС30</t>
  </si>
  <si>
    <t>21.2.03.05-0045</t>
  </si>
  <si>
    <t>Провод силовой установочный с медными жилами ПВ1 1,5-450</t>
  </si>
  <si>
    <t>01.7.15.04-0011</t>
  </si>
  <si>
    <t>Винты с полукруглой головкой, длина 50 мм</t>
  </si>
  <si>
    <t>20.1.02.23-0082</t>
  </si>
  <si>
    <t>Перемычки гибкие, тип ПГС-50</t>
  </si>
  <si>
    <t>11.1.03.05-0085</t>
  </si>
  <si>
    <t>Доска необрезная, хвойных пород, длина 4-6,5 м, все ширины, толщина 44 мм и более, сорт III</t>
  </si>
  <si>
    <t>01.7.15.03-0042</t>
  </si>
  <si>
    <t>Болты с гайками и шайбами строительные</t>
  </si>
  <si>
    <t>кг</t>
  </si>
  <si>
    <t>999-9950</t>
  </si>
  <si>
    <t>Вспомогательные ненормируемые ресурсы (2% от оплаты труда рабочих)</t>
  </si>
  <si>
    <t>руб</t>
  </si>
  <si>
    <t>01.7.11.07-0034</t>
  </si>
  <si>
    <t>Электроды сварочные Э42А, диаметр 4 мм</t>
  </si>
  <si>
    <t>25.1.01.04-0031</t>
  </si>
  <si>
    <t>Шпалы непропитанные для железных дорог, тип I</t>
  </si>
  <si>
    <t>20.2.09.05-0012</t>
  </si>
  <si>
    <t>Муфты соединительные</t>
  </si>
  <si>
    <t>01.7.15.14-0165</t>
  </si>
  <si>
    <t>Шурупы с полукруглой головкой 4х40 мм</t>
  </si>
  <si>
    <t>14.4.03.03-0002</t>
  </si>
  <si>
    <t>Лак битумный БТ-123</t>
  </si>
  <si>
    <t>01.7.06.07-0001</t>
  </si>
  <si>
    <t>Лента К226</t>
  </si>
  <si>
    <t>100 м</t>
  </si>
  <si>
    <t>20.2.02.01-0019</t>
  </si>
  <si>
    <t>Втулки изолирующие</t>
  </si>
  <si>
    <t>1000 шт</t>
  </si>
  <si>
    <t>01.7.11.07-0054</t>
  </si>
  <si>
    <t>Электроды сварочные Э42, диаметр 6 мм</t>
  </si>
  <si>
    <t>11.1.02.04-0031</t>
  </si>
  <si>
    <t>Лесоматериалы круглые, хвойных пород, для строительства, диаметр 14-24 см, длина 3-6,5 м</t>
  </si>
  <si>
    <t>06.1.01.05-0015</t>
  </si>
  <si>
    <t>Кирпич керамический лицевой, размер 250х120х65 мм, марка 100</t>
  </si>
  <si>
    <t>14.4.02.09-0001</t>
  </si>
  <si>
    <t>Краска</t>
  </si>
  <si>
    <t>01.7.15.07-0031</t>
  </si>
  <si>
    <t>Дюбели распорные с гайкой</t>
  </si>
  <si>
    <t>100 шт</t>
  </si>
  <si>
    <t>03.2.01.01-0003</t>
  </si>
  <si>
    <t>Портландцемент общестроительного назначения бездобавочный М500 Д0 (ЦЕМ I 42,5Н)</t>
  </si>
  <si>
    <t>01.7.15.10-0053</t>
  </si>
  <si>
    <t>Скобы металлические</t>
  </si>
  <si>
    <t>04.3.01.09-0011</t>
  </si>
  <si>
    <t>Раствор готовый кладочный, цементный, М25</t>
  </si>
  <si>
    <t>02.3.01.02-0016</t>
  </si>
  <si>
    <t>Песок природный для строительных: работ средний с крупностью зерен размером свыше 5 мм-до 5% по массе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</si>
  <si>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</si>
  <si>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</si>
  <si>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</si>
  <si>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</si>
  <si>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</si>
  <si>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</si>
  <si>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</si>
  <si>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</si>
  <si>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</si>
  <si>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</si>
  <si>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</si>
  <si>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</si>
  <si>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</si>
  <si>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</si>
  <si>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</si>
  <si>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</si>
  <si>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</si>
  <si>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</si>
  <si>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</si>
  <si>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</si>
  <si>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</si>
  <si>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</si>
  <si>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</si>
  <si>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</si>
  <si>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</si>
  <si>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</si>
  <si>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</si>
  <si>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</si>
  <si>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</si>
  <si>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</si>
  <si>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</si>
  <si>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</si>
  <si>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</si>
  <si>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</si>
  <si>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</si>
  <si>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</si>
  <si>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</si>
  <si>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А.Р. Маркова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</si>
  <si>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</si>
  <si>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</si>
  <si>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</si>
  <si>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</si>
  <si>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</si>
  <si>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</si>
  <si>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откатные (раздвижные, автоматические, противопожарные) ворота 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</si>
  <si>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</si>
  <si>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</si>
  <si>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</si>
  <si>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</si>
  <si>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</si>
  <si>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</si>
  <si>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</si>
  <si>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</si>
  <si>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</si>
  <si>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</si>
  <si>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</si>
  <si>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</si>
  <si>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</si>
  <si>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БЦ.92_4.11</t>
  </si>
  <si>
    <t>Мотор-редуктор для откатных ворот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</si>
  <si>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</si>
  <si>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</si>
  <si>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</si>
  <si>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</si>
  <si>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</si>
  <si>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</si>
  <si>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</si>
  <si>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</si>
  <si>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</si>
  <si>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</si>
  <si>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</si>
  <si>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</si>
  <si>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</si>
  <si>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</si>
  <si>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А.Р. Маркова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</si>
  <si>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</si>
  <si>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</si>
  <si>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</si>
  <si>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</si>
  <si>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</si>
  <si>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</si>
  <si>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</si>
  <si>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</si>
  <si>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</si>
  <si>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</si>
  <si>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</si>
  <si>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</si>
  <si>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З1-04</t>
  </si>
  <si>
    <t>УНЦ постоянной части ПС 330 кВ</t>
  </si>
  <si>
    <t>Составил ______________________      А.Р. Маркова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</si>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</sst>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b/>
      <sz val="12"/>
      <color rgb="FF000000"/>
      <name val="Calibri"/>
    </font>
    <font>
      <b/>
      <sz val="14"/>
      <color rgb="FF000000"/>
      <name val="Times New Roman"/>
    </font>
    <font>
      <sz val="10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justify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0" xfId="0" applyFont="1"/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0" fontId="20" fillId="0" borderId="1" xfId="0" applyFont="1" applyBorder="1" applyAlignment="1">
      <alignment vertical="center" wrapText="1"/>
    </xf>
    <xf numFmtId="0" fontId="19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horizontal="righ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top" wrapText="1"/>
    </xf>
    <xf numFmtId="0" fontId="21" fillId="0" borderId="0" xfId="0" applyFont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center" wrapText="1"/>
    </xf>
    <xf numFmtId="0" fontId="16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0" fontId="2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4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3" fillId="0" borderId="0" xfId="0" applyFont="1" applyAlignment="1">
      <alignment vertical="top" wrapText="1"/>
    </xf>
    <xf numFmtId="0" fontId="16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5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384175</xdr:colOff>
      <xdr:row>26</xdr:row>
      <xdr:rowOff>85724</xdr:rowOff>
    </xdr:from>
    <xdr:to>
      <xdr:col>2</xdr:col>
      <xdr:colOff>1328977</xdr:colOff>
      <xdr:row>29</xdr:row>
      <xdr:rowOff>38437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E280C13-EC5E-4BDF-B0F1-AD58DB763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3375" y="105917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527050</xdr:colOff>
      <xdr:row>24</xdr:row>
      <xdr:rowOff>15875</xdr:rowOff>
    </xdr:from>
    <xdr:to>
      <xdr:col>2</xdr:col>
      <xdr:colOff>1231900</xdr:colOff>
      <xdr:row>26</xdr:row>
      <xdr:rowOff>64714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C1C60CCA-B046-45F5-95ED-01C7C4AA2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0" y="10131425"/>
          <a:ext cx="704850" cy="4393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932089</xdr:colOff>
      <xdr:row>18</xdr:row>
      <xdr:rowOff>47170</xdr:rowOff>
    </xdr:from>
    <xdr:to>
      <xdr:col>2</xdr:col>
      <xdr:colOff>1876891</xdr:colOff>
      <xdr:row>20</xdr:row>
      <xdr:rowOff>190383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1FB5BF7-CEEE-4444-BBC5-5BDE40777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1803" y="445588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1074964</xdr:colOff>
      <xdr:row>15</xdr:row>
      <xdr:rowOff>151946</xdr:rowOff>
    </xdr:from>
    <xdr:to>
      <xdr:col>2</xdr:col>
      <xdr:colOff>1779814</xdr:colOff>
      <xdr:row>18</xdr:row>
      <xdr:rowOff>26160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69D99A8A-6ABC-4DEA-B5D4-9D87F313D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4678" y="3989160"/>
          <a:ext cx="704850" cy="44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336777</xdr:colOff>
      <xdr:row>68</xdr:row>
      <xdr:rowOff>93888</xdr:rowOff>
    </xdr:from>
    <xdr:to>
      <xdr:col>2</xdr:col>
      <xdr:colOff>1281579</xdr:colOff>
      <xdr:row>71</xdr:row>
      <xdr:rowOff>27551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0950D72-586F-46E7-9DC2-15E5EEA46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741" y="17592674"/>
          <a:ext cx="944802" cy="545984"/>
        </a:xfrm>
        <a:prstGeom prst="rect">
          <a:avLst/>
        </a:prstGeom>
      </xdr:spPr>
    </xdr:pic>
    <xdr:clientData/>
  </xdr:twoCellAnchor>
  <xdr:twoCellAnchor editAs="oneCell">
    <xdr:from>
      <xdr:col>2</xdr:col>
      <xdr:colOff>496661</xdr:colOff>
      <xdr:row>65</xdr:row>
      <xdr:rowOff>136071</xdr:rowOff>
    </xdr:from>
    <xdr:to>
      <xdr:col>2</xdr:col>
      <xdr:colOff>1201511</xdr:colOff>
      <xdr:row>67</xdr:row>
      <xdr:rowOff>181735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63F45A13-C995-49F1-BE2A-61F67F3EE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17022535"/>
          <a:ext cx="704850" cy="4538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876300</xdr:colOff>
      <xdr:row>43</xdr:row>
      <xdr:rowOff>114299</xdr:rowOff>
    </xdr:from>
    <xdr:to>
      <xdr:col>1</xdr:col>
      <xdr:colOff>1821102</xdr:colOff>
      <xdr:row>46</xdr:row>
      <xdr:rowOff>67012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05763F1-3026-40DD-8C2B-1C84F0736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117347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1019175</xdr:colOff>
      <xdr:row>41</xdr:row>
      <xdr:rowOff>28575</xdr:rowOff>
    </xdr:from>
    <xdr:to>
      <xdr:col>1</xdr:col>
      <xdr:colOff>1724025</xdr:colOff>
      <xdr:row>43</xdr:row>
      <xdr:rowOff>93289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DF233BFD-D751-4173-A55E-9F74CC175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" y="11268075"/>
          <a:ext cx="704850" cy="44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614083</xdr:colOff>
      <xdr:row>84</xdr:row>
      <xdr:rowOff>79000</xdr:rowOff>
    </xdr:from>
    <xdr:to>
      <xdr:col>2</xdr:col>
      <xdr:colOff>53935</xdr:colOff>
      <xdr:row>87</xdr:row>
      <xdr:rowOff>31713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CED6D83-2808-4638-A92C-033946DCF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083" y="22322676"/>
          <a:ext cx="941440" cy="490596"/>
        </a:xfrm>
        <a:prstGeom prst="rect">
          <a:avLst/>
        </a:prstGeom>
      </xdr:spPr>
    </xdr:pic>
    <xdr:clientData/>
  </xdr:twoCellAnchor>
  <xdr:twoCellAnchor editAs="oneCell">
    <xdr:from>
      <xdr:col>1</xdr:col>
      <xdr:colOff>756958</xdr:colOff>
      <xdr:row>81</xdr:row>
      <xdr:rowOff>430305</xdr:rowOff>
    </xdr:from>
    <xdr:to>
      <xdr:col>1</xdr:col>
      <xdr:colOff>1439396</xdr:colOff>
      <xdr:row>84</xdr:row>
      <xdr:rowOff>57990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69BA2E50-273C-499D-8282-81CEAA8C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958" y="21867158"/>
          <a:ext cx="682438" cy="4345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17</xdr:row>
      <xdr:rowOff>76199</xdr:rowOff>
    </xdr:from>
    <xdr:to>
      <xdr:col>2</xdr:col>
      <xdr:colOff>268527</xdr:colOff>
      <xdr:row>20</xdr:row>
      <xdr:rowOff>28912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F067404-6EAB-4CD1-A8C7-9F4971602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45243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638175</xdr:colOff>
      <xdr:row>14</xdr:row>
      <xdr:rowOff>238125</xdr:rowOff>
    </xdr:from>
    <xdr:to>
      <xdr:col>2</xdr:col>
      <xdr:colOff>171450</xdr:colOff>
      <xdr:row>17</xdr:row>
      <xdr:rowOff>55189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5CBA3610-A335-4204-A656-B254D0D02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4057650"/>
          <a:ext cx="704850" cy="44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885825</xdr:colOff>
      <xdr:row>13</xdr:row>
      <xdr:rowOff>95249</xdr:rowOff>
    </xdr:from>
    <xdr:to>
      <xdr:col>1</xdr:col>
      <xdr:colOff>868602</xdr:colOff>
      <xdr:row>16</xdr:row>
      <xdr:rowOff>47962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F935B75-9AAE-4C84-AA6D-2B0D104C9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35813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10</xdr:row>
      <xdr:rowOff>552450</xdr:rowOff>
    </xdr:from>
    <xdr:to>
      <xdr:col>1</xdr:col>
      <xdr:colOff>866775</xdr:colOff>
      <xdr:row>13</xdr:row>
      <xdr:rowOff>17089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3C30E180-82F1-4B96-849A-271447DFE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3057525"/>
          <a:ext cx="704850" cy="4457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889000</xdr:colOff>
      <xdr:row>26</xdr:row>
      <xdr:rowOff>85724</xdr:rowOff>
    </xdr:from>
    <xdr:to>
      <xdr:col>1</xdr:col>
      <xdr:colOff>1833802</xdr:colOff>
      <xdr:row>29</xdr:row>
      <xdr:rowOff>38437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65D9B98-F355-4B9D-9679-D7681D03D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250" y="89439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1031875</xdr:colOff>
      <xdr:row>24</xdr:row>
      <xdr:rowOff>0</xdr:rowOff>
    </xdr:from>
    <xdr:to>
      <xdr:col>1</xdr:col>
      <xdr:colOff>1736725</xdr:colOff>
      <xdr:row>26</xdr:row>
      <xdr:rowOff>64714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22657009-58A0-45B1-BB25-5E73F4396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5125" y="8477250"/>
          <a:ext cx="704850" cy="44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47" t="s">
        <v>0</v>
      </c>
      <c r="B2" s="347"/>
      <c r="C2" s="347"/>
    </row>
    <row r="3" spans="1:3" x14ac:dyDescent="0.25">
      <c r="A3" s="1"/>
      <c r="B3" s="1"/>
      <c r="C3" s="1"/>
    </row>
    <row r="4" spans="1:3" x14ac:dyDescent="0.25">
      <c r="A4" s="348" t="s">
        <v>1</v>
      </c>
      <c r="B4" s="348"/>
      <c r="C4" s="34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53" t="s">
        <v>2</v>
      </c>
      <c r="B6" s="349" t="s">
        <v>3</v>
      </c>
      <c r="C6" s="349"/>
    </row>
    <row r="7" spans="1:3" x14ac:dyDescent="0.25">
      <c r="A7" s="154" t="s">
        <v>4</v>
      </c>
      <c r="B7" s="1"/>
      <c r="C7" s="1"/>
    </row>
    <row r="8" spans="1:3" x14ac:dyDescent="0.25">
      <c r="A8" s="154"/>
      <c r="B8" s="1"/>
      <c r="C8" s="1"/>
    </row>
    <row r="9" spans="1:3" ht="39.6" customHeight="1" x14ac:dyDescent="0.25">
      <c r="A9" s="2" t="s">
        <v>5</v>
      </c>
      <c r="B9" s="2" t="s">
        <v>6</v>
      </c>
      <c r="C9" s="155" t="s">
        <v>7</v>
      </c>
    </row>
    <row r="10" spans="1:3" ht="86.45" customHeight="1" x14ac:dyDescent="0.25">
      <c r="A10" s="156" t="s">
        <v>8</v>
      </c>
      <c r="B10" s="15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25" sqref="D25"/>
    </sheetView>
  </sheetViews>
  <sheetFormatPr defaultColWidth="8.85546875" defaultRowHeight="15" x14ac:dyDescent="0.25"/>
  <cols>
    <col min="1" max="1" width="14.42578125" style="324" customWidth="1"/>
    <col min="2" max="2" width="29.5703125" style="324" customWidth="1"/>
    <col min="3" max="3" width="39.140625" style="324" customWidth="1"/>
    <col min="4" max="4" width="48.140625" style="324" customWidth="1"/>
    <col min="5" max="5" width="8.85546875" style="327"/>
  </cols>
  <sheetData>
    <row r="1" spans="1:5" x14ac:dyDescent="0.25">
      <c r="B1" s="325"/>
      <c r="C1" s="325"/>
      <c r="D1" s="326" t="s">
        <v>306</v>
      </c>
    </row>
    <row r="2" spans="1:5" x14ac:dyDescent="0.25">
      <c r="A2" s="326"/>
      <c r="B2" s="326"/>
      <c r="C2" s="326"/>
      <c r="D2" s="326"/>
    </row>
    <row r="3" spans="1:5" ht="24.75" customHeight="1" x14ac:dyDescent="0.25">
      <c r="A3" s="347" t="s">
        <v>307</v>
      </c>
      <c r="B3" s="347"/>
      <c r="C3" s="347"/>
      <c r="D3" s="347"/>
    </row>
    <row r="4" spans="1:5" ht="24.75" customHeight="1" x14ac:dyDescent="0.25">
      <c r="A4" s="328"/>
      <c r="B4" s="328"/>
      <c r="C4" s="328"/>
      <c r="D4" s="328"/>
    </row>
    <row r="5" spans="1:5" ht="39" customHeight="1" x14ac:dyDescent="0.25">
      <c r="A5" s="350" t="s">
        <v>308</v>
      </c>
      <c r="B5" s="350"/>
      <c r="C5" s="350"/>
      <c r="D5" s="329" t="str">
        <f>'Прил.5 Расчет СМР и ОБ'!D6:J6</f>
        <v>Постоянная часть ПС, откатные (раздвижные, автоматические, противопожарные) ворота ПС 330 кВ</v>
      </c>
    </row>
    <row r="6" spans="1:5" ht="19.899999999999999" customHeight="1" x14ac:dyDescent="0.25">
      <c r="A6" s="350" t="s">
        <v>50</v>
      </c>
      <c r="B6" s="350"/>
      <c r="C6" s="350"/>
      <c r="D6" s="329"/>
    </row>
    <row r="7" spans="1:5" x14ac:dyDescent="0.25">
      <c r="A7" s="330"/>
      <c r="B7" s="330"/>
      <c r="C7" s="330"/>
      <c r="D7" s="330"/>
    </row>
    <row r="8" spans="1:5" ht="14.45" customHeight="1" x14ac:dyDescent="0.25">
      <c r="A8" s="361" t="s">
        <v>5</v>
      </c>
      <c r="B8" s="361" t="s">
        <v>6</v>
      </c>
      <c r="C8" s="361" t="s">
        <v>309</v>
      </c>
      <c r="D8" s="361" t="s">
        <v>310</v>
      </c>
    </row>
    <row r="9" spans="1:5" ht="15" customHeight="1" x14ac:dyDescent="0.25">
      <c r="A9" s="361"/>
      <c r="B9" s="361"/>
      <c r="C9" s="361"/>
      <c r="D9" s="361"/>
    </row>
    <row r="10" spans="1:5" x14ac:dyDescent="0.25">
      <c r="A10" s="331">
        <v>1</v>
      </c>
      <c r="B10" s="331">
        <v>2</v>
      </c>
      <c r="C10" s="331">
        <v>3</v>
      </c>
      <c r="D10" s="331">
        <v>4</v>
      </c>
    </row>
    <row r="11" spans="1:5" ht="47.25" customHeight="1" x14ac:dyDescent="0.25">
      <c r="A11" s="331" t="s">
        <v>311</v>
      </c>
      <c r="B11" s="340" t="s">
        <v>312</v>
      </c>
      <c r="C11" s="341" t="str">
        <f>D5</f>
        <v>Постоянная часть ПС, откатные (раздвижные, автоматические, противопожарные) ворота ПС 330 кВ</v>
      </c>
      <c r="D11" s="332">
        <f>'Прил.4 РМ'!C41/1000</f>
        <v>290.61785000000003</v>
      </c>
      <c r="E11" s="333"/>
    </row>
    <row r="12" spans="1:5" x14ac:dyDescent="0.25">
      <c r="A12" s="334"/>
      <c r="B12" s="335"/>
      <c r="C12" s="334"/>
      <c r="D12" s="334"/>
    </row>
    <row r="13" spans="1:5" x14ac:dyDescent="0.25">
      <c r="A13" s="330" t="s">
        <v>313</v>
      </c>
      <c r="B13" s="336"/>
      <c r="C13" s="336"/>
      <c r="D13" s="334"/>
    </row>
    <row r="14" spans="1:5" x14ac:dyDescent="0.25">
      <c r="A14" s="337" t="s">
        <v>76</v>
      </c>
      <c r="B14" s="336"/>
      <c r="C14" s="336"/>
      <c r="D14" s="334"/>
    </row>
    <row r="15" spans="1:5" x14ac:dyDescent="0.25">
      <c r="A15" s="330"/>
      <c r="B15" s="336"/>
      <c r="C15" s="336"/>
      <c r="D15" s="334"/>
    </row>
    <row r="16" spans="1:5" x14ac:dyDescent="0.25">
      <c r="A16" s="330" t="s">
        <v>94</v>
      </c>
      <c r="B16" s="336"/>
      <c r="C16" s="336"/>
      <c r="D16" s="334"/>
    </row>
    <row r="17" spans="1:4" x14ac:dyDescent="0.25">
      <c r="A17" s="337" t="s">
        <v>78</v>
      </c>
      <c r="B17" s="336"/>
      <c r="C17" s="336"/>
      <c r="D17" s="334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zoomScale="60" zoomScaleNormal="85" workbookViewId="0">
      <selection activeCell="K30" sqref="K30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37" style="5" customWidth="1"/>
    <col min="4" max="4" width="32" style="5" customWidth="1"/>
    <col min="5" max="5" width="9.140625" style="5"/>
  </cols>
  <sheetData>
    <row r="4" spans="2:5" ht="15.75" customHeight="1" x14ac:dyDescent="0.25">
      <c r="B4" s="355" t="s">
        <v>314</v>
      </c>
      <c r="C4" s="355"/>
      <c r="D4" s="355"/>
    </row>
    <row r="5" spans="2:5" ht="18.75" customHeight="1" x14ac:dyDescent="0.25">
      <c r="B5" s="183"/>
    </row>
    <row r="6" spans="2:5" ht="15.75" customHeight="1" x14ac:dyDescent="0.25">
      <c r="B6" s="360" t="s">
        <v>315</v>
      </c>
      <c r="C6" s="360"/>
      <c r="D6" s="360"/>
    </row>
    <row r="7" spans="2:5" x14ac:dyDescent="0.25">
      <c r="B7" s="401"/>
      <c r="C7" s="401"/>
      <c r="D7" s="401"/>
      <c r="E7" s="401"/>
    </row>
    <row r="8" spans="2:5" x14ac:dyDescent="0.25">
      <c r="B8" s="214"/>
      <c r="C8" s="214"/>
      <c r="D8" s="214"/>
      <c r="E8" s="214"/>
    </row>
    <row r="9" spans="2:5" ht="47.25" customHeight="1" x14ac:dyDescent="0.25">
      <c r="B9" s="185" t="s">
        <v>316</v>
      </c>
      <c r="C9" s="185" t="s">
        <v>317</v>
      </c>
      <c r="D9" s="185" t="s">
        <v>318</v>
      </c>
    </row>
    <row r="10" spans="2:5" ht="15.75" customHeight="1" x14ac:dyDescent="0.25">
      <c r="B10" s="185">
        <v>1</v>
      </c>
      <c r="C10" s="185">
        <v>2</v>
      </c>
      <c r="D10" s="185">
        <v>3</v>
      </c>
    </row>
    <row r="11" spans="2:5" ht="45" customHeight="1" x14ac:dyDescent="0.25">
      <c r="B11" s="185" t="s">
        <v>319</v>
      </c>
      <c r="C11" s="185" t="s">
        <v>320</v>
      </c>
      <c r="D11" s="185">
        <v>44.29</v>
      </c>
    </row>
    <row r="12" spans="2:5" ht="29.25" customHeight="1" x14ac:dyDescent="0.25">
      <c r="B12" s="185" t="s">
        <v>321</v>
      </c>
      <c r="C12" s="185" t="s">
        <v>320</v>
      </c>
      <c r="D12" s="185">
        <v>13.47</v>
      </c>
    </row>
    <row r="13" spans="2:5" ht="29.25" customHeight="1" x14ac:dyDescent="0.25">
      <c r="B13" s="185" t="s">
        <v>322</v>
      </c>
      <c r="C13" s="185" t="s">
        <v>320</v>
      </c>
      <c r="D13" s="185">
        <v>8.0399999999999991</v>
      </c>
    </row>
    <row r="14" spans="2:5" ht="30.75" customHeight="1" x14ac:dyDescent="0.25">
      <c r="B14" s="185" t="s">
        <v>323</v>
      </c>
      <c r="C14" s="165" t="s">
        <v>324</v>
      </c>
      <c r="D14" s="185">
        <v>6.26</v>
      </c>
    </row>
    <row r="15" spans="2:5" ht="89.45" customHeight="1" x14ac:dyDescent="0.25">
      <c r="B15" s="185" t="s">
        <v>325</v>
      </c>
      <c r="C15" s="185" t="s">
        <v>326</v>
      </c>
      <c r="D15" s="186">
        <v>3.9E-2</v>
      </c>
    </row>
    <row r="16" spans="2:5" ht="78.75" customHeight="1" x14ac:dyDescent="0.25">
      <c r="B16" s="185" t="s">
        <v>327</v>
      </c>
      <c r="C16" s="185" t="s">
        <v>328</v>
      </c>
      <c r="D16" s="186">
        <v>2.1000000000000001E-2</v>
      </c>
    </row>
    <row r="17" spans="2:4" ht="31.7" customHeight="1" x14ac:dyDescent="0.25">
      <c r="B17" s="185" t="s">
        <v>329</v>
      </c>
      <c r="C17" s="185" t="s">
        <v>330</v>
      </c>
      <c r="D17" s="186">
        <v>2.1399999999999999E-2</v>
      </c>
    </row>
    <row r="18" spans="2:4" ht="31.7" customHeight="1" x14ac:dyDescent="0.25">
      <c r="B18" s="185" t="s">
        <v>256</v>
      </c>
      <c r="C18" s="185" t="s">
        <v>331</v>
      </c>
      <c r="D18" s="186">
        <v>2E-3</v>
      </c>
    </row>
    <row r="19" spans="2:4" ht="24" customHeight="1" x14ac:dyDescent="0.25">
      <c r="B19" s="185" t="s">
        <v>258</v>
      </c>
      <c r="C19" s="185" t="s">
        <v>332</v>
      </c>
      <c r="D19" s="186">
        <v>0.03</v>
      </c>
    </row>
    <row r="20" spans="2:4" ht="18.75" customHeight="1" x14ac:dyDescent="0.25">
      <c r="B20" s="184"/>
    </row>
    <row r="21" spans="2:4" ht="18.75" customHeight="1" x14ac:dyDescent="0.25">
      <c r="B21" s="184"/>
    </row>
    <row r="22" spans="2:4" ht="18.75" customHeight="1" x14ac:dyDescent="0.25">
      <c r="B22" s="184"/>
    </row>
    <row r="23" spans="2:4" ht="18.75" customHeight="1" x14ac:dyDescent="0.25">
      <c r="B23" s="184"/>
    </row>
    <row r="26" spans="2:4" x14ac:dyDescent="0.25">
      <c r="B26" s="4" t="s">
        <v>75</v>
      </c>
      <c r="C26" s="14"/>
    </row>
    <row r="27" spans="2:4" x14ac:dyDescent="0.25">
      <c r="B27" s="29" t="s">
        <v>76</v>
      </c>
      <c r="C27" s="14"/>
    </row>
    <row r="28" spans="2:4" x14ac:dyDescent="0.25">
      <c r="B28" s="4"/>
      <c r="C28" s="14"/>
    </row>
    <row r="29" spans="2:4" x14ac:dyDescent="0.25">
      <c r="B29" s="4" t="s">
        <v>77</v>
      </c>
      <c r="C29" s="14"/>
    </row>
    <row r="30" spans="2:4" x14ac:dyDescent="0.25">
      <c r="B30" s="29" t="s">
        <v>78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9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K22" sqref="K22"/>
    </sheetView>
  </sheetViews>
  <sheetFormatPr defaultColWidth="9.140625" defaultRowHeight="15" x14ac:dyDescent="0.25"/>
  <cols>
    <col min="1" max="1" width="9.140625" style="166"/>
    <col min="2" max="2" width="44.85546875" style="166" customWidth="1"/>
    <col min="3" max="3" width="13" style="166" customWidth="1"/>
    <col min="4" max="4" width="22.85546875" style="166" customWidth="1"/>
    <col min="5" max="5" width="21.5703125" style="166" customWidth="1"/>
    <col min="6" max="6" width="43.85546875" style="166" customWidth="1"/>
    <col min="7" max="7" width="9.140625" style="166"/>
  </cols>
  <sheetData>
    <row r="2" spans="1:7" ht="17.45" customHeight="1" x14ac:dyDescent="0.25">
      <c r="A2" s="360" t="s">
        <v>333</v>
      </c>
      <c r="B2" s="360"/>
      <c r="C2" s="360"/>
      <c r="D2" s="360"/>
      <c r="E2" s="360"/>
      <c r="F2" s="360"/>
    </row>
    <row r="4" spans="1:7" ht="18" customHeight="1" x14ac:dyDescent="0.25">
      <c r="A4" s="167" t="s">
        <v>334</v>
      </c>
      <c r="B4" s="168"/>
      <c r="C4" s="168"/>
      <c r="D4" s="168"/>
      <c r="E4" s="168"/>
      <c r="F4" s="168"/>
      <c r="G4" s="168"/>
    </row>
    <row r="5" spans="1:7" ht="15.75" customHeight="1" x14ac:dyDescent="0.25">
      <c r="A5" s="169" t="s">
        <v>13</v>
      </c>
      <c r="B5" s="169" t="s">
        <v>335</v>
      </c>
      <c r="C5" s="169" t="s">
        <v>336</v>
      </c>
      <c r="D5" s="169" t="s">
        <v>337</v>
      </c>
      <c r="E5" s="169" t="s">
        <v>338</v>
      </c>
      <c r="F5" s="169" t="s">
        <v>339</v>
      </c>
      <c r="G5" s="168"/>
    </row>
    <row r="6" spans="1:7" ht="15.75" customHeight="1" x14ac:dyDescent="0.25">
      <c r="A6" s="169">
        <v>1</v>
      </c>
      <c r="B6" s="169">
        <v>2</v>
      </c>
      <c r="C6" s="169">
        <v>3</v>
      </c>
      <c r="D6" s="169">
        <v>4</v>
      </c>
      <c r="E6" s="169">
        <v>5</v>
      </c>
      <c r="F6" s="169">
        <v>6</v>
      </c>
      <c r="G6" s="168"/>
    </row>
    <row r="7" spans="1:7" ht="110.25" customHeight="1" x14ac:dyDescent="0.25">
      <c r="A7" s="170" t="s">
        <v>340</v>
      </c>
      <c r="B7" s="171" t="s">
        <v>341</v>
      </c>
      <c r="C7" s="172" t="s">
        <v>342</v>
      </c>
      <c r="D7" s="172" t="s">
        <v>343</v>
      </c>
      <c r="E7" s="173">
        <v>47872.94</v>
      </c>
      <c r="F7" s="171" t="s">
        <v>344</v>
      </c>
      <c r="G7" s="168"/>
    </row>
    <row r="8" spans="1:7" ht="31.7" customHeight="1" x14ac:dyDescent="0.25">
      <c r="A8" s="170" t="s">
        <v>345</v>
      </c>
      <c r="B8" s="171" t="s">
        <v>346</v>
      </c>
      <c r="C8" s="172" t="s">
        <v>347</v>
      </c>
      <c r="D8" s="172" t="s">
        <v>348</v>
      </c>
      <c r="E8" s="173">
        <f>1973/12</f>
        <v>164.41666666667001</v>
      </c>
      <c r="F8" s="174" t="s">
        <v>349</v>
      </c>
      <c r="G8" s="175"/>
    </row>
    <row r="9" spans="1:7" ht="15.75" customHeight="1" x14ac:dyDescent="0.25">
      <c r="A9" s="170" t="s">
        <v>350</v>
      </c>
      <c r="B9" s="171" t="s">
        <v>351</v>
      </c>
      <c r="C9" s="172" t="s">
        <v>352</v>
      </c>
      <c r="D9" s="172" t="s">
        <v>343</v>
      </c>
      <c r="E9" s="173">
        <v>1</v>
      </c>
      <c r="F9" s="174"/>
      <c r="G9" s="176"/>
    </row>
    <row r="10" spans="1:7" ht="15.75" customHeight="1" x14ac:dyDescent="0.25">
      <c r="A10" s="170" t="s">
        <v>353</v>
      </c>
      <c r="B10" s="171" t="s">
        <v>354</v>
      </c>
      <c r="C10" s="172"/>
      <c r="D10" s="172"/>
      <c r="E10" s="177">
        <v>4</v>
      </c>
      <c r="F10" s="174" t="s">
        <v>355</v>
      </c>
      <c r="G10" s="176"/>
    </row>
    <row r="11" spans="1:7" ht="78.75" customHeight="1" x14ac:dyDescent="0.25">
      <c r="A11" s="170" t="s">
        <v>356</v>
      </c>
      <c r="B11" s="171" t="s">
        <v>357</v>
      </c>
      <c r="C11" s="172" t="s">
        <v>358</v>
      </c>
      <c r="D11" s="172" t="s">
        <v>343</v>
      </c>
      <c r="E11" s="255">
        <v>1.34</v>
      </c>
      <c r="F11" s="171" t="s">
        <v>359</v>
      </c>
      <c r="G11" s="168"/>
    </row>
    <row r="12" spans="1:7" ht="78.75" customHeight="1" x14ac:dyDescent="0.25">
      <c r="A12" s="170" t="s">
        <v>360</v>
      </c>
      <c r="B12" s="178" t="s">
        <v>361</v>
      </c>
      <c r="C12" s="172" t="s">
        <v>362</v>
      </c>
      <c r="D12" s="172" t="s">
        <v>343</v>
      </c>
      <c r="E12" s="179">
        <v>1.139</v>
      </c>
      <c r="F12" s="180" t="s">
        <v>363</v>
      </c>
      <c r="G12" s="176" t="s">
        <v>364</v>
      </c>
    </row>
    <row r="13" spans="1:7" ht="63" customHeight="1" x14ac:dyDescent="0.25">
      <c r="A13" s="170" t="s">
        <v>365</v>
      </c>
      <c r="B13" s="181" t="s">
        <v>366</v>
      </c>
      <c r="C13" s="172" t="s">
        <v>367</v>
      </c>
      <c r="D13" s="172" t="s">
        <v>368</v>
      </c>
      <c r="E13" s="182">
        <f>((E7*E9/E8)*E11)*E12</f>
        <v>444.39870291576</v>
      </c>
      <c r="F13" s="171" t="s">
        <v>369</v>
      </c>
      <c r="G13" s="168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7" orientation="portrait" cellComments="atEnd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402" t="s">
        <v>370</v>
      </c>
      <c r="B1" s="402"/>
      <c r="C1" s="402"/>
      <c r="D1" s="402"/>
      <c r="E1" s="402"/>
      <c r="F1" s="402"/>
      <c r="G1" s="402"/>
      <c r="H1" s="402"/>
      <c r="I1" s="402"/>
    </row>
    <row r="2" spans="1:13" s="30" customFormat="1" ht="13.7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50" t="e">
        <f>#REF!</f>
        <v>#REF!</v>
      </c>
      <c r="B3" s="350"/>
      <c r="C3" s="350"/>
      <c r="D3" s="350"/>
      <c r="E3" s="350"/>
      <c r="F3" s="350"/>
      <c r="G3" s="350"/>
      <c r="H3" s="350"/>
      <c r="I3" s="350"/>
    </row>
    <row r="4" spans="1:13" s="4" customFormat="1" ht="15.75" customHeight="1" x14ac:dyDescent="0.2">
      <c r="A4" s="403"/>
      <c r="B4" s="403"/>
      <c r="C4" s="403"/>
      <c r="D4" s="403"/>
      <c r="E4" s="403"/>
      <c r="F4" s="403"/>
      <c r="G4" s="403"/>
      <c r="H4" s="403"/>
      <c r="I4" s="403"/>
    </row>
    <row r="5" spans="1:13" s="32" customFormat="1" ht="36.75" customHeight="1" x14ac:dyDescent="0.35">
      <c r="A5" s="404" t="s">
        <v>13</v>
      </c>
      <c r="B5" s="404" t="s">
        <v>371</v>
      </c>
      <c r="C5" s="404" t="s">
        <v>372</v>
      </c>
      <c r="D5" s="404" t="s">
        <v>373</v>
      </c>
      <c r="E5" s="400" t="s">
        <v>374</v>
      </c>
      <c r="F5" s="400"/>
      <c r="G5" s="400"/>
      <c r="H5" s="400"/>
      <c r="I5" s="400"/>
    </row>
    <row r="6" spans="1:13" s="26" customFormat="1" ht="31.7" customHeight="1" x14ac:dyDescent="0.2">
      <c r="A6" s="404"/>
      <c r="B6" s="404"/>
      <c r="C6" s="404"/>
      <c r="D6" s="404"/>
      <c r="E6" s="33" t="s">
        <v>86</v>
      </c>
      <c r="F6" s="33" t="s">
        <v>87</v>
      </c>
      <c r="G6" s="33" t="s">
        <v>43</v>
      </c>
      <c r="H6" s="33" t="s">
        <v>375</v>
      </c>
      <c r="I6" s="33" t="s">
        <v>376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4">
        <v>1</v>
      </c>
      <c r="B8" s="35"/>
      <c r="C8" s="9" t="s">
        <v>246</v>
      </c>
      <c r="D8" s="36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7"/>
      <c r="L8" s="37"/>
      <c r="M8" s="37"/>
    </row>
    <row r="9" spans="1:13" s="26" customFormat="1" ht="38.25" customHeight="1" x14ac:dyDescent="0.2">
      <c r="A9" s="34">
        <v>2</v>
      </c>
      <c r="B9" s="9" t="s">
        <v>377</v>
      </c>
      <c r="C9" s="9" t="s">
        <v>378</v>
      </c>
      <c r="D9" s="163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4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4">
        <v>3</v>
      </c>
      <c r="B11" s="9" t="s">
        <v>379</v>
      </c>
      <c r="C11" s="9" t="s">
        <v>327</v>
      </c>
      <c r="D11" s="163">
        <v>2.1000000000000001E-2</v>
      </c>
      <c r="E11" s="28">
        <f>(E8+E9)*D11</f>
        <v>8.6950678710000007E-2</v>
      </c>
      <c r="F11" s="28"/>
      <c r="G11" s="28"/>
      <c r="H11" s="28" t="s">
        <v>380</v>
      </c>
      <c r="I11" s="28">
        <f>E11</f>
        <v>8.6950678710000007E-2</v>
      </c>
    </row>
    <row r="12" spans="1:13" s="26" customFormat="1" ht="45" customHeight="1" x14ac:dyDescent="0.2">
      <c r="A12" s="34">
        <v>4</v>
      </c>
      <c r="B12" s="9" t="s">
        <v>381</v>
      </c>
      <c r="C12" s="9" t="s">
        <v>382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8" t="s">
        <v>383</v>
      </c>
    </row>
    <row r="13" spans="1:13" s="26" customFormat="1" ht="13.15" customHeight="1" x14ac:dyDescent="0.2">
      <c r="A13" s="34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4">
        <v>5</v>
      </c>
      <c r="B14" s="9" t="s">
        <v>330</v>
      </c>
      <c r="C14" s="9" t="s">
        <v>384</v>
      </c>
      <c r="D14" s="16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9">
        <f>(I8+I9+I11+I12)/1000</f>
        <v>0.10750662387871</v>
      </c>
    </row>
    <row r="15" spans="1:13" s="26" customFormat="1" ht="13.15" customHeight="1" x14ac:dyDescent="0.2">
      <c r="A15" s="34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4">
        <v>6</v>
      </c>
      <c r="B16" s="9" t="s">
        <v>385</v>
      </c>
      <c r="C16" s="9" t="s">
        <v>386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8" t="s">
        <v>387</v>
      </c>
    </row>
    <row r="17" spans="1:10" s="26" customFormat="1" ht="81.75" customHeight="1" x14ac:dyDescent="0.2">
      <c r="A17" s="34">
        <v>7</v>
      </c>
      <c r="B17" s="9" t="s">
        <v>385</v>
      </c>
      <c r="C17" s="147" t="s">
        <v>388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8"/>
    </row>
    <row r="18" spans="1:10" s="26" customFormat="1" ht="13.15" customHeight="1" x14ac:dyDescent="0.2">
      <c r="A18" s="34"/>
      <c r="B18" s="9"/>
      <c r="C18" s="9"/>
      <c r="D18" s="18"/>
      <c r="E18" s="28"/>
      <c r="F18" s="28"/>
      <c r="G18" s="28"/>
      <c r="H18" s="28"/>
      <c r="I18" s="28"/>
    </row>
    <row r="19" spans="1:10" s="41" customFormat="1" ht="13.15" customHeight="1" x14ac:dyDescent="0.2">
      <c r="A19" s="34">
        <v>8</v>
      </c>
      <c r="B19" s="9"/>
      <c r="C19" s="9" t="s">
        <v>389</v>
      </c>
      <c r="D19" s="40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4">
        <v>9</v>
      </c>
      <c r="B20" s="137" t="s">
        <v>390</v>
      </c>
      <c r="C20" s="9" t="s">
        <v>258</v>
      </c>
      <c r="D20" s="42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391</v>
      </c>
      <c r="D21" s="43"/>
      <c r="E21" s="28"/>
      <c r="F21" s="28"/>
      <c r="G21" s="28"/>
      <c r="H21" s="28"/>
      <c r="I21" s="28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392</v>
      </c>
      <c r="B23" s="48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393</v>
      </c>
      <c r="B24" s="48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8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394</v>
      </c>
      <c r="B26" s="48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395</v>
      </c>
      <c r="B27" s="48"/>
      <c r="C27" s="4"/>
      <c r="D27" s="26"/>
      <c r="E27" s="26"/>
      <c r="F27" s="26"/>
      <c r="G27" s="26"/>
      <c r="H27" s="26"/>
      <c r="I27" s="26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406" t="s">
        <v>396</v>
      </c>
      <c r="O2" s="406"/>
    </row>
    <row r="3" spans="1:16" x14ac:dyDescent="0.25">
      <c r="A3" s="407" t="s">
        <v>397</v>
      </c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</row>
    <row r="5" spans="1:16" s="50" customFormat="1" ht="37.5" customHeight="1" x14ac:dyDescent="0.25">
      <c r="A5" s="408" t="s">
        <v>398</v>
      </c>
      <c r="B5" s="411" t="s">
        <v>399</v>
      </c>
      <c r="C5" s="414" t="s">
        <v>400</v>
      </c>
      <c r="D5" s="417" t="s">
        <v>401</v>
      </c>
      <c r="E5" s="418"/>
      <c r="F5" s="418"/>
      <c r="G5" s="418"/>
      <c r="H5" s="418"/>
      <c r="I5" s="417" t="s">
        <v>402</v>
      </c>
      <c r="J5" s="418"/>
      <c r="K5" s="418"/>
      <c r="L5" s="418"/>
      <c r="M5" s="418"/>
      <c r="N5" s="418"/>
      <c r="O5" s="53" t="s">
        <v>403</v>
      </c>
    </row>
    <row r="6" spans="1:16" s="56" customFormat="1" ht="150" customHeight="1" x14ac:dyDescent="0.25">
      <c r="A6" s="409"/>
      <c r="B6" s="412"/>
      <c r="C6" s="415"/>
      <c r="D6" s="414" t="s">
        <v>404</v>
      </c>
      <c r="E6" s="419" t="s">
        <v>405</v>
      </c>
      <c r="F6" s="420"/>
      <c r="G6" s="421"/>
      <c r="H6" s="54" t="s">
        <v>406</v>
      </c>
      <c r="I6" s="422" t="s">
        <v>407</v>
      </c>
      <c r="J6" s="422" t="s">
        <v>404</v>
      </c>
      <c r="K6" s="423" t="s">
        <v>405</v>
      </c>
      <c r="L6" s="423"/>
      <c r="M6" s="423"/>
      <c r="N6" s="54" t="s">
        <v>406</v>
      </c>
      <c r="O6" s="55" t="s">
        <v>408</v>
      </c>
    </row>
    <row r="7" spans="1:16" s="56" customFormat="1" ht="30.75" customHeight="1" x14ac:dyDescent="0.25">
      <c r="A7" s="410"/>
      <c r="B7" s="413"/>
      <c r="C7" s="416"/>
      <c r="D7" s="416"/>
      <c r="E7" s="53" t="s">
        <v>86</v>
      </c>
      <c r="F7" s="53" t="s">
        <v>87</v>
      </c>
      <c r="G7" s="53" t="s">
        <v>43</v>
      </c>
      <c r="H7" s="57" t="s">
        <v>409</v>
      </c>
      <c r="I7" s="422"/>
      <c r="J7" s="422"/>
      <c r="K7" s="53" t="s">
        <v>86</v>
      </c>
      <c r="L7" s="53" t="s">
        <v>87</v>
      </c>
      <c r="M7" s="53" t="s">
        <v>43</v>
      </c>
      <c r="N7" s="57" t="s">
        <v>409</v>
      </c>
      <c r="O7" s="53" t="s">
        <v>410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408" t="s">
        <v>411</v>
      </c>
      <c r="C9" s="59" t="s">
        <v>412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410"/>
      <c r="C10" s="63" t="s">
        <v>413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408" t="s">
        <v>414</v>
      </c>
      <c r="C11" s="63" t="s">
        <v>415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410"/>
      <c r="C12" s="63" t="s">
        <v>416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408" t="s">
        <v>417</v>
      </c>
      <c r="C13" s="59" t="s">
        <v>418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410"/>
      <c r="C14" s="63" t="s">
        <v>419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420</v>
      </c>
      <c r="C15" s="63" t="s">
        <v>421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422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.2" customHeight="1" x14ac:dyDescent="0.25">
      <c r="C18" s="74" t="s">
        <v>423</v>
      </c>
    </row>
    <row r="19" spans="1:15" ht="30.75" customHeight="1" x14ac:dyDescent="0.25">
      <c r="L19" s="75"/>
    </row>
    <row r="20" spans="1:15" ht="15" customHeight="1" outlineLevel="1" x14ac:dyDescent="0.25">
      <c r="G20" s="405" t="s">
        <v>424</v>
      </c>
      <c r="H20" s="405"/>
      <c r="I20" s="405"/>
      <c r="J20" s="405"/>
      <c r="K20" s="405"/>
      <c r="L20" s="405"/>
      <c r="M20" s="405"/>
      <c r="N20" s="405"/>
      <c r="O20" s="52"/>
    </row>
    <row r="21" spans="1:15" ht="15.75" customHeight="1" outlineLevel="1" x14ac:dyDescent="0.25">
      <c r="G21" s="76"/>
      <c r="H21" s="76" t="s">
        <v>425</v>
      </c>
      <c r="I21" s="76" t="s">
        <v>426</v>
      </c>
      <c r="J21" s="77" t="s">
        <v>427</v>
      </c>
      <c r="K21" s="78" t="s">
        <v>428</v>
      </c>
      <c r="L21" s="76" t="s">
        <v>429</v>
      </c>
      <c r="M21" s="76" t="s">
        <v>430</v>
      </c>
      <c r="N21" s="77" t="s">
        <v>431</v>
      </c>
      <c r="O21" s="79"/>
    </row>
    <row r="22" spans="1:15" ht="15.75" customHeight="1" outlineLevel="1" x14ac:dyDescent="0.25">
      <c r="G22" s="425" t="s">
        <v>432</v>
      </c>
      <c r="H22" s="424">
        <v>6.09</v>
      </c>
      <c r="I22" s="426">
        <v>6.44</v>
      </c>
      <c r="J22" s="424">
        <v>5.77</v>
      </c>
      <c r="K22" s="426">
        <v>5.77</v>
      </c>
      <c r="L22" s="424">
        <v>5.23</v>
      </c>
      <c r="M22" s="424">
        <v>5.77</v>
      </c>
      <c r="N22" s="80">
        <v>6.29</v>
      </c>
      <c r="O22" s="51" t="s">
        <v>433</v>
      </c>
    </row>
    <row r="23" spans="1:15" ht="15.75" customHeight="1" outlineLevel="1" x14ac:dyDescent="0.25">
      <c r="G23" s="425"/>
      <c r="H23" s="424"/>
      <c r="I23" s="426"/>
      <c r="J23" s="424"/>
      <c r="K23" s="426"/>
      <c r="L23" s="424"/>
      <c r="M23" s="424"/>
      <c r="N23" s="80">
        <v>6.56</v>
      </c>
      <c r="O23" s="51" t="s">
        <v>434</v>
      </c>
    </row>
    <row r="24" spans="1:15" ht="15.75" customHeight="1" outlineLevel="1" x14ac:dyDescent="0.25">
      <c r="G24" s="81" t="s">
        <v>435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409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7" customHeight="1" outlineLevel="1" x14ac:dyDescent="0.25">
      <c r="G26" s="81" t="s">
        <v>436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7" customHeight="1" outlineLevel="1" x14ac:dyDescent="0.25">
      <c r="G27" s="81" t="s">
        <v>437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375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42" t="s">
        <v>438</v>
      </c>
      <c r="B2" s="442"/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442"/>
    </row>
    <row r="4" spans="1:18" ht="36.75" customHeight="1" x14ac:dyDescent="0.25">
      <c r="A4" s="408" t="s">
        <v>398</v>
      </c>
      <c r="B4" s="411" t="s">
        <v>399</v>
      </c>
      <c r="C4" s="414" t="s">
        <v>439</v>
      </c>
      <c r="D4" s="414" t="s">
        <v>440</v>
      </c>
      <c r="E4" s="417" t="s">
        <v>441</v>
      </c>
      <c r="F4" s="418"/>
      <c r="G4" s="418"/>
      <c r="H4" s="418"/>
      <c r="I4" s="418"/>
      <c r="J4" s="418"/>
      <c r="K4" s="418"/>
      <c r="L4" s="418"/>
      <c r="M4" s="418"/>
      <c r="N4" s="443" t="s">
        <v>442</v>
      </c>
      <c r="O4" s="444"/>
      <c r="P4" s="444"/>
      <c r="Q4" s="444"/>
      <c r="R4" s="445"/>
    </row>
    <row r="5" spans="1:18" ht="60" customHeight="1" x14ac:dyDescent="0.25">
      <c r="A5" s="409"/>
      <c r="B5" s="412"/>
      <c r="C5" s="415"/>
      <c r="D5" s="415"/>
      <c r="E5" s="422" t="s">
        <v>443</v>
      </c>
      <c r="F5" s="422" t="s">
        <v>444</v>
      </c>
      <c r="G5" s="419" t="s">
        <v>405</v>
      </c>
      <c r="H5" s="420"/>
      <c r="I5" s="420"/>
      <c r="J5" s="421"/>
      <c r="K5" s="422" t="s">
        <v>445</v>
      </c>
      <c r="L5" s="422"/>
      <c r="M5" s="422"/>
      <c r="N5" s="89" t="s">
        <v>446</v>
      </c>
      <c r="O5" s="89" t="s">
        <v>447</v>
      </c>
      <c r="P5" s="90" t="s">
        <v>448</v>
      </c>
      <c r="Q5" s="91" t="s">
        <v>449</v>
      </c>
      <c r="R5" s="90" t="s">
        <v>450</v>
      </c>
    </row>
    <row r="6" spans="1:18" ht="49.7" customHeight="1" x14ac:dyDescent="0.25">
      <c r="A6" s="410"/>
      <c r="B6" s="413"/>
      <c r="C6" s="416"/>
      <c r="D6" s="416"/>
      <c r="E6" s="422"/>
      <c r="F6" s="422"/>
      <c r="G6" s="53" t="s">
        <v>86</v>
      </c>
      <c r="H6" s="53" t="s">
        <v>87</v>
      </c>
      <c r="I6" s="92" t="s">
        <v>43</v>
      </c>
      <c r="J6" s="92" t="s">
        <v>375</v>
      </c>
      <c r="K6" s="53" t="s">
        <v>446</v>
      </c>
      <c r="L6" s="53" t="s">
        <v>447</v>
      </c>
      <c r="M6" s="53" t="s">
        <v>448</v>
      </c>
      <c r="N6" s="92" t="s">
        <v>451</v>
      </c>
      <c r="O6" s="92" t="s">
        <v>452</v>
      </c>
      <c r="P6" s="92" t="s">
        <v>453</v>
      </c>
      <c r="Q6" s="93" t="s">
        <v>454</v>
      </c>
      <c r="R6" s="94" t="s">
        <v>455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408">
        <v>1</v>
      </c>
      <c r="B9" s="408" t="s">
        <v>456</v>
      </c>
      <c r="C9" s="435" t="s">
        <v>412</v>
      </c>
      <c r="D9" s="99" t="s">
        <v>457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75" hidden="1" customHeight="1" x14ac:dyDescent="0.25">
      <c r="A10" s="410"/>
      <c r="B10" s="409"/>
      <c r="C10" s="436"/>
      <c r="D10" s="99" t="s">
        <v>458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408">
        <v>2</v>
      </c>
      <c r="B11" s="409"/>
      <c r="C11" s="435" t="s">
        <v>459</v>
      </c>
      <c r="D11" s="104" t="s">
        <v>457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410"/>
      <c r="B12" s="410"/>
      <c r="C12" s="436"/>
      <c r="D12" s="104" t="s">
        <v>458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408">
        <v>3</v>
      </c>
      <c r="B13" s="408" t="s">
        <v>414</v>
      </c>
      <c r="C13" s="438" t="s">
        <v>415</v>
      </c>
      <c r="D13" s="99" t="s">
        <v>460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.2" hidden="1" customHeight="1" x14ac:dyDescent="0.25">
      <c r="A14" s="410"/>
      <c r="B14" s="409"/>
      <c r="C14" s="439"/>
      <c r="D14" s="99" t="s">
        <v>458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408">
        <v>4</v>
      </c>
      <c r="B15" s="409"/>
      <c r="C15" s="440" t="s">
        <v>416</v>
      </c>
      <c r="D15" s="105" t="s">
        <v>460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410"/>
      <c r="B16" s="410"/>
      <c r="C16" s="441"/>
      <c r="D16" s="105" t="s">
        <v>458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408">
        <v>5</v>
      </c>
      <c r="B17" s="423" t="s">
        <v>417</v>
      </c>
      <c r="C17" s="435" t="s">
        <v>461</v>
      </c>
      <c r="D17" s="99" t="s">
        <v>462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410"/>
      <c r="B18" s="423"/>
      <c r="C18" s="436"/>
      <c r="D18" s="99" t="s">
        <v>458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408">
        <v>6</v>
      </c>
      <c r="B19" s="423"/>
      <c r="C19" s="435" t="s">
        <v>419</v>
      </c>
      <c r="D19" s="105" t="s">
        <v>460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410"/>
      <c r="B20" s="423"/>
      <c r="C20" s="436"/>
      <c r="D20" s="105" t="s">
        <v>458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408">
        <v>7</v>
      </c>
      <c r="B21" s="408" t="s">
        <v>420</v>
      </c>
      <c r="C21" s="435" t="s">
        <v>421</v>
      </c>
      <c r="D21" s="105" t="s">
        <v>463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410"/>
      <c r="B22" s="410"/>
      <c r="C22" s="436"/>
      <c r="D22" s="106" t="s">
        <v>458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464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37" t="s">
        <v>465</v>
      </c>
      <c r="E26" s="437"/>
      <c r="F26" s="437"/>
      <c r="G26" s="437"/>
      <c r="H26" s="437"/>
      <c r="I26" s="437"/>
      <c r="J26" s="437"/>
      <c r="K26" s="437"/>
      <c r="L26" s="121"/>
      <c r="R26" s="122"/>
    </row>
    <row r="27" spans="1:18" outlineLevel="1" x14ac:dyDescent="0.25">
      <c r="D27" s="123"/>
      <c r="E27" s="123" t="s">
        <v>425</v>
      </c>
      <c r="F27" s="123" t="s">
        <v>426</v>
      </c>
      <c r="G27" s="123" t="s">
        <v>427</v>
      </c>
      <c r="H27" s="124" t="s">
        <v>428</v>
      </c>
      <c r="I27" s="124" t="s">
        <v>429</v>
      </c>
      <c r="J27" s="124" t="s">
        <v>430</v>
      </c>
      <c r="K27" s="111" t="s">
        <v>431</v>
      </c>
      <c r="L27" s="52"/>
    </row>
    <row r="28" spans="1:18" outlineLevel="1" x14ac:dyDescent="0.25">
      <c r="D28" s="431" t="s">
        <v>432</v>
      </c>
      <c r="E28" s="429">
        <v>6.09</v>
      </c>
      <c r="F28" s="433">
        <v>6.63</v>
      </c>
      <c r="G28" s="429">
        <v>5.77</v>
      </c>
      <c r="H28" s="427">
        <v>5.77</v>
      </c>
      <c r="I28" s="427">
        <v>6.35</v>
      </c>
      <c r="J28" s="429">
        <v>5.77</v>
      </c>
      <c r="K28" s="125">
        <v>6.29</v>
      </c>
      <c r="L28" s="87" t="s">
        <v>433</v>
      </c>
      <c r="M28" s="52"/>
    </row>
    <row r="29" spans="1:18" outlineLevel="1" x14ac:dyDescent="0.25">
      <c r="D29" s="432"/>
      <c r="E29" s="430"/>
      <c r="F29" s="434"/>
      <c r="G29" s="430"/>
      <c r="H29" s="428"/>
      <c r="I29" s="428"/>
      <c r="J29" s="430"/>
      <c r="K29" s="125">
        <v>6.56</v>
      </c>
      <c r="L29" s="87" t="s">
        <v>434</v>
      </c>
      <c r="M29" s="52"/>
    </row>
    <row r="30" spans="1:18" outlineLevel="1" x14ac:dyDescent="0.25">
      <c r="D30" s="126" t="s">
        <v>435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31" t="s">
        <v>409</v>
      </c>
      <c r="E31" s="429">
        <v>11.37</v>
      </c>
      <c r="F31" s="433">
        <v>13.56</v>
      </c>
      <c r="G31" s="429">
        <v>15.91</v>
      </c>
      <c r="H31" s="427">
        <v>15.91</v>
      </c>
      <c r="I31" s="427">
        <v>14.03</v>
      </c>
      <c r="J31" s="429">
        <v>15.91</v>
      </c>
      <c r="K31" s="125">
        <v>8.2899999999999991</v>
      </c>
      <c r="L31" s="87" t="s">
        <v>433</v>
      </c>
      <c r="R31" s="116"/>
    </row>
    <row r="32" spans="1:18" s="87" customFormat="1" outlineLevel="1" x14ac:dyDescent="0.25">
      <c r="D32" s="432"/>
      <c r="E32" s="430"/>
      <c r="F32" s="434"/>
      <c r="G32" s="430"/>
      <c r="H32" s="428"/>
      <c r="I32" s="428"/>
      <c r="J32" s="430"/>
      <c r="K32" s="125">
        <v>11.84</v>
      </c>
      <c r="L32" s="87" t="s">
        <v>434</v>
      </c>
      <c r="R32" s="116"/>
    </row>
    <row r="33" spans="4:18" s="87" customFormat="1" ht="15" customHeight="1" outlineLevel="1" x14ac:dyDescent="0.25">
      <c r="D33" s="129" t="s">
        <v>436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466</v>
      </c>
      <c r="R33" s="116"/>
    </row>
    <row r="34" spans="4:18" s="87" customFormat="1" outlineLevel="1" x14ac:dyDescent="0.25">
      <c r="D34" s="129" t="s">
        <v>437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466</v>
      </c>
      <c r="R34" s="116"/>
    </row>
    <row r="35" spans="4:18" s="87" customFormat="1" outlineLevel="1" x14ac:dyDescent="0.25">
      <c r="D35" s="126" t="s">
        <v>375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47" t="s">
        <v>10</v>
      </c>
      <c r="B2" s="347"/>
      <c r="C2" s="347"/>
      <c r="D2" s="347"/>
    </row>
    <row r="3" spans="1:4" x14ac:dyDescent="0.25">
      <c r="A3" s="1"/>
      <c r="B3" s="1"/>
      <c r="C3" s="1"/>
    </row>
    <row r="4" spans="1:4" ht="63.75" customHeight="1" x14ac:dyDescent="0.25">
      <c r="A4" s="6" t="s">
        <v>11</v>
      </c>
      <c r="B4" s="1" t="str">
        <f>'4.1 Отдел 1'!A10</f>
        <v>И5-05-02</v>
      </c>
      <c r="C4" s="35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50"/>
    </row>
    <row r="5" spans="1:4" x14ac:dyDescent="0.25">
      <c r="A5" s="6"/>
      <c r="B5" s="1"/>
      <c r="C5" s="1"/>
    </row>
    <row r="6" spans="1:4" x14ac:dyDescent="0.25">
      <c r="A6" s="347" t="s">
        <v>12</v>
      </c>
      <c r="B6" s="347"/>
      <c r="C6" s="347"/>
      <c r="D6" s="347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.200000000000003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51" t="s">
        <v>5</v>
      </c>
      <c r="B15" s="352" t="s">
        <v>15</v>
      </c>
      <c r="C15" s="352"/>
      <c r="D15" s="352"/>
    </row>
    <row r="16" spans="1:4" x14ac:dyDescent="0.25">
      <c r="A16" s="351"/>
      <c r="B16" s="351" t="s">
        <v>17</v>
      </c>
      <c r="C16" s="352" t="s">
        <v>28</v>
      </c>
      <c r="D16" s="352"/>
    </row>
    <row r="17" spans="1:4" ht="39.200000000000003" customHeight="1" x14ac:dyDescent="0.25">
      <c r="A17" s="351"/>
      <c r="B17" s="351"/>
      <c r="C17" s="10" t="s">
        <v>21</v>
      </c>
      <c r="D17" s="11" t="s">
        <v>23</v>
      </c>
    </row>
    <row r="18" spans="1:4" x14ac:dyDescent="0.25">
      <c r="A18" s="14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53" t="s">
        <v>29</v>
      </c>
      <c r="B2" s="353"/>
      <c r="C2" s="353"/>
      <c r="D2" s="353"/>
    </row>
    <row r="3" spans="1:10" x14ac:dyDescent="0.25">
      <c r="H3" s="152" t="s">
        <v>30</v>
      </c>
      <c r="I3" s="152" t="s">
        <v>31</v>
      </c>
      <c r="J3" s="15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.2" customHeight="1" x14ac:dyDescent="0.25">
      <c r="A5" s="2">
        <v>1</v>
      </c>
      <c r="B5" s="9" t="s">
        <v>37</v>
      </c>
      <c r="C5" s="15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5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49">
        <v>3</v>
      </c>
      <c r="B7" s="159" t="s">
        <v>41</v>
      </c>
      <c r="C7" s="16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50">
        <v>4</v>
      </c>
      <c r="B8" s="161" t="s">
        <v>43</v>
      </c>
      <c r="C8" s="16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5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K31"/>
  <sheetViews>
    <sheetView view="pageBreakPreview" topLeftCell="A19" zoomScaleNormal="70" zoomScaleSheetLayoutView="100" workbookViewId="0">
      <selection activeCell="C30" sqref="C30"/>
    </sheetView>
  </sheetViews>
  <sheetFormatPr defaultColWidth="9.140625" defaultRowHeight="15" x14ac:dyDescent="0.25"/>
  <cols>
    <col min="1" max="2" width="9.140625" style="310"/>
    <col min="3" max="3" width="36.85546875" style="310" customWidth="1"/>
    <col min="4" max="4" width="39.42578125" style="310" customWidth="1"/>
    <col min="5" max="5" width="9.140625" style="310"/>
  </cols>
  <sheetData>
    <row r="3" spans="2:11" ht="15.75" customHeight="1" x14ac:dyDescent="0.25">
      <c r="B3" s="355" t="s">
        <v>45</v>
      </c>
      <c r="C3" s="355"/>
      <c r="D3" s="355"/>
    </row>
    <row r="4" spans="2:11" ht="18.75" customHeight="1" x14ac:dyDescent="0.25">
      <c r="B4" s="356" t="s">
        <v>46</v>
      </c>
      <c r="C4" s="356"/>
      <c r="D4" s="356"/>
    </row>
    <row r="5" spans="2:11" ht="91.5" customHeight="1" x14ac:dyDescent="0.25">
      <c r="B5" s="357" t="s">
        <v>47</v>
      </c>
      <c r="C5" s="357"/>
      <c r="D5" s="357"/>
    </row>
    <row r="6" spans="2:11" ht="18.75" customHeight="1" x14ac:dyDescent="0.25">
      <c r="B6" s="311"/>
      <c r="C6" s="311"/>
      <c r="D6" s="311"/>
    </row>
    <row r="7" spans="2:11" ht="36" customHeight="1" x14ac:dyDescent="0.25">
      <c r="B7" s="354" t="s">
        <v>48</v>
      </c>
      <c r="C7" s="354"/>
      <c r="D7" s="354"/>
    </row>
    <row r="8" spans="2:11" ht="15.75" customHeight="1" x14ac:dyDescent="0.25">
      <c r="B8" s="354" t="s">
        <v>49</v>
      </c>
      <c r="C8" s="354"/>
      <c r="D8" s="354"/>
    </row>
    <row r="9" spans="2:11" ht="15.75" customHeight="1" x14ac:dyDescent="0.25">
      <c r="B9" s="354" t="s">
        <v>50</v>
      </c>
      <c r="C9" s="354"/>
      <c r="D9" s="354"/>
    </row>
    <row r="10" spans="2:11" ht="18.75" customHeight="1" x14ac:dyDescent="0.25">
      <c r="B10" s="312"/>
    </row>
    <row r="11" spans="2:11" ht="15.75" customHeight="1" x14ac:dyDescent="0.25">
      <c r="B11" s="313" t="s">
        <v>33</v>
      </c>
      <c r="C11" s="313" t="s">
        <v>51</v>
      </c>
      <c r="D11" s="313" t="s">
        <v>52</v>
      </c>
    </row>
    <row r="12" spans="2:11" ht="31.5" customHeight="1" x14ac:dyDescent="0.25">
      <c r="B12" s="313">
        <v>1</v>
      </c>
      <c r="C12" s="314" t="s">
        <v>53</v>
      </c>
      <c r="D12" s="338" t="s">
        <v>54</v>
      </c>
      <c r="E12" s="315"/>
      <c r="F12" s="315"/>
      <c r="G12" s="315"/>
      <c r="H12" s="315"/>
      <c r="I12" s="315"/>
      <c r="J12" s="315"/>
      <c r="K12" s="315"/>
    </row>
    <row r="13" spans="2:11" ht="31.5" customHeight="1" x14ac:dyDescent="0.25">
      <c r="B13" s="313">
        <v>2</v>
      </c>
      <c r="C13" s="314" t="s">
        <v>55</v>
      </c>
      <c r="D13" s="338" t="s">
        <v>56</v>
      </c>
    </row>
    <row r="14" spans="2:11" ht="15.75" customHeight="1" x14ac:dyDescent="0.25">
      <c r="B14" s="313">
        <v>3</v>
      </c>
      <c r="C14" s="314" t="s">
        <v>57</v>
      </c>
      <c r="D14" s="338" t="s">
        <v>58</v>
      </c>
    </row>
    <row r="15" spans="2:11" ht="15.75" customHeight="1" x14ac:dyDescent="0.25">
      <c r="B15" s="313">
        <v>4</v>
      </c>
      <c r="C15" s="314" t="s">
        <v>59</v>
      </c>
      <c r="D15" s="338">
        <v>1</v>
      </c>
    </row>
    <row r="16" spans="2:11" ht="94.5" customHeight="1" x14ac:dyDescent="0.25">
      <c r="B16" s="313">
        <v>5</v>
      </c>
      <c r="C16" s="316" t="s">
        <v>60</v>
      </c>
      <c r="D16" s="346" t="s">
        <v>61</v>
      </c>
    </row>
    <row r="17" spans="2:4" ht="78.75" customHeight="1" x14ac:dyDescent="0.25">
      <c r="B17" s="313">
        <v>6</v>
      </c>
      <c r="C17" s="316" t="s">
        <v>62</v>
      </c>
      <c r="D17" s="317">
        <f>SUM(D18:D19)</f>
        <v>126.6234772</v>
      </c>
    </row>
    <row r="18" spans="2:4" ht="15.75" customHeight="1" x14ac:dyDescent="0.25">
      <c r="B18" s="318" t="s">
        <v>63</v>
      </c>
      <c r="C18" s="314" t="s">
        <v>64</v>
      </c>
      <c r="D18" s="317">
        <f>'Прил.2 Расч стоим'!F12</f>
        <v>102.9228988</v>
      </c>
    </row>
    <row r="19" spans="2:4" ht="15.75" customHeight="1" x14ac:dyDescent="0.25">
      <c r="B19" s="318" t="s">
        <v>65</v>
      </c>
      <c r="C19" s="314" t="s">
        <v>66</v>
      </c>
      <c r="D19" s="317">
        <f>'Прил.2 Расч стоим'!H12</f>
        <v>23.700578400000001</v>
      </c>
    </row>
    <row r="20" spans="2:4" ht="15.75" customHeight="1" x14ac:dyDescent="0.25">
      <c r="B20" s="318" t="s">
        <v>67</v>
      </c>
      <c r="C20" s="314" t="s">
        <v>68</v>
      </c>
      <c r="D20" s="317"/>
    </row>
    <row r="21" spans="2:4" ht="31.5" customHeight="1" x14ac:dyDescent="0.25">
      <c r="B21" s="318" t="s">
        <v>69</v>
      </c>
      <c r="C21" s="314" t="s">
        <v>70</v>
      </c>
      <c r="D21" s="317"/>
    </row>
    <row r="22" spans="2:4" ht="15.75" customHeight="1" x14ac:dyDescent="0.25">
      <c r="B22" s="313">
        <v>7</v>
      </c>
      <c r="C22" s="314" t="s">
        <v>71</v>
      </c>
      <c r="D22" s="317" t="s">
        <v>72</v>
      </c>
    </row>
    <row r="23" spans="2:4" ht="110.25" customHeight="1" x14ac:dyDescent="0.25">
      <c r="B23" s="313">
        <v>8</v>
      </c>
      <c r="C23" s="316" t="s">
        <v>73</v>
      </c>
      <c r="D23" s="317">
        <f>D17</f>
        <v>126.6234772</v>
      </c>
    </row>
    <row r="24" spans="2:4" ht="47.25" customHeight="1" x14ac:dyDescent="0.25">
      <c r="B24" s="313">
        <v>9</v>
      </c>
      <c r="C24" s="316" t="s">
        <v>74</v>
      </c>
      <c r="D24" s="317">
        <f>D17/D15</f>
        <v>126.6234772</v>
      </c>
    </row>
    <row r="25" spans="2:4" ht="15.75" customHeight="1" x14ac:dyDescent="0.25">
      <c r="B25" s="319"/>
      <c r="C25" s="320"/>
      <c r="D25" s="320"/>
    </row>
    <row r="26" spans="2:4" x14ac:dyDescent="0.25">
      <c r="B26" s="321" t="s">
        <v>75</v>
      </c>
      <c r="C26" s="322"/>
    </row>
    <row r="27" spans="2:4" x14ac:dyDescent="0.25">
      <c r="B27" s="323" t="s">
        <v>76</v>
      </c>
      <c r="C27" s="322"/>
    </row>
    <row r="28" spans="2:4" x14ac:dyDescent="0.25">
      <c r="B28" s="321"/>
      <c r="C28" s="322"/>
    </row>
    <row r="29" spans="2:4" x14ac:dyDescent="0.25">
      <c r="B29" s="321" t="s">
        <v>77</v>
      </c>
      <c r="C29" s="322"/>
    </row>
    <row r="30" spans="2:4" x14ac:dyDescent="0.25">
      <c r="B30" s="323" t="s">
        <v>78</v>
      </c>
      <c r="C30" s="322"/>
    </row>
    <row r="31" spans="2:4" ht="15.75" customHeight="1" x14ac:dyDescent="0.25">
      <c r="B31" s="320"/>
      <c r="C31" s="320"/>
      <c r="D31" s="320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8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F22" sqref="F22"/>
    </sheetView>
  </sheetViews>
  <sheetFormatPr defaultColWidth="9.140625" defaultRowHeight="15.75" x14ac:dyDescent="0.25"/>
  <cols>
    <col min="1" max="1" width="5.5703125" style="234" customWidth="1"/>
    <col min="2" max="2" width="9.140625" style="234"/>
    <col min="3" max="3" width="38.140625" style="234" customWidth="1"/>
    <col min="4" max="4" width="13.85546875" style="234" customWidth="1"/>
    <col min="5" max="5" width="24.85546875" style="234" customWidth="1"/>
    <col min="6" max="6" width="15.5703125" style="234" customWidth="1"/>
    <col min="7" max="7" width="14.85546875" style="234" customWidth="1"/>
    <col min="8" max="8" width="16.7109375" style="234" customWidth="1"/>
    <col min="9" max="10" width="13" style="234" customWidth="1"/>
    <col min="11" max="11" width="18" style="234" customWidth="1"/>
    <col min="12" max="12" width="9.140625" style="234"/>
  </cols>
  <sheetData>
    <row r="3" spans="2:11" x14ac:dyDescent="0.25">
      <c r="B3" s="355" t="s">
        <v>79</v>
      </c>
      <c r="C3" s="355"/>
      <c r="D3" s="355"/>
      <c r="E3" s="355"/>
      <c r="F3" s="355"/>
      <c r="G3" s="355"/>
      <c r="H3" s="355"/>
      <c r="I3" s="355"/>
      <c r="J3" s="355"/>
      <c r="K3" s="235"/>
    </row>
    <row r="4" spans="2:11" x14ac:dyDescent="0.25">
      <c r="B4" s="360" t="s">
        <v>80</v>
      </c>
      <c r="C4" s="360"/>
      <c r="D4" s="360"/>
      <c r="E4" s="360"/>
      <c r="F4" s="360"/>
      <c r="G4" s="360"/>
      <c r="H4" s="360"/>
      <c r="I4" s="360"/>
      <c r="J4" s="360"/>
      <c r="K4" s="360"/>
    </row>
    <row r="5" spans="2:11" x14ac:dyDescent="0.25">
      <c r="B5" s="237"/>
      <c r="C5" s="237"/>
      <c r="D5" s="237"/>
      <c r="E5" s="237"/>
      <c r="F5" s="237"/>
      <c r="G5" s="237"/>
      <c r="H5" s="237"/>
      <c r="I5" s="237"/>
      <c r="J5" s="237"/>
      <c r="K5" s="237"/>
    </row>
    <row r="6" spans="2:11" ht="29.25" customHeight="1" x14ac:dyDescent="0.25">
      <c r="B6" s="354" t="s">
        <v>48</v>
      </c>
      <c r="C6" s="354"/>
      <c r="D6" s="354"/>
      <c r="E6" s="354"/>
      <c r="F6" s="354"/>
      <c r="G6" s="354"/>
      <c r="H6" s="354"/>
      <c r="I6" s="354"/>
      <c r="J6" s="354"/>
      <c r="K6" s="354"/>
    </row>
    <row r="7" spans="2:11" x14ac:dyDescent="0.25">
      <c r="B7" s="354" t="s">
        <v>50</v>
      </c>
      <c r="C7" s="354"/>
      <c r="D7" s="354"/>
      <c r="E7" s="354"/>
      <c r="F7" s="354"/>
      <c r="G7" s="354"/>
      <c r="H7" s="354"/>
      <c r="I7" s="354"/>
      <c r="J7" s="354"/>
      <c r="K7" s="354"/>
    </row>
    <row r="8" spans="2:11" ht="18.75" customHeight="1" x14ac:dyDescent="0.25">
      <c r="B8" s="258"/>
    </row>
    <row r="9" spans="2:11" ht="15.75" customHeight="1" x14ac:dyDescent="0.25">
      <c r="B9" s="361" t="s">
        <v>33</v>
      </c>
      <c r="C9" s="361" t="s">
        <v>81</v>
      </c>
      <c r="D9" s="361" t="s">
        <v>82</v>
      </c>
      <c r="E9" s="361"/>
      <c r="F9" s="361"/>
      <c r="G9" s="361"/>
      <c r="H9" s="361"/>
      <c r="I9" s="361"/>
      <c r="J9" s="361"/>
    </row>
    <row r="10" spans="2:11" ht="15.75" customHeight="1" x14ac:dyDescent="0.25">
      <c r="B10" s="361"/>
      <c r="C10" s="361"/>
      <c r="D10" s="361" t="s">
        <v>83</v>
      </c>
      <c r="E10" s="361" t="s">
        <v>84</v>
      </c>
      <c r="F10" s="361" t="s">
        <v>85</v>
      </c>
      <c r="G10" s="361"/>
      <c r="H10" s="361"/>
      <c r="I10" s="361"/>
      <c r="J10" s="361"/>
    </row>
    <row r="11" spans="2:11" ht="31.7" customHeight="1" x14ac:dyDescent="0.25">
      <c r="B11" s="362"/>
      <c r="C11" s="362"/>
      <c r="D11" s="362"/>
      <c r="E11" s="362"/>
      <c r="F11" s="243" t="s">
        <v>86</v>
      </c>
      <c r="G11" s="243" t="s">
        <v>87</v>
      </c>
      <c r="H11" s="243" t="s">
        <v>43</v>
      </c>
      <c r="I11" s="243" t="s">
        <v>88</v>
      </c>
      <c r="J11" s="243" t="s">
        <v>89</v>
      </c>
    </row>
    <row r="12" spans="2:11" ht="47.25" customHeight="1" x14ac:dyDescent="0.25">
      <c r="B12" s="344">
        <v>1</v>
      </c>
      <c r="C12" s="345" t="s">
        <v>90</v>
      </c>
      <c r="D12" s="343"/>
      <c r="E12" s="343"/>
      <c r="F12" s="363">
        <v>102.9228988</v>
      </c>
      <c r="G12" s="364"/>
      <c r="H12" s="343">
        <v>23.700578400000001</v>
      </c>
      <c r="I12" s="343"/>
      <c r="J12" s="343">
        <f>SUM(F12:H12)</f>
        <v>126.6234772</v>
      </c>
    </row>
    <row r="13" spans="2:11" ht="15.75" customHeight="1" x14ac:dyDescent="0.25">
      <c r="B13" s="358" t="s">
        <v>91</v>
      </c>
      <c r="C13" s="358"/>
      <c r="D13" s="358"/>
      <c r="E13" s="358"/>
      <c r="F13" s="365">
        <f>F12</f>
        <v>102.9228988</v>
      </c>
      <c r="G13" s="366"/>
      <c r="H13" s="342">
        <f>H12</f>
        <v>23.700578400000001</v>
      </c>
      <c r="I13" s="342"/>
      <c r="J13" s="342">
        <f>J12</f>
        <v>126.6234772</v>
      </c>
    </row>
    <row r="14" spans="2:11" x14ac:dyDescent="0.25">
      <c r="B14" s="359" t="s">
        <v>92</v>
      </c>
      <c r="C14" s="359"/>
      <c r="D14" s="359"/>
      <c r="E14" s="359"/>
      <c r="F14" s="365">
        <f>F12</f>
        <v>102.9228988</v>
      </c>
      <c r="G14" s="366"/>
      <c r="H14" s="257">
        <f>H12</f>
        <v>23.700578400000001</v>
      </c>
      <c r="I14" s="257"/>
      <c r="J14" s="257">
        <f>J12</f>
        <v>126.6234772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93</v>
      </c>
      <c r="D18" s="14"/>
      <c r="E18" s="14"/>
    </row>
    <row r="19" spans="3:5" ht="15" customHeight="1" x14ac:dyDescent="0.25">
      <c r="C19" s="29" t="s">
        <v>76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94</v>
      </c>
      <c r="D21" s="14"/>
      <c r="E21" s="14"/>
    </row>
    <row r="22" spans="3:5" ht="15" customHeight="1" x14ac:dyDescent="0.25">
      <c r="C22" s="29" t="s">
        <v>78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F13:G13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O72"/>
  <sheetViews>
    <sheetView view="pageBreakPreview" topLeftCell="A44" zoomScale="70" zoomScaleSheetLayoutView="70" workbookViewId="0">
      <selection activeCell="E71" sqref="E71"/>
    </sheetView>
  </sheetViews>
  <sheetFormatPr defaultColWidth="9.140625" defaultRowHeight="15.75" x14ac:dyDescent="0.25"/>
  <cols>
    <col min="1" max="1" width="9.140625" style="234"/>
    <col min="2" max="2" width="12.5703125" style="234" customWidth="1"/>
    <col min="3" max="3" width="22.42578125" style="234" customWidth="1"/>
    <col min="4" max="4" width="49.7109375" style="234" customWidth="1"/>
    <col min="5" max="5" width="10.140625" style="281" customWidth="1"/>
    <col min="6" max="6" width="20.7109375" style="281" customWidth="1"/>
    <col min="7" max="7" width="20" style="234" customWidth="1"/>
    <col min="8" max="8" width="16.7109375" style="235" customWidth="1"/>
    <col min="11" max="11" width="15" customWidth="1"/>
    <col min="15" max="15" width="9.140625" style="234"/>
  </cols>
  <sheetData>
    <row r="2" spans="1:15" s="327" customFormat="1" x14ac:dyDescent="0.25">
      <c r="A2" s="234"/>
      <c r="B2" s="234"/>
      <c r="C2" s="234"/>
      <c r="D2" s="234"/>
      <c r="E2" s="281"/>
      <c r="F2" s="281"/>
      <c r="G2" s="234"/>
      <c r="H2" s="319"/>
      <c r="O2" s="234"/>
    </row>
    <row r="3" spans="1:15" x14ac:dyDescent="0.25">
      <c r="A3" s="355" t="s">
        <v>95</v>
      </c>
      <c r="B3" s="355"/>
      <c r="C3" s="355"/>
      <c r="D3" s="355"/>
      <c r="E3" s="355"/>
      <c r="F3" s="355"/>
      <c r="G3" s="355"/>
      <c r="H3" s="355"/>
    </row>
    <row r="4" spans="1:15" x14ac:dyDescent="0.25">
      <c r="A4" s="360" t="s">
        <v>96</v>
      </c>
      <c r="B4" s="360"/>
      <c r="C4" s="360"/>
      <c r="D4" s="360"/>
      <c r="E4" s="360"/>
      <c r="F4" s="360"/>
      <c r="G4" s="360"/>
      <c r="H4" s="360"/>
    </row>
    <row r="5" spans="1:15" ht="18.75" customHeight="1" x14ac:dyDescent="0.25">
      <c r="A5" s="266"/>
      <c r="B5" s="266"/>
      <c r="C5" s="368" t="s">
        <v>97</v>
      </c>
      <c r="D5" s="368"/>
      <c r="E5" s="368"/>
      <c r="F5" s="368"/>
      <c r="G5" s="368"/>
      <c r="H5" s="368"/>
    </row>
    <row r="6" spans="1:15" x14ac:dyDescent="0.25">
      <c r="A6" s="233"/>
    </row>
    <row r="7" spans="1:15" x14ac:dyDescent="0.25">
      <c r="A7" s="367" t="s">
        <v>98</v>
      </c>
      <c r="B7" s="367"/>
      <c r="C7" s="367"/>
      <c r="D7" s="367"/>
      <c r="E7" s="367"/>
      <c r="F7" s="367"/>
      <c r="G7" s="367"/>
      <c r="H7" s="367"/>
    </row>
    <row r="8" spans="1:15" x14ac:dyDescent="0.25">
      <c r="A8" s="238"/>
      <c r="B8" s="238"/>
      <c r="C8" s="238"/>
      <c r="D8" s="238"/>
      <c r="F8" s="237"/>
      <c r="G8" s="238"/>
    </row>
    <row r="9" spans="1:15" ht="38.25" customHeight="1" x14ac:dyDescent="0.25">
      <c r="A9" s="361" t="s">
        <v>99</v>
      </c>
      <c r="B9" s="361" t="s">
        <v>100</v>
      </c>
      <c r="C9" s="361" t="s">
        <v>101</v>
      </c>
      <c r="D9" s="361" t="s">
        <v>102</v>
      </c>
      <c r="E9" s="373" t="s">
        <v>103</v>
      </c>
      <c r="F9" s="361" t="s">
        <v>104</v>
      </c>
      <c r="G9" s="361" t="s">
        <v>105</v>
      </c>
      <c r="H9" s="361"/>
    </row>
    <row r="10" spans="1:15" ht="40.700000000000003" customHeight="1" x14ac:dyDescent="0.25">
      <c r="A10" s="361"/>
      <c r="B10" s="361"/>
      <c r="C10" s="361"/>
      <c r="D10" s="361"/>
      <c r="E10" s="373"/>
      <c r="F10" s="361"/>
      <c r="G10" s="185" t="s">
        <v>106</v>
      </c>
      <c r="H10" s="236" t="s">
        <v>107</v>
      </c>
    </row>
    <row r="11" spans="1:15" x14ac:dyDescent="0.25">
      <c r="A11" s="243">
        <v>1</v>
      </c>
      <c r="B11" s="243"/>
      <c r="C11" s="243">
        <v>2</v>
      </c>
      <c r="D11" s="243" t="s">
        <v>108</v>
      </c>
      <c r="E11" s="288">
        <v>4</v>
      </c>
      <c r="F11" s="243">
        <v>5</v>
      </c>
      <c r="G11" s="243">
        <v>6</v>
      </c>
      <c r="H11" s="283">
        <v>7</v>
      </c>
    </row>
    <row r="12" spans="1:15" s="240" customFormat="1" x14ac:dyDescent="0.25">
      <c r="A12" s="370" t="s">
        <v>109</v>
      </c>
      <c r="B12" s="371"/>
      <c r="C12" s="372"/>
      <c r="D12" s="372"/>
      <c r="E12" s="371"/>
      <c r="F12" s="282">
        <f>SUM(F13:F16)</f>
        <v>92.828999999999994</v>
      </c>
      <c r="G12" s="264"/>
      <c r="H12" s="262">
        <f>SUM(H13:H16)</f>
        <v>895.98</v>
      </c>
    </row>
    <row r="13" spans="1:15" x14ac:dyDescent="0.25">
      <c r="A13" s="265">
        <v>1</v>
      </c>
      <c r="B13" s="242"/>
      <c r="C13" s="273" t="s">
        <v>110</v>
      </c>
      <c r="D13" s="274" t="s">
        <v>111</v>
      </c>
      <c r="E13" s="289" t="s">
        <v>112</v>
      </c>
      <c r="F13" s="273">
        <v>30.536000000000001</v>
      </c>
      <c r="G13" s="278">
        <v>9.4</v>
      </c>
      <c r="H13" s="284">
        <f>ROUND(F13*G13,2)</f>
        <v>287.04000000000002</v>
      </c>
    </row>
    <row r="14" spans="1:15" x14ac:dyDescent="0.25">
      <c r="A14" s="265">
        <v>2</v>
      </c>
      <c r="B14" s="242"/>
      <c r="C14" s="273" t="s">
        <v>113</v>
      </c>
      <c r="D14" s="274" t="s">
        <v>114</v>
      </c>
      <c r="E14" s="289" t="s">
        <v>112</v>
      </c>
      <c r="F14" s="273">
        <v>23.22</v>
      </c>
      <c r="G14" s="278">
        <v>9.92</v>
      </c>
      <c r="H14" s="284">
        <f>ROUND(F14*G14,2)</f>
        <v>230.34</v>
      </c>
    </row>
    <row r="15" spans="1:15" x14ac:dyDescent="0.25">
      <c r="A15" s="265">
        <v>3</v>
      </c>
      <c r="B15" s="242"/>
      <c r="C15" s="273" t="s">
        <v>115</v>
      </c>
      <c r="D15" s="274" t="s">
        <v>116</v>
      </c>
      <c r="E15" s="289" t="s">
        <v>112</v>
      </c>
      <c r="F15" s="273">
        <v>19.402000000000001</v>
      </c>
      <c r="G15" s="278">
        <v>9.76</v>
      </c>
      <c r="H15" s="284">
        <f>ROUND(F15*G15,2)</f>
        <v>189.36</v>
      </c>
    </row>
    <row r="16" spans="1:15" x14ac:dyDescent="0.25">
      <c r="A16" s="265">
        <v>4</v>
      </c>
      <c r="B16" s="242"/>
      <c r="C16" s="273" t="s">
        <v>117</v>
      </c>
      <c r="D16" s="274" t="s">
        <v>118</v>
      </c>
      <c r="E16" s="289" t="s">
        <v>112</v>
      </c>
      <c r="F16" s="273">
        <v>19.670999999999999</v>
      </c>
      <c r="G16" s="278">
        <v>9.6199999999999992</v>
      </c>
      <c r="H16" s="284">
        <f>ROUND(F16*G16,2)</f>
        <v>189.24</v>
      </c>
    </row>
    <row r="17" spans="1:8" x14ac:dyDescent="0.25">
      <c r="A17" s="369" t="s">
        <v>119</v>
      </c>
      <c r="B17" s="369"/>
      <c r="C17" s="369"/>
      <c r="D17" s="369"/>
      <c r="E17" s="369"/>
      <c r="F17" s="292"/>
      <c r="G17" s="241"/>
      <c r="H17" s="262">
        <f>H18</f>
        <v>87.9</v>
      </c>
    </row>
    <row r="18" spans="1:8" x14ac:dyDescent="0.25">
      <c r="A18" s="265">
        <v>5</v>
      </c>
      <c r="B18" s="239"/>
      <c r="C18" s="279">
        <v>2</v>
      </c>
      <c r="D18" s="280" t="s">
        <v>120</v>
      </c>
      <c r="E18" s="289" t="s">
        <v>112</v>
      </c>
      <c r="F18" s="277">
        <v>6.3554000000000004</v>
      </c>
      <c r="G18" s="259"/>
      <c r="H18" s="285">
        <v>87.9</v>
      </c>
    </row>
    <row r="19" spans="1:8" s="240" customFormat="1" x14ac:dyDescent="0.25">
      <c r="A19" s="370" t="s">
        <v>121</v>
      </c>
      <c r="B19" s="371"/>
      <c r="C19" s="372"/>
      <c r="D19" s="372"/>
      <c r="E19" s="371"/>
      <c r="F19" s="292"/>
      <c r="G19" s="241"/>
      <c r="H19" s="262">
        <f>SUM(H20:H28)</f>
        <v>1274.52</v>
      </c>
    </row>
    <row r="20" spans="1:8" ht="25.5" customHeight="1" x14ac:dyDescent="0.25">
      <c r="A20" s="265">
        <v>6</v>
      </c>
      <c r="B20" s="239"/>
      <c r="C20" s="273" t="s">
        <v>122</v>
      </c>
      <c r="D20" s="274" t="s">
        <v>123</v>
      </c>
      <c r="E20" s="290" t="s">
        <v>124</v>
      </c>
      <c r="F20" s="273">
        <v>2.48</v>
      </c>
      <c r="G20" s="276">
        <v>197.01</v>
      </c>
      <c r="H20" s="284">
        <f t="shared" ref="H20:H28" si="0">ROUND(F20*G20,2)</f>
        <v>488.58</v>
      </c>
    </row>
    <row r="21" spans="1:8" s="240" customFormat="1" ht="25.5" x14ac:dyDescent="0.25">
      <c r="A21" s="265">
        <v>7</v>
      </c>
      <c r="B21" s="239"/>
      <c r="C21" s="273" t="s">
        <v>125</v>
      </c>
      <c r="D21" s="274" t="s">
        <v>126</v>
      </c>
      <c r="E21" s="290" t="s">
        <v>124</v>
      </c>
      <c r="F21" s="273">
        <v>3.8090999999999999</v>
      </c>
      <c r="G21" s="276">
        <v>111.99</v>
      </c>
      <c r="H21" s="284">
        <f t="shared" si="0"/>
        <v>426.58</v>
      </c>
    </row>
    <row r="22" spans="1:8" x14ac:dyDescent="0.25">
      <c r="A22" s="265">
        <v>8</v>
      </c>
      <c r="B22" s="239"/>
      <c r="C22" s="273" t="s">
        <v>127</v>
      </c>
      <c r="D22" s="274" t="s">
        <v>128</v>
      </c>
      <c r="E22" s="290" t="s">
        <v>124</v>
      </c>
      <c r="F22" s="273">
        <v>2.8767999999999998</v>
      </c>
      <c r="G22" s="276">
        <v>65.709999999999994</v>
      </c>
      <c r="H22" s="284">
        <f t="shared" si="0"/>
        <v>189.03</v>
      </c>
    </row>
    <row r="23" spans="1:8" ht="25.5" customHeight="1" x14ac:dyDescent="0.25">
      <c r="A23" s="265">
        <v>9</v>
      </c>
      <c r="B23" s="239"/>
      <c r="C23" s="273" t="s">
        <v>129</v>
      </c>
      <c r="D23" s="274" t="s">
        <v>130</v>
      </c>
      <c r="E23" s="290" t="s">
        <v>124</v>
      </c>
      <c r="F23" s="273">
        <v>17.000800000000002</v>
      </c>
      <c r="G23" s="276">
        <v>8.1</v>
      </c>
      <c r="H23" s="284">
        <f t="shared" si="0"/>
        <v>137.71</v>
      </c>
    </row>
    <row r="24" spans="1:8" ht="25.5" customHeight="1" x14ac:dyDescent="0.25">
      <c r="A24" s="265">
        <v>10</v>
      </c>
      <c r="B24" s="239"/>
      <c r="C24" s="273" t="s">
        <v>131</v>
      </c>
      <c r="D24" s="274" t="s">
        <v>132</v>
      </c>
      <c r="E24" s="290" t="s">
        <v>124</v>
      </c>
      <c r="F24" s="273">
        <v>4.6440000000000001</v>
      </c>
      <c r="G24" s="276">
        <v>3.28</v>
      </c>
      <c r="H24" s="284">
        <f t="shared" si="0"/>
        <v>15.23</v>
      </c>
    </row>
    <row r="25" spans="1:8" x14ac:dyDescent="0.25">
      <c r="A25" s="265">
        <v>11</v>
      </c>
      <c r="B25" s="239"/>
      <c r="C25" s="273" t="s">
        <v>133</v>
      </c>
      <c r="D25" s="274" t="s">
        <v>134</v>
      </c>
      <c r="E25" s="290" t="s">
        <v>124</v>
      </c>
      <c r="F25" s="273">
        <v>3.9049999999999998</v>
      </c>
      <c r="G25" s="276">
        <v>2.08</v>
      </c>
      <c r="H25" s="284">
        <f t="shared" si="0"/>
        <v>8.1199999999999992</v>
      </c>
    </row>
    <row r="26" spans="1:8" ht="25.5" customHeight="1" x14ac:dyDescent="0.25">
      <c r="A26" s="265">
        <v>12</v>
      </c>
      <c r="B26" s="239"/>
      <c r="C26" s="273" t="s">
        <v>135</v>
      </c>
      <c r="D26" s="274" t="s">
        <v>136</v>
      </c>
      <c r="E26" s="290" t="s">
        <v>124</v>
      </c>
      <c r="F26" s="273">
        <v>6.6299999999999998E-2</v>
      </c>
      <c r="G26" s="276">
        <v>70.010000000000005</v>
      </c>
      <c r="H26" s="284">
        <f t="shared" si="0"/>
        <v>4.6399999999999997</v>
      </c>
    </row>
    <row r="27" spans="1:8" ht="25.5" x14ac:dyDescent="0.25">
      <c r="A27" s="265">
        <v>13</v>
      </c>
      <c r="B27" s="239"/>
      <c r="C27" s="273" t="s">
        <v>137</v>
      </c>
      <c r="D27" s="274" t="s">
        <v>138</v>
      </c>
      <c r="E27" s="290" t="s">
        <v>124</v>
      </c>
      <c r="F27" s="273">
        <v>4.6440000000000001</v>
      </c>
      <c r="G27" s="276">
        <v>0.9</v>
      </c>
      <c r="H27" s="284">
        <f t="shared" si="0"/>
        <v>4.18</v>
      </c>
    </row>
    <row r="28" spans="1:8" x14ac:dyDescent="0.25">
      <c r="A28" s="265">
        <v>14</v>
      </c>
      <c r="B28" s="239"/>
      <c r="C28" s="273" t="s">
        <v>139</v>
      </c>
      <c r="D28" s="274" t="s">
        <v>140</v>
      </c>
      <c r="E28" s="290" t="s">
        <v>124</v>
      </c>
      <c r="F28" s="273">
        <v>0.2379</v>
      </c>
      <c r="G28" s="276">
        <v>1.9</v>
      </c>
      <c r="H28" s="284">
        <f t="shared" si="0"/>
        <v>0.45</v>
      </c>
    </row>
    <row r="29" spans="1:8" ht="15" customHeight="1" x14ac:dyDescent="0.25">
      <c r="A29" s="369" t="s">
        <v>43</v>
      </c>
      <c r="B29" s="369"/>
      <c r="C29" s="369"/>
      <c r="D29" s="369"/>
      <c r="E29" s="369"/>
      <c r="F29" s="293"/>
      <c r="G29" s="264"/>
      <c r="H29" s="262">
        <f>SUM(H30:H31)</f>
        <v>4958.28</v>
      </c>
    </row>
    <row r="30" spans="1:8" ht="15" customHeight="1" x14ac:dyDescent="0.25">
      <c r="A30" s="261">
        <v>15</v>
      </c>
      <c r="B30" s="263"/>
      <c r="C30" s="260" t="s">
        <v>141</v>
      </c>
      <c r="D30" s="286" t="s">
        <v>142</v>
      </c>
      <c r="E30" s="291" t="s">
        <v>143</v>
      </c>
      <c r="F30" s="291">
        <v>1</v>
      </c>
      <c r="G30" s="286">
        <v>3861</v>
      </c>
      <c r="H30" s="284">
        <f>ROUND(F30*G30,2)</f>
        <v>3861</v>
      </c>
    </row>
    <row r="31" spans="1:8" ht="18" customHeight="1" x14ac:dyDescent="0.25">
      <c r="A31" s="261">
        <v>16</v>
      </c>
      <c r="B31" s="263"/>
      <c r="C31" s="260" t="s">
        <v>144</v>
      </c>
      <c r="D31" s="287" t="s">
        <v>145</v>
      </c>
      <c r="E31" s="291" t="s">
        <v>146</v>
      </c>
      <c r="F31" s="291">
        <v>1</v>
      </c>
      <c r="G31" s="301">
        <v>1097.28</v>
      </c>
      <c r="H31" s="302">
        <f>ROUND(F31*G31,2)</f>
        <v>1097.28</v>
      </c>
    </row>
    <row r="32" spans="1:8" x14ac:dyDescent="0.25">
      <c r="A32" s="370" t="s">
        <v>147</v>
      </c>
      <c r="B32" s="371"/>
      <c r="C32" s="372"/>
      <c r="D32" s="372"/>
      <c r="E32" s="371"/>
      <c r="F32" s="292"/>
      <c r="G32" s="241"/>
      <c r="H32" s="262">
        <f>SUM(H33:H65)</f>
        <v>11957.47</v>
      </c>
    </row>
    <row r="33" spans="1:8" ht="38.25" customHeight="1" x14ac:dyDescent="0.25">
      <c r="A33" s="261">
        <v>17</v>
      </c>
      <c r="B33" s="239"/>
      <c r="C33" s="273" t="s">
        <v>148</v>
      </c>
      <c r="D33" s="274" t="s">
        <v>149</v>
      </c>
      <c r="E33" s="275" t="s">
        <v>150</v>
      </c>
      <c r="F33" s="273">
        <v>0.61199999999999999</v>
      </c>
      <c r="G33" s="276">
        <v>8128</v>
      </c>
      <c r="H33" s="284">
        <f t="shared" ref="H33:H65" si="1">ROUND(F33*G33,2)</f>
        <v>4974.34</v>
      </c>
    </row>
    <row r="34" spans="1:8" ht="38.25" customHeight="1" x14ac:dyDescent="0.25">
      <c r="A34" s="261">
        <v>18</v>
      </c>
      <c r="B34" s="239"/>
      <c r="C34" s="273" t="s">
        <v>151</v>
      </c>
      <c r="D34" s="274" t="s">
        <v>152</v>
      </c>
      <c r="E34" s="275" t="s">
        <v>150</v>
      </c>
      <c r="F34" s="273">
        <v>0.58799999999999997</v>
      </c>
      <c r="G34" s="276">
        <v>5999.99</v>
      </c>
      <c r="H34" s="284">
        <f t="shared" si="1"/>
        <v>3527.99</v>
      </c>
    </row>
    <row r="35" spans="1:8" ht="38.25" customHeight="1" x14ac:dyDescent="0.25">
      <c r="A35" s="261">
        <v>19</v>
      </c>
      <c r="B35" s="239"/>
      <c r="C35" s="273" t="s">
        <v>153</v>
      </c>
      <c r="D35" s="274" t="s">
        <v>154</v>
      </c>
      <c r="E35" s="275" t="s">
        <v>155</v>
      </c>
      <c r="F35" s="273">
        <v>110</v>
      </c>
      <c r="G35" s="276">
        <v>8.2799999999999994</v>
      </c>
      <c r="H35" s="284">
        <f t="shared" si="1"/>
        <v>910.8</v>
      </c>
    </row>
    <row r="36" spans="1:8" x14ac:dyDescent="0.25">
      <c r="A36" s="261">
        <v>20</v>
      </c>
      <c r="B36" s="239"/>
      <c r="C36" s="273" t="s">
        <v>156</v>
      </c>
      <c r="D36" s="274" t="s">
        <v>157</v>
      </c>
      <c r="E36" s="275" t="s">
        <v>158</v>
      </c>
      <c r="F36" s="273">
        <v>1</v>
      </c>
      <c r="G36" s="276">
        <v>682</v>
      </c>
      <c r="H36" s="284">
        <f t="shared" si="1"/>
        <v>682</v>
      </c>
    </row>
    <row r="37" spans="1:8" ht="25.5" customHeight="1" x14ac:dyDescent="0.25">
      <c r="A37" s="261">
        <v>21</v>
      </c>
      <c r="B37" s="239"/>
      <c r="C37" s="273" t="s">
        <v>159</v>
      </c>
      <c r="D37" s="274" t="s">
        <v>160</v>
      </c>
      <c r="E37" s="275" t="s">
        <v>161</v>
      </c>
      <c r="F37" s="273">
        <v>0.03</v>
      </c>
      <c r="G37" s="276">
        <v>17230.189999999999</v>
      </c>
      <c r="H37" s="284">
        <f t="shared" si="1"/>
        <v>516.91</v>
      </c>
    </row>
    <row r="38" spans="1:8" x14ac:dyDescent="0.25">
      <c r="A38" s="261">
        <v>22</v>
      </c>
      <c r="B38" s="239"/>
      <c r="C38" s="273" t="s">
        <v>162</v>
      </c>
      <c r="D38" s="274" t="s">
        <v>163</v>
      </c>
      <c r="E38" s="275" t="s">
        <v>164</v>
      </c>
      <c r="F38" s="273">
        <v>1.1000000000000001</v>
      </c>
      <c r="G38" s="276">
        <v>277.5</v>
      </c>
      <c r="H38" s="284">
        <f t="shared" si="1"/>
        <v>305.25</v>
      </c>
    </row>
    <row r="39" spans="1:8" ht="25.5" customHeight="1" x14ac:dyDescent="0.25">
      <c r="A39" s="261">
        <v>23</v>
      </c>
      <c r="B39" s="239"/>
      <c r="C39" s="273" t="s">
        <v>165</v>
      </c>
      <c r="D39" s="274" t="s">
        <v>166</v>
      </c>
      <c r="E39" s="275" t="s">
        <v>150</v>
      </c>
      <c r="F39" s="273">
        <v>5.6649999999999999E-2</v>
      </c>
      <c r="G39" s="276">
        <v>5000</v>
      </c>
      <c r="H39" s="284">
        <f t="shared" si="1"/>
        <v>283.25</v>
      </c>
    </row>
    <row r="40" spans="1:8" ht="25.5" customHeight="1" x14ac:dyDescent="0.25">
      <c r="A40" s="261">
        <v>24</v>
      </c>
      <c r="B40" s="239"/>
      <c r="C40" s="273" t="s">
        <v>167</v>
      </c>
      <c r="D40" s="274" t="s">
        <v>168</v>
      </c>
      <c r="E40" s="275" t="s">
        <v>150</v>
      </c>
      <c r="F40" s="273">
        <v>0.02</v>
      </c>
      <c r="G40" s="276">
        <v>11500</v>
      </c>
      <c r="H40" s="284">
        <f t="shared" si="1"/>
        <v>230</v>
      </c>
    </row>
    <row r="41" spans="1:8" ht="25.5" customHeight="1" x14ac:dyDescent="0.25">
      <c r="A41" s="261">
        <v>25</v>
      </c>
      <c r="B41" s="239"/>
      <c r="C41" s="273" t="s">
        <v>169</v>
      </c>
      <c r="D41" s="274" t="s">
        <v>170</v>
      </c>
      <c r="E41" s="275" t="s">
        <v>158</v>
      </c>
      <c r="F41" s="273">
        <v>0.29099999999999998</v>
      </c>
      <c r="G41" s="276">
        <v>600</v>
      </c>
      <c r="H41" s="284">
        <f t="shared" si="1"/>
        <v>174.6</v>
      </c>
    </row>
    <row r="42" spans="1:8" x14ac:dyDescent="0.25">
      <c r="A42" s="261">
        <v>26</v>
      </c>
      <c r="B42" s="239"/>
      <c r="C42" s="273" t="s">
        <v>171</v>
      </c>
      <c r="D42" s="274" t="s">
        <v>172</v>
      </c>
      <c r="E42" s="275" t="s">
        <v>161</v>
      </c>
      <c r="F42" s="273">
        <v>0.1</v>
      </c>
      <c r="G42" s="276">
        <v>887.03</v>
      </c>
      <c r="H42" s="284">
        <f t="shared" si="1"/>
        <v>88.7</v>
      </c>
    </row>
    <row r="43" spans="1:8" ht="25.5" customHeight="1" x14ac:dyDescent="0.25">
      <c r="A43" s="261">
        <v>27</v>
      </c>
      <c r="B43" s="239"/>
      <c r="C43" s="273" t="s">
        <v>173</v>
      </c>
      <c r="D43" s="274" t="s">
        <v>174</v>
      </c>
      <c r="E43" s="275" t="s">
        <v>150</v>
      </c>
      <c r="F43" s="273">
        <v>6.9999999999999999E-4</v>
      </c>
      <c r="G43" s="276">
        <v>86162.5</v>
      </c>
      <c r="H43" s="284">
        <f t="shared" si="1"/>
        <v>60.31</v>
      </c>
    </row>
    <row r="44" spans="1:8" ht="25.5" customHeight="1" x14ac:dyDescent="0.25">
      <c r="A44" s="261">
        <v>28</v>
      </c>
      <c r="B44" s="239"/>
      <c r="C44" s="273" t="s">
        <v>175</v>
      </c>
      <c r="D44" s="274" t="s">
        <v>176</v>
      </c>
      <c r="E44" s="275" t="s">
        <v>161</v>
      </c>
      <c r="F44" s="273">
        <v>0.03</v>
      </c>
      <c r="G44" s="276">
        <v>1335.52</v>
      </c>
      <c r="H44" s="284">
        <f t="shared" si="1"/>
        <v>40.07</v>
      </c>
    </row>
    <row r="45" spans="1:8" x14ac:dyDescent="0.25">
      <c r="A45" s="261">
        <v>29</v>
      </c>
      <c r="B45" s="239"/>
      <c r="C45" s="273" t="s">
        <v>177</v>
      </c>
      <c r="D45" s="274" t="s">
        <v>178</v>
      </c>
      <c r="E45" s="275" t="s">
        <v>150</v>
      </c>
      <c r="F45" s="273">
        <v>2.398E-3</v>
      </c>
      <c r="G45" s="276">
        <v>12430</v>
      </c>
      <c r="H45" s="284">
        <f t="shared" si="1"/>
        <v>29.81</v>
      </c>
    </row>
    <row r="46" spans="1:8" s="240" customFormat="1" x14ac:dyDescent="0.25">
      <c r="A46" s="261">
        <v>30</v>
      </c>
      <c r="B46" s="239"/>
      <c r="C46" s="273" t="s">
        <v>179</v>
      </c>
      <c r="D46" s="274" t="s">
        <v>180</v>
      </c>
      <c r="E46" s="275" t="s">
        <v>164</v>
      </c>
      <c r="F46" s="273">
        <v>0.55000000000000004</v>
      </c>
      <c r="G46" s="276">
        <v>39</v>
      </c>
      <c r="H46" s="284">
        <f t="shared" si="1"/>
        <v>21.45</v>
      </c>
    </row>
    <row r="47" spans="1:8" ht="25.5" customHeight="1" x14ac:dyDescent="0.25">
      <c r="A47" s="261">
        <v>31</v>
      </c>
      <c r="B47" s="239"/>
      <c r="C47" s="273" t="s">
        <v>181</v>
      </c>
      <c r="D47" s="274" t="s">
        <v>182</v>
      </c>
      <c r="E47" s="275" t="s">
        <v>158</v>
      </c>
      <c r="F47" s="273">
        <v>3.1E-2</v>
      </c>
      <c r="G47" s="276">
        <v>684</v>
      </c>
      <c r="H47" s="284">
        <f t="shared" si="1"/>
        <v>21.2</v>
      </c>
    </row>
    <row r="48" spans="1:8" x14ac:dyDescent="0.25">
      <c r="A48" s="261">
        <v>32</v>
      </c>
      <c r="B48" s="239"/>
      <c r="C48" s="273" t="s">
        <v>183</v>
      </c>
      <c r="D48" s="274" t="s">
        <v>184</v>
      </c>
      <c r="E48" s="275" t="s">
        <v>185</v>
      </c>
      <c r="F48" s="273">
        <v>1.905</v>
      </c>
      <c r="G48" s="276">
        <v>9.0399999999999991</v>
      </c>
      <c r="H48" s="284">
        <f t="shared" si="1"/>
        <v>17.22</v>
      </c>
    </row>
    <row r="49" spans="1:8" ht="25.5" customHeight="1" x14ac:dyDescent="0.25">
      <c r="A49" s="261">
        <v>33</v>
      </c>
      <c r="B49" s="239"/>
      <c r="C49" s="273" t="s">
        <v>186</v>
      </c>
      <c r="D49" s="274" t="s">
        <v>187</v>
      </c>
      <c r="E49" s="275" t="s">
        <v>188</v>
      </c>
      <c r="F49" s="273">
        <v>14.13885</v>
      </c>
      <c r="G49" s="276">
        <v>1</v>
      </c>
      <c r="H49" s="284">
        <f t="shared" si="1"/>
        <v>14.14</v>
      </c>
    </row>
    <row r="50" spans="1:8" x14ac:dyDescent="0.25">
      <c r="A50" s="261">
        <v>34</v>
      </c>
      <c r="B50" s="239"/>
      <c r="C50" s="273" t="s">
        <v>189</v>
      </c>
      <c r="D50" s="274" t="s">
        <v>190</v>
      </c>
      <c r="E50" s="275" t="s">
        <v>185</v>
      </c>
      <c r="F50" s="273">
        <v>1.3260000000000001</v>
      </c>
      <c r="G50" s="276">
        <v>10.57</v>
      </c>
      <c r="H50" s="284">
        <f t="shared" si="1"/>
        <v>14.02</v>
      </c>
    </row>
    <row r="51" spans="1:8" x14ac:dyDescent="0.25">
      <c r="A51" s="261">
        <v>35</v>
      </c>
      <c r="B51" s="239"/>
      <c r="C51" s="273" t="s">
        <v>191</v>
      </c>
      <c r="D51" s="274" t="s">
        <v>192</v>
      </c>
      <c r="E51" s="275" t="s">
        <v>143</v>
      </c>
      <c r="F51" s="273">
        <v>0.05</v>
      </c>
      <c r="G51" s="276">
        <v>266.67</v>
      </c>
      <c r="H51" s="284">
        <f t="shared" si="1"/>
        <v>13.33</v>
      </c>
    </row>
    <row r="52" spans="1:8" x14ac:dyDescent="0.25">
      <c r="A52" s="261">
        <v>36</v>
      </c>
      <c r="B52" s="239"/>
      <c r="C52" s="273" t="s">
        <v>193</v>
      </c>
      <c r="D52" s="274" t="s">
        <v>194</v>
      </c>
      <c r="E52" s="275" t="s">
        <v>143</v>
      </c>
      <c r="F52" s="273">
        <v>11</v>
      </c>
      <c r="G52" s="276">
        <v>0.71</v>
      </c>
      <c r="H52" s="284">
        <f t="shared" si="1"/>
        <v>7.81</v>
      </c>
    </row>
    <row r="53" spans="1:8" x14ac:dyDescent="0.25">
      <c r="A53" s="261">
        <v>37</v>
      </c>
      <c r="B53" s="239"/>
      <c r="C53" s="273" t="s">
        <v>195</v>
      </c>
      <c r="D53" s="274" t="s">
        <v>196</v>
      </c>
      <c r="E53" s="275" t="s">
        <v>150</v>
      </c>
      <c r="F53" s="273">
        <v>3.7199999999999999E-4</v>
      </c>
      <c r="G53" s="276">
        <v>12430</v>
      </c>
      <c r="H53" s="284">
        <f t="shared" si="1"/>
        <v>4.62</v>
      </c>
    </row>
    <row r="54" spans="1:8" x14ac:dyDescent="0.25">
      <c r="A54" s="261">
        <v>38</v>
      </c>
      <c r="B54" s="239"/>
      <c r="C54" s="273" t="s">
        <v>197</v>
      </c>
      <c r="D54" s="274" t="s">
        <v>198</v>
      </c>
      <c r="E54" s="275" t="s">
        <v>150</v>
      </c>
      <c r="F54" s="273">
        <v>4.9799999999999996E-4</v>
      </c>
      <c r="G54" s="276">
        <v>7826.9</v>
      </c>
      <c r="H54" s="284">
        <f t="shared" si="1"/>
        <v>3.9</v>
      </c>
    </row>
    <row r="55" spans="1:8" x14ac:dyDescent="0.25">
      <c r="A55" s="261">
        <v>39</v>
      </c>
      <c r="B55" s="239"/>
      <c r="C55" s="273" t="s">
        <v>199</v>
      </c>
      <c r="D55" s="274" t="s">
        <v>200</v>
      </c>
      <c r="E55" s="275" t="s">
        <v>201</v>
      </c>
      <c r="F55" s="273">
        <v>2.5260000000000001E-2</v>
      </c>
      <c r="G55" s="276">
        <v>120</v>
      </c>
      <c r="H55" s="284">
        <f t="shared" si="1"/>
        <v>3.03</v>
      </c>
    </row>
    <row r="56" spans="1:8" x14ac:dyDescent="0.25">
      <c r="A56" s="261">
        <v>40</v>
      </c>
      <c r="B56" s="239"/>
      <c r="C56" s="273" t="s">
        <v>202</v>
      </c>
      <c r="D56" s="274" t="s">
        <v>203</v>
      </c>
      <c r="E56" s="275" t="s">
        <v>204</v>
      </c>
      <c r="F56" s="273">
        <v>1.0999999999999999E-2</v>
      </c>
      <c r="G56" s="276">
        <v>270</v>
      </c>
      <c r="H56" s="284">
        <f t="shared" si="1"/>
        <v>2.97</v>
      </c>
    </row>
    <row r="57" spans="1:8" x14ac:dyDescent="0.25">
      <c r="A57" s="261">
        <v>41</v>
      </c>
      <c r="B57" s="239"/>
      <c r="C57" s="273" t="s">
        <v>205</v>
      </c>
      <c r="D57" s="274" t="s">
        <v>206</v>
      </c>
      <c r="E57" s="275" t="s">
        <v>150</v>
      </c>
      <c r="F57" s="273">
        <v>2.9999999999999997E-4</v>
      </c>
      <c r="G57" s="276">
        <v>9424</v>
      </c>
      <c r="H57" s="284">
        <f t="shared" si="1"/>
        <v>2.83</v>
      </c>
    </row>
    <row r="58" spans="1:8" ht="25.5" customHeight="1" x14ac:dyDescent="0.25">
      <c r="A58" s="261">
        <v>42</v>
      </c>
      <c r="B58" s="239"/>
      <c r="C58" s="273" t="s">
        <v>207</v>
      </c>
      <c r="D58" s="274" t="s">
        <v>208</v>
      </c>
      <c r="E58" s="275" t="s">
        <v>158</v>
      </c>
      <c r="F58" s="273">
        <v>5.0000000000000001E-3</v>
      </c>
      <c r="G58" s="276">
        <v>558.33000000000004</v>
      </c>
      <c r="H58" s="284">
        <f t="shared" si="1"/>
        <v>2.79</v>
      </c>
    </row>
    <row r="59" spans="1:8" ht="25.5" customHeight="1" x14ac:dyDescent="0.25">
      <c r="A59" s="261">
        <v>43</v>
      </c>
      <c r="B59" s="239"/>
      <c r="C59" s="273" t="s">
        <v>209</v>
      </c>
      <c r="D59" s="274" t="s">
        <v>210</v>
      </c>
      <c r="E59" s="275" t="s">
        <v>204</v>
      </c>
      <c r="F59" s="273">
        <v>1.06E-3</v>
      </c>
      <c r="G59" s="276">
        <v>1740.2</v>
      </c>
      <c r="H59" s="284">
        <f t="shared" si="1"/>
        <v>1.84</v>
      </c>
    </row>
    <row r="60" spans="1:8" x14ac:dyDescent="0.25">
      <c r="A60" s="261">
        <v>44</v>
      </c>
      <c r="B60" s="239"/>
      <c r="C60" s="273" t="s">
        <v>211</v>
      </c>
      <c r="D60" s="274" t="s">
        <v>212</v>
      </c>
      <c r="E60" s="275" t="s">
        <v>185</v>
      </c>
      <c r="F60" s="273">
        <v>0.03</v>
      </c>
      <c r="G60" s="276">
        <v>28.6</v>
      </c>
      <c r="H60" s="284">
        <f t="shared" si="1"/>
        <v>0.86</v>
      </c>
    </row>
    <row r="61" spans="1:8" s="240" customFormat="1" x14ac:dyDescent="0.25">
      <c r="A61" s="261">
        <v>45</v>
      </c>
      <c r="B61" s="239"/>
      <c r="C61" s="273" t="s">
        <v>213</v>
      </c>
      <c r="D61" s="274" t="s">
        <v>214</v>
      </c>
      <c r="E61" s="275" t="s">
        <v>215</v>
      </c>
      <c r="F61" s="273">
        <v>4.0000000000000001E-3</v>
      </c>
      <c r="G61" s="276">
        <v>110</v>
      </c>
      <c r="H61" s="284">
        <f t="shared" si="1"/>
        <v>0.44</v>
      </c>
    </row>
    <row r="62" spans="1:8" ht="25.5" customHeight="1" x14ac:dyDescent="0.25">
      <c r="A62" s="261">
        <v>46</v>
      </c>
      <c r="B62" s="239"/>
      <c r="C62" s="273" t="s">
        <v>216</v>
      </c>
      <c r="D62" s="274" t="s">
        <v>217</v>
      </c>
      <c r="E62" s="275" t="s">
        <v>150</v>
      </c>
      <c r="F62" s="273">
        <v>8.9999999999999998E-4</v>
      </c>
      <c r="G62" s="276">
        <v>480</v>
      </c>
      <c r="H62" s="284">
        <f t="shared" si="1"/>
        <v>0.43</v>
      </c>
    </row>
    <row r="63" spans="1:8" x14ac:dyDescent="0.25">
      <c r="A63" s="261">
        <v>47</v>
      </c>
      <c r="B63" s="239"/>
      <c r="C63" s="273" t="s">
        <v>218</v>
      </c>
      <c r="D63" s="274" t="s">
        <v>219</v>
      </c>
      <c r="E63" s="275" t="s">
        <v>185</v>
      </c>
      <c r="F63" s="273">
        <v>0.06</v>
      </c>
      <c r="G63" s="276">
        <v>6.4</v>
      </c>
      <c r="H63" s="284">
        <f t="shared" si="1"/>
        <v>0.38</v>
      </c>
    </row>
    <row r="64" spans="1:8" x14ac:dyDescent="0.25">
      <c r="A64" s="261">
        <v>48</v>
      </c>
      <c r="B64" s="239"/>
      <c r="C64" s="273" t="s">
        <v>220</v>
      </c>
      <c r="D64" s="274" t="s">
        <v>221</v>
      </c>
      <c r="E64" s="275" t="s">
        <v>158</v>
      </c>
      <c r="F64" s="273">
        <v>3.1E-4</v>
      </c>
      <c r="G64" s="276">
        <v>463.3</v>
      </c>
      <c r="H64" s="284">
        <f t="shared" si="1"/>
        <v>0.14000000000000001</v>
      </c>
    </row>
    <row r="65" spans="1:8" ht="38.25" customHeight="1" x14ac:dyDescent="0.25">
      <c r="A65" s="261">
        <v>49</v>
      </c>
      <c r="B65" s="239"/>
      <c r="C65" s="273" t="s">
        <v>222</v>
      </c>
      <c r="D65" s="274" t="s">
        <v>223</v>
      </c>
      <c r="E65" s="275" t="s">
        <v>158</v>
      </c>
      <c r="F65" s="273">
        <v>7.5000000000000002E-4</v>
      </c>
      <c r="G65" s="276">
        <v>55.26</v>
      </c>
      <c r="H65" s="284">
        <f t="shared" si="1"/>
        <v>0.04</v>
      </c>
    </row>
    <row r="68" spans="1:8" x14ac:dyDescent="0.25">
      <c r="B68" s="234" t="s">
        <v>93</v>
      </c>
    </row>
    <row r="69" spans="1:8" x14ac:dyDescent="0.25">
      <c r="B69" s="235" t="s">
        <v>76</v>
      </c>
    </row>
    <row r="71" spans="1:8" x14ac:dyDescent="0.25">
      <c r="B71" s="234" t="s">
        <v>94</v>
      </c>
    </row>
    <row r="72" spans="1:8" x14ac:dyDescent="0.25">
      <c r="B72" s="235" t="s">
        <v>78</v>
      </c>
    </row>
  </sheetData>
  <mergeCells count="16">
    <mergeCell ref="A17:E17"/>
    <mergeCell ref="A32:E32"/>
    <mergeCell ref="A12:E12"/>
    <mergeCell ref="A19:E19"/>
    <mergeCell ref="D9:D10"/>
    <mergeCell ref="E9:E10"/>
    <mergeCell ref="A29:E29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conditionalFormatting sqref="C20:C28">
    <cfRule type="duplicateValues" dxfId="5" priority="1"/>
  </conditionalFormatting>
  <conditionalFormatting sqref="C33:C65">
    <cfRule type="duplicateValues" dxfId="4" priority="2"/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J50"/>
  <sheetViews>
    <sheetView tabSelected="1" view="pageBreakPreview" topLeftCell="A2" workbookViewId="0">
      <selection activeCell="F2" sqref="F1:F1048576"/>
    </sheetView>
  </sheetViews>
  <sheetFormatPr defaultColWidth="9.140625"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7" width="14.42578125" customWidth="1"/>
    <col min="8" max="11" width="9.140625" style="52"/>
    <col min="12" max="12" width="13.5703125" style="52" customWidth="1"/>
    <col min="13" max="13" width="9.140625" style="52"/>
  </cols>
  <sheetData>
    <row r="1" spans="2:36" x14ac:dyDescent="0.25">
      <c r="B1" s="244"/>
      <c r="C1" s="244"/>
      <c r="D1" s="244"/>
      <c r="E1" s="244"/>
    </row>
    <row r="2" spans="2:36" x14ac:dyDescent="0.25">
      <c r="B2" s="244"/>
      <c r="C2" s="244"/>
      <c r="D2" s="244"/>
      <c r="E2" s="254" t="s">
        <v>224</v>
      </c>
    </row>
    <row r="3" spans="2:36" x14ac:dyDescent="0.25">
      <c r="B3" s="244"/>
      <c r="C3" s="244"/>
      <c r="D3" s="244"/>
      <c r="E3" s="244"/>
    </row>
    <row r="4" spans="2:36" x14ac:dyDescent="0.25">
      <c r="B4" s="244"/>
      <c r="C4" s="244"/>
      <c r="D4" s="244"/>
      <c r="E4" s="244"/>
    </row>
    <row r="5" spans="2:36" x14ac:dyDescent="0.25">
      <c r="B5" s="347" t="s">
        <v>225</v>
      </c>
      <c r="C5" s="347"/>
      <c r="D5" s="347"/>
      <c r="E5" s="347"/>
    </row>
    <row r="6" spans="2:36" x14ac:dyDescent="0.25">
      <c r="B6" s="253"/>
      <c r="C6" s="244"/>
      <c r="D6" s="244"/>
      <c r="E6" s="244"/>
    </row>
    <row r="7" spans="2:36" ht="25.5" customHeight="1" x14ac:dyDescent="0.25">
      <c r="B7" s="374" t="s">
        <v>48</v>
      </c>
      <c r="C7" s="374"/>
      <c r="D7" s="374"/>
      <c r="E7" s="374"/>
    </row>
    <row r="8" spans="2:36" x14ac:dyDescent="0.25">
      <c r="B8" s="375" t="s">
        <v>50</v>
      </c>
      <c r="C8" s="375"/>
      <c r="D8" s="375"/>
      <c r="E8" s="375"/>
    </row>
    <row r="9" spans="2:36" x14ac:dyDescent="0.25">
      <c r="B9" s="253"/>
      <c r="C9" s="244"/>
      <c r="D9" s="244"/>
      <c r="E9" s="244"/>
    </row>
    <row r="10" spans="2:36" ht="51" customHeight="1" x14ac:dyDescent="0.25">
      <c r="B10" s="252" t="s">
        <v>226</v>
      </c>
      <c r="C10" s="252" t="s">
        <v>227</v>
      </c>
      <c r="D10" s="252" t="s">
        <v>228</v>
      </c>
      <c r="E10" s="252" t="s">
        <v>229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327"/>
      <c r="S10" s="327"/>
      <c r="T10" s="327"/>
      <c r="U10" s="327"/>
      <c r="V10" s="327"/>
      <c r="W10" s="249"/>
      <c r="X10" s="327"/>
      <c r="Y10" s="249"/>
      <c r="Z10" s="327"/>
      <c r="AA10" s="327"/>
      <c r="AB10" s="327"/>
      <c r="AC10" s="327"/>
      <c r="AD10" s="327"/>
      <c r="AE10" s="327"/>
      <c r="AF10" s="327"/>
      <c r="AG10" s="327"/>
      <c r="AH10" s="327"/>
      <c r="AI10" s="327"/>
      <c r="AJ10" s="327"/>
    </row>
    <row r="11" spans="2:36" x14ac:dyDescent="0.25">
      <c r="B11" s="246" t="s">
        <v>230</v>
      </c>
      <c r="C11" s="247">
        <f>'Прил.5 Расчет СМР и ОБ'!J14</f>
        <v>41390.06</v>
      </c>
      <c r="D11" s="248">
        <f t="shared" ref="D11:D18" si="0">C11/$C$24</f>
        <v>0.17846264677442708</v>
      </c>
      <c r="E11" s="248">
        <f t="shared" ref="E11:E18" si="1">C11/$C$40</f>
        <v>0.14242091461346917</v>
      </c>
    </row>
    <row r="12" spans="2:36" x14ac:dyDescent="0.25">
      <c r="B12" s="246" t="s">
        <v>231</v>
      </c>
      <c r="C12" s="247">
        <f>'Прил.5 Расчет СМР и ОБ'!J22</f>
        <v>14873.58</v>
      </c>
      <c r="D12" s="248">
        <f t="shared" si="0"/>
        <v>6.4130819182460302E-2</v>
      </c>
      <c r="E12" s="248">
        <f t="shared" si="1"/>
        <v>5.1179168795034438E-2</v>
      </c>
    </row>
    <row r="13" spans="2:36" x14ac:dyDescent="0.25">
      <c r="B13" s="246" t="s">
        <v>232</v>
      </c>
      <c r="C13" s="247">
        <f>'Прил.5 Расчет СМР и ОБ'!J29</f>
        <v>2294.4500000000003</v>
      </c>
      <c r="D13" s="248">
        <f t="shared" si="0"/>
        <v>9.8930424331731878E-3</v>
      </c>
      <c r="E13" s="248">
        <f t="shared" si="1"/>
        <v>7.8950759562772897E-3</v>
      </c>
    </row>
    <row r="14" spans="2:36" x14ac:dyDescent="0.25">
      <c r="B14" s="246" t="s">
        <v>233</v>
      </c>
      <c r="C14" s="247">
        <f>C13+C12</f>
        <v>17168.03</v>
      </c>
      <c r="D14" s="248">
        <f t="shared" si="0"/>
        <v>7.4023861615633485E-2</v>
      </c>
      <c r="E14" s="248">
        <f t="shared" si="1"/>
        <v>5.9074244751311719E-2</v>
      </c>
    </row>
    <row r="15" spans="2:36" x14ac:dyDescent="0.25">
      <c r="B15" s="246" t="s">
        <v>234</v>
      </c>
      <c r="C15" s="247">
        <f>'Прил.5 Расчет СМР и ОБ'!J16</f>
        <v>3893.06</v>
      </c>
      <c r="D15" s="248">
        <f t="shared" si="0"/>
        <v>1.6785812623892091E-2</v>
      </c>
      <c r="E15" s="248">
        <f t="shared" si="1"/>
        <v>1.3395804834424312E-2</v>
      </c>
    </row>
    <row r="16" spans="2:36" x14ac:dyDescent="0.25">
      <c r="B16" s="246" t="s">
        <v>235</v>
      </c>
      <c r="C16" s="247">
        <f>'Прил.5 Расчет СМР и ОБ'!J46</f>
        <v>85134.23000000001</v>
      </c>
      <c r="D16" s="248">
        <f t="shared" si="0"/>
        <v>0.3670755736257168</v>
      </c>
      <c r="E16" s="248">
        <f t="shared" si="1"/>
        <v>0.29294219195414184</v>
      </c>
    </row>
    <row r="17" spans="2:6" x14ac:dyDescent="0.25">
      <c r="B17" s="246" t="s">
        <v>236</v>
      </c>
      <c r="C17" s="247">
        <f>'Прил.5 Расчет СМР и ОБ'!J75</f>
        <v>10799.169999999996</v>
      </c>
      <c r="D17" s="248">
        <f t="shared" si="0"/>
        <v>4.6563074834078254E-2</v>
      </c>
      <c r="E17" s="248">
        <f t="shared" si="1"/>
        <v>3.7159348608490482E-2</v>
      </c>
    </row>
    <row r="18" spans="2:6" x14ac:dyDescent="0.25">
      <c r="B18" s="246" t="s">
        <v>237</v>
      </c>
      <c r="C18" s="247">
        <f>C17+C16</f>
        <v>95933.400000000009</v>
      </c>
      <c r="D18" s="248">
        <f t="shared" si="0"/>
        <v>0.41363864845979503</v>
      </c>
      <c r="E18" s="248">
        <f t="shared" si="1"/>
        <v>0.3301015405626323</v>
      </c>
    </row>
    <row r="19" spans="2:6" x14ac:dyDescent="0.25">
      <c r="B19" s="246" t="s">
        <v>238</v>
      </c>
      <c r="C19" s="247">
        <f>C18+C14+C11</f>
        <v>154491.49</v>
      </c>
      <c r="D19" s="248"/>
      <c r="E19" s="246"/>
    </row>
    <row r="20" spans="2:6" x14ac:dyDescent="0.25">
      <c r="B20" s="246" t="s">
        <v>239</v>
      </c>
      <c r="C20" s="247">
        <f>ROUND(C21*(C11+C15),2)</f>
        <v>31245.35</v>
      </c>
      <c r="D20" s="248">
        <f>C20/$C$24</f>
        <v>0.13472142491200412</v>
      </c>
      <c r="E20" s="248">
        <f>C20/$C$40</f>
        <v>0.10751352678440088</v>
      </c>
    </row>
    <row r="21" spans="2:6" x14ac:dyDescent="0.25">
      <c r="B21" s="246" t="s">
        <v>240</v>
      </c>
      <c r="C21" s="251">
        <f>'Прил.5 Расчет СМР и ОБ'!D79</f>
        <v>0.69</v>
      </c>
      <c r="D21" s="248"/>
      <c r="E21" s="246"/>
    </row>
    <row r="22" spans="2:6" x14ac:dyDescent="0.25">
      <c r="B22" s="246" t="s">
        <v>241</v>
      </c>
      <c r="C22" s="247">
        <f>ROUND(C23*(C11+C15),2)</f>
        <v>46188.78</v>
      </c>
      <c r="D22" s="248">
        <f>C22/$C$24</f>
        <v>0.19915341823814031</v>
      </c>
      <c r="E22" s="248">
        <f>C22/$C$40</f>
        <v>0.15893304557858368</v>
      </c>
    </row>
    <row r="23" spans="2:6" x14ac:dyDescent="0.25">
      <c r="B23" s="246" t="s">
        <v>242</v>
      </c>
      <c r="C23" s="251">
        <f>'Прил.5 Расчет СМР и ОБ'!D78</f>
        <v>1.02</v>
      </c>
      <c r="D23" s="248"/>
      <c r="E23" s="246"/>
    </row>
    <row r="24" spans="2:6" x14ac:dyDescent="0.25">
      <c r="B24" s="246" t="s">
        <v>243</v>
      </c>
      <c r="C24" s="247">
        <f>C19+C20+C22</f>
        <v>231925.62</v>
      </c>
      <c r="D24" s="248">
        <f>C24/$C$24</f>
        <v>1</v>
      </c>
      <c r="E24" s="248">
        <f>C24/$C$40</f>
        <v>0.79804327229039773</v>
      </c>
    </row>
    <row r="25" spans="2:6" ht="25.5" customHeight="1" x14ac:dyDescent="0.25">
      <c r="B25" s="246" t="s">
        <v>244</v>
      </c>
      <c r="C25" s="247">
        <f>'Прил.5 Расчет СМР и ОБ'!J37</f>
        <v>29670.720000000001</v>
      </c>
      <c r="D25" s="248"/>
      <c r="E25" s="248">
        <f>C25/$C$40</f>
        <v>0.1020953117642292</v>
      </c>
    </row>
    <row r="26" spans="2:6" ht="25.5" customHeight="1" x14ac:dyDescent="0.25">
      <c r="B26" s="246" t="s">
        <v>245</v>
      </c>
      <c r="C26" s="247">
        <f>'Прил.5 Расчет СМР и ОБ'!J38</f>
        <v>29670.720000000001</v>
      </c>
      <c r="D26" s="248"/>
      <c r="E26" s="248">
        <f>C26/$C$40</f>
        <v>0.1020953117642292</v>
      </c>
    </row>
    <row r="27" spans="2:6" x14ac:dyDescent="0.25">
      <c r="B27" s="246" t="s">
        <v>246</v>
      </c>
      <c r="C27" s="250">
        <f>C24+C25</f>
        <v>261596.34</v>
      </c>
      <c r="D27" s="248"/>
      <c r="E27" s="248">
        <f>C27/$C$40</f>
        <v>0.90013858405462699</v>
      </c>
    </row>
    <row r="28" spans="2:6" ht="33" customHeight="1" x14ac:dyDescent="0.25">
      <c r="B28" s="246" t="s">
        <v>247</v>
      </c>
      <c r="C28" s="246"/>
      <c r="D28" s="246"/>
      <c r="E28" s="246"/>
      <c r="F28" s="249"/>
    </row>
    <row r="29" spans="2:6" ht="25.5" customHeight="1" x14ac:dyDescent="0.25">
      <c r="B29" s="246" t="s">
        <v>248</v>
      </c>
      <c r="C29" s="250">
        <f>ROUND(C24*3.9%,2)</f>
        <v>9045.1</v>
      </c>
      <c r="D29" s="246"/>
      <c r="E29" s="248">
        <f t="shared" ref="E29:E38" si="2">C29/$C$40</f>
        <v>3.1123690440900308E-2</v>
      </c>
    </row>
    <row r="30" spans="2:6" ht="38.25" customHeight="1" x14ac:dyDescent="0.25">
      <c r="B30" s="246" t="s">
        <v>249</v>
      </c>
      <c r="C30" s="250">
        <f>ROUND((C24+C29)*2.1%,2)</f>
        <v>5060.3900000000003</v>
      </c>
      <c r="D30" s="246"/>
      <c r="E30" s="248">
        <f t="shared" si="2"/>
        <v>1.7412523009168224E-2</v>
      </c>
      <c r="F30" s="249"/>
    </row>
    <row r="31" spans="2:6" x14ac:dyDescent="0.25">
      <c r="B31" s="246" t="s">
        <v>250</v>
      </c>
      <c r="C31" s="308">
        <v>0</v>
      </c>
      <c r="D31" s="246"/>
      <c r="E31" s="248">
        <f t="shared" si="2"/>
        <v>0</v>
      </c>
    </row>
    <row r="32" spans="2:6" ht="25.5" customHeight="1" x14ac:dyDescent="0.25">
      <c r="B32" s="246" t="s">
        <v>251</v>
      </c>
      <c r="C32" s="250">
        <f>ROUND(C27*0%,2)</f>
        <v>0</v>
      </c>
      <c r="D32" s="246"/>
      <c r="E32" s="248">
        <f t="shared" si="2"/>
        <v>0</v>
      </c>
    </row>
    <row r="33" spans="2:12" ht="25.5" customHeight="1" x14ac:dyDescent="0.25">
      <c r="B33" s="246" t="s">
        <v>252</v>
      </c>
      <c r="C33" s="250">
        <f>ROUND(C28*0%,2)</f>
        <v>0</v>
      </c>
      <c r="D33" s="246"/>
      <c r="E33" s="248">
        <f t="shared" si="2"/>
        <v>0</v>
      </c>
    </row>
    <row r="34" spans="2:12" ht="51" customHeight="1" x14ac:dyDescent="0.25">
      <c r="B34" s="246" t="s">
        <v>253</v>
      </c>
      <c r="C34" s="250">
        <f>ROUND(C29*0%,2)</f>
        <v>0</v>
      </c>
      <c r="D34" s="246"/>
      <c r="E34" s="248">
        <f t="shared" si="2"/>
        <v>0</v>
      </c>
      <c r="H34" s="256"/>
    </row>
    <row r="35" spans="2:12" ht="76.7" customHeight="1" x14ac:dyDescent="0.25">
      <c r="B35" s="246" t="s">
        <v>254</v>
      </c>
      <c r="C35" s="250">
        <f>ROUND(C30*0%,2)</f>
        <v>0</v>
      </c>
      <c r="D35" s="246"/>
      <c r="E35" s="248">
        <f t="shared" si="2"/>
        <v>0</v>
      </c>
    </row>
    <row r="36" spans="2:12" ht="25.5" customHeight="1" x14ac:dyDescent="0.25">
      <c r="B36" s="246" t="s">
        <v>255</v>
      </c>
      <c r="C36" s="250">
        <f>ROUND((C27+C32+C33+C34+C35+C29+C31+C30)*2.14%,2)</f>
        <v>5900.02</v>
      </c>
      <c r="D36" s="246"/>
      <c r="E36" s="248">
        <f t="shared" si="2"/>
        <v>2.0301643550112287E-2</v>
      </c>
      <c r="L36" s="249"/>
    </row>
    <row r="37" spans="2:12" x14ac:dyDescent="0.25">
      <c r="B37" s="246" t="s">
        <v>256</v>
      </c>
      <c r="C37" s="250">
        <f>ROUND((C27+C32+C33+C34+C35+C29+C31+C30)*0.2%,2)</f>
        <v>551.4</v>
      </c>
      <c r="D37" s="246"/>
      <c r="E37" s="248">
        <f t="shared" si="2"/>
        <v>1.8973370011511677E-3</v>
      </c>
      <c r="L37" s="249"/>
    </row>
    <row r="38" spans="2:12" ht="38.25" customHeight="1" x14ac:dyDescent="0.25">
      <c r="B38" s="246" t="s">
        <v>257</v>
      </c>
      <c r="C38" s="247">
        <f>C27+C32+C33+C34+C35+C29+C31+C30+C36+C37</f>
        <v>282153.25000000006</v>
      </c>
      <c r="D38" s="246"/>
      <c r="E38" s="248">
        <f t="shared" si="2"/>
        <v>0.97087377805595909</v>
      </c>
    </row>
    <row r="39" spans="2:12" ht="13.7" customHeight="1" x14ac:dyDescent="0.25">
      <c r="B39" s="246" t="s">
        <v>258</v>
      </c>
      <c r="C39" s="247">
        <f>ROUND(C38*3%,2)</f>
        <v>8464.6</v>
      </c>
      <c r="D39" s="246"/>
      <c r="E39" s="248">
        <f>C39/$C$38</f>
        <v>3.0000008860433112E-2</v>
      </c>
    </row>
    <row r="40" spans="2:12" x14ac:dyDescent="0.25">
      <c r="B40" s="246" t="s">
        <v>259</v>
      </c>
      <c r="C40" s="247">
        <f>C39+C38</f>
        <v>290617.85000000003</v>
      </c>
      <c r="D40" s="246"/>
      <c r="E40" s="248">
        <f>C40/$C$40</f>
        <v>1</v>
      </c>
    </row>
    <row r="41" spans="2:12" x14ac:dyDescent="0.25">
      <c r="B41" s="246" t="s">
        <v>260</v>
      </c>
      <c r="C41" s="247">
        <f>C40/'Прил.5 Расчет СМР и ОБ'!E82</f>
        <v>290617.85000000003</v>
      </c>
      <c r="D41" s="246"/>
      <c r="E41" s="246"/>
    </row>
    <row r="42" spans="2:12" x14ac:dyDescent="0.25">
      <c r="B42" s="245"/>
      <c r="C42" s="244"/>
      <c r="D42" s="244"/>
      <c r="E42" s="244"/>
    </row>
    <row r="43" spans="2:12" x14ac:dyDescent="0.25">
      <c r="B43" s="245" t="s">
        <v>261</v>
      </c>
      <c r="C43" s="244"/>
      <c r="D43" s="244"/>
      <c r="E43" s="244"/>
    </row>
    <row r="44" spans="2:12" x14ac:dyDescent="0.25">
      <c r="B44" s="245" t="s">
        <v>262</v>
      </c>
      <c r="C44" s="244"/>
      <c r="D44" s="244"/>
      <c r="E44" s="244"/>
    </row>
    <row r="45" spans="2:12" x14ac:dyDescent="0.25">
      <c r="B45" s="245"/>
      <c r="C45" s="244"/>
      <c r="D45" s="244"/>
      <c r="E45" s="244"/>
    </row>
    <row r="46" spans="2:12" x14ac:dyDescent="0.25">
      <c r="B46" s="245" t="s">
        <v>263</v>
      </c>
      <c r="C46" s="244"/>
      <c r="D46" s="244"/>
      <c r="E46" s="244"/>
    </row>
    <row r="47" spans="2:12" x14ac:dyDescent="0.25">
      <c r="B47" s="375" t="s">
        <v>264</v>
      </c>
      <c r="C47" s="375"/>
      <c r="D47" s="244"/>
      <c r="E47" s="244"/>
    </row>
    <row r="49" spans="2:5" x14ac:dyDescent="0.25">
      <c r="B49" s="244"/>
      <c r="C49" s="244"/>
      <c r="D49" s="244"/>
      <c r="E49" s="244"/>
    </row>
    <row r="50" spans="2:5" x14ac:dyDescent="0.25">
      <c r="B50" s="244"/>
      <c r="C50" s="244"/>
      <c r="D50" s="244"/>
      <c r="E50" s="24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88"/>
  <sheetViews>
    <sheetView view="pageBreakPreview" topLeftCell="A34" zoomScale="85" zoomScaleSheetLayoutView="85" workbookViewId="0">
      <selection activeCell="F50" sqref="F50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296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88" customFormat="1" x14ac:dyDescent="0.25">
      <c r="A1" s="187"/>
      <c r="B1" s="187"/>
      <c r="C1" s="187"/>
      <c r="D1" s="294"/>
      <c r="E1" s="187"/>
      <c r="F1" s="187"/>
      <c r="G1" s="187"/>
      <c r="H1" s="187"/>
      <c r="I1" s="187"/>
      <c r="J1" s="187"/>
      <c r="K1" s="187"/>
      <c r="L1" s="187"/>
      <c r="M1" s="187"/>
      <c r="N1" s="187"/>
    </row>
    <row r="2" spans="1:14" s="188" customFormat="1" ht="15.75" customHeight="1" x14ac:dyDescent="0.25">
      <c r="A2" s="187"/>
      <c r="B2" s="187"/>
      <c r="C2" s="187"/>
      <c r="D2" s="294"/>
      <c r="E2" s="187"/>
      <c r="F2" s="187"/>
      <c r="G2" s="187"/>
      <c r="H2" s="390" t="s">
        <v>265</v>
      </c>
      <c r="I2" s="390"/>
      <c r="J2" s="390"/>
      <c r="K2" s="187"/>
      <c r="L2" s="187"/>
      <c r="M2" s="187"/>
      <c r="N2" s="187"/>
    </row>
    <row r="3" spans="1:14" s="188" customFormat="1" x14ac:dyDescent="0.25">
      <c r="A3" s="187"/>
      <c r="B3" s="187"/>
      <c r="C3" s="187"/>
      <c r="D3" s="294"/>
      <c r="E3" s="187"/>
      <c r="F3" s="187"/>
      <c r="G3" s="187"/>
      <c r="H3" s="187"/>
      <c r="I3" s="187"/>
      <c r="J3" s="187"/>
      <c r="K3" s="187"/>
      <c r="L3" s="187"/>
      <c r="M3" s="187"/>
      <c r="N3" s="187"/>
    </row>
    <row r="4" spans="1:14" s="190" customFormat="1" ht="12.75" customHeight="1" x14ac:dyDescent="0.2">
      <c r="A4" s="347" t="s">
        <v>266</v>
      </c>
      <c r="B4" s="347"/>
      <c r="C4" s="347"/>
      <c r="D4" s="347"/>
      <c r="E4" s="347"/>
      <c r="F4" s="347"/>
      <c r="G4" s="347"/>
      <c r="H4" s="347"/>
      <c r="I4" s="347"/>
      <c r="J4" s="347"/>
    </row>
    <row r="5" spans="1:14" s="190" customFormat="1" ht="12.75" customHeight="1" x14ac:dyDescent="0.2">
      <c r="A5" s="189"/>
      <c r="B5" s="189"/>
      <c r="C5" s="191"/>
      <c r="D5" s="272"/>
      <c r="E5" s="189"/>
      <c r="F5" s="189"/>
      <c r="G5" s="189"/>
      <c r="H5" s="189"/>
      <c r="I5" s="189"/>
      <c r="J5" s="189"/>
    </row>
    <row r="6" spans="1:14" s="190" customFormat="1" ht="12.75" customHeight="1" x14ac:dyDescent="0.2">
      <c r="A6" s="223" t="s">
        <v>267</v>
      </c>
      <c r="B6" s="222"/>
      <c r="C6" s="222"/>
      <c r="D6" s="394" t="s">
        <v>268</v>
      </c>
      <c r="E6" s="394"/>
      <c r="F6" s="394"/>
      <c r="G6" s="394"/>
      <c r="H6" s="394"/>
      <c r="I6" s="394"/>
      <c r="J6" s="394"/>
    </row>
    <row r="7" spans="1:14" s="190" customFormat="1" ht="12.75" customHeight="1" x14ac:dyDescent="0.2">
      <c r="A7" s="350" t="s">
        <v>50</v>
      </c>
      <c r="B7" s="374"/>
      <c r="C7" s="374"/>
      <c r="D7" s="374"/>
      <c r="E7" s="374"/>
      <c r="F7" s="374"/>
      <c r="G7" s="374"/>
      <c r="H7" s="374"/>
      <c r="I7" s="192"/>
      <c r="J7" s="192"/>
    </row>
    <row r="8" spans="1:14" s="4" customFormat="1" ht="13.15" customHeight="1" x14ac:dyDescent="0.2">
      <c r="D8" s="1"/>
    </row>
    <row r="9" spans="1:14" s="188" customFormat="1" ht="27" customHeight="1" x14ac:dyDescent="0.25">
      <c r="A9" s="382" t="s">
        <v>13</v>
      </c>
      <c r="B9" s="382" t="s">
        <v>101</v>
      </c>
      <c r="C9" s="382" t="s">
        <v>226</v>
      </c>
      <c r="D9" s="382" t="s">
        <v>103</v>
      </c>
      <c r="E9" s="377" t="s">
        <v>269</v>
      </c>
      <c r="F9" s="391" t="s">
        <v>105</v>
      </c>
      <c r="G9" s="392"/>
      <c r="H9" s="377" t="s">
        <v>270</v>
      </c>
      <c r="I9" s="391" t="s">
        <v>271</v>
      </c>
      <c r="J9" s="392"/>
      <c r="K9" s="187"/>
      <c r="L9" s="187"/>
      <c r="M9" s="187"/>
      <c r="N9" s="187"/>
    </row>
    <row r="10" spans="1:14" s="188" customFormat="1" ht="28.5" customHeight="1" x14ac:dyDescent="0.25">
      <c r="A10" s="382"/>
      <c r="B10" s="382"/>
      <c r="C10" s="382"/>
      <c r="D10" s="382"/>
      <c r="E10" s="393"/>
      <c r="F10" s="155" t="s">
        <v>272</v>
      </c>
      <c r="G10" s="155" t="s">
        <v>107</v>
      </c>
      <c r="H10" s="393"/>
      <c r="I10" s="155" t="s">
        <v>272</v>
      </c>
      <c r="J10" s="155" t="s">
        <v>107</v>
      </c>
      <c r="K10" s="187"/>
      <c r="L10" s="187"/>
      <c r="M10" s="187"/>
      <c r="N10" s="187"/>
    </row>
    <row r="11" spans="1:14" s="188" customFormat="1" x14ac:dyDescent="0.25">
      <c r="A11" s="155">
        <v>1</v>
      </c>
      <c r="B11" s="155">
        <v>2</v>
      </c>
      <c r="C11" s="155">
        <v>3</v>
      </c>
      <c r="D11" s="271">
        <v>4</v>
      </c>
      <c r="E11" s="155">
        <v>5</v>
      </c>
      <c r="F11" s="155">
        <v>6</v>
      </c>
      <c r="G11" s="155">
        <v>7</v>
      </c>
      <c r="H11" s="155">
        <v>8</v>
      </c>
      <c r="I11" s="193">
        <v>9</v>
      </c>
      <c r="J11" s="193">
        <v>10</v>
      </c>
      <c r="K11" s="187"/>
      <c r="L11" s="187"/>
      <c r="M11" s="187"/>
      <c r="N11" s="187"/>
    </row>
    <row r="12" spans="1:14" x14ac:dyDescent="0.25">
      <c r="A12" s="2"/>
      <c r="B12" s="369" t="s">
        <v>273</v>
      </c>
      <c r="C12" s="381"/>
      <c r="D12" s="382"/>
      <c r="E12" s="383"/>
      <c r="F12" s="384"/>
      <c r="G12" s="384"/>
      <c r="H12" s="385"/>
      <c r="I12" s="198"/>
      <c r="J12" s="198"/>
    </row>
    <row r="13" spans="1:14" ht="25.5" customHeight="1" x14ac:dyDescent="0.25">
      <c r="A13" s="2">
        <v>1</v>
      </c>
      <c r="B13" s="220" t="s">
        <v>117</v>
      </c>
      <c r="C13" s="221" t="s">
        <v>274</v>
      </c>
      <c r="D13" s="271" t="s">
        <v>275</v>
      </c>
      <c r="E13" s="218">
        <f>G13/F13</f>
        <v>93.137214137214144</v>
      </c>
      <c r="F13" s="201">
        <v>9.6199999999999992</v>
      </c>
      <c r="G13" s="201">
        <f>Прил.3!H12</f>
        <v>895.98</v>
      </c>
      <c r="H13" s="215">
        <f>G13/G14</f>
        <v>1</v>
      </c>
      <c r="I13" s="200">
        <f>ФОТр.тек.!E13</f>
        <v>444.39870291576</v>
      </c>
      <c r="J13" s="200">
        <f>ROUND(I13*E13,2)</f>
        <v>41390.06</v>
      </c>
    </row>
    <row r="14" spans="1:14" s="14" customFormat="1" ht="25.5" customHeight="1" x14ac:dyDescent="0.2">
      <c r="A14" s="2"/>
      <c r="B14" s="2"/>
      <c r="C14" s="194" t="s">
        <v>276</v>
      </c>
      <c r="D14" s="269" t="s">
        <v>275</v>
      </c>
      <c r="E14" s="199">
        <f>SUM(E13:E13)</f>
        <v>93.137214137214144</v>
      </c>
      <c r="F14" s="28"/>
      <c r="G14" s="28">
        <f>SUM(G13:G13)</f>
        <v>895.98</v>
      </c>
      <c r="H14" s="197">
        <v>1</v>
      </c>
      <c r="I14" s="198"/>
      <c r="J14" s="201">
        <f>SUM(J13:J13)</f>
        <v>41390.06</v>
      </c>
    </row>
    <row r="15" spans="1:14" s="14" customFormat="1" ht="14.25" customHeight="1" x14ac:dyDescent="0.2">
      <c r="A15" s="2"/>
      <c r="B15" s="381" t="s">
        <v>119</v>
      </c>
      <c r="C15" s="381"/>
      <c r="D15" s="382"/>
      <c r="E15" s="383"/>
      <c r="F15" s="384"/>
      <c r="G15" s="384"/>
      <c r="H15" s="385"/>
      <c r="I15" s="198"/>
      <c r="J15" s="198"/>
    </row>
    <row r="16" spans="1:14" s="14" customFormat="1" ht="14.25" customHeight="1" x14ac:dyDescent="0.2">
      <c r="A16" s="2">
        <v>2</v>
      </c>
      <c r="B16" s="2">
        <v>2</v>
      </c>
      <c r="C16" s="9" t="s">
        <v>119</v>
      </c>
      <c r="D16" s="269" t="s">
        <v>275</v>
      </c>
      <c r="E16" s="199">
        <v>6.3554000000000004</v>
      </c>
      <c r="F16" s="307">
        <f>G16/E16</f>
        <v>13.830758095477862</v>
      </c>
      <c r="G16" s="28">
        <f>Прил.3!H17</f>
        <v>87.9</v>
      </c>
      <c r="H16" s="197">
        <v>1</v>
      </c>
      <c r="I16" s="200">
        <f>ROUND(F16*Прил.10!D11,2)</f>
        <v>612.55999999999995</v>
      </c>
      <c r="J16" s="200">
        <f>ROUND(I16*E16,2)</f>
        <v>3893.06</v>
      </c>
    </row>
    <row r="17" spans="1:12" s="14" customFormat="1" ht="14.25" customHeight="1" x14ac:dyDescent="0.2">
      <c r="A17" s="2"/>
      <c r="B17" s="369" t="s">
        <v>121</v>
      </c>
      <c r="C17" s="381"/>
      <c r="D17" s="382"/>
      <c r="E17" s="383"/>
      <c r="F17" s="384"/>
      <c r="G17" s="384"/>
      <c r="H17" s="385"/>
      <c r="I17" s="198"/>
      <c r="J17" s="198"/>
    </row>
    <row r="18" spans="1:12" s="14" customFormat="1" ht="14.25" customHeight="1" x14ac:dyDescent="0.2">
      <c r="A18" s="2"/>
      <c r="B18" s="381" t="s">
        <v>277</v>
      </c>
      <c r="C18" s="381"/>
      <c r="D18" s="382"/>
      <c r="E18" s="383"/>
      <c r="F18" s="384"/>
      <c r="G18" s="384"/>
      <c r="H18" s="385"/>
      <c r="I18" s="198"/>
      <c r="J18" s="198"/>
    </row>
    <row r="19" spans="1:12" s="14" customFormat="1" ht="25.5" customHeight="1" x14ac:dyDescent="0.2">
      <c r="A19" s="2">
        <v>3</v>
      </c>
      <c r="B19" s="273" t="s">
        <v>122</v>
      </c>
      <c r="C19" s="274" t="s">
        <v>123</v>
      </c>
      <c r="D19" s="275" t="s">
        <v>124</v>
      </c>
      <c r="E19" s="299">
        <v>2.48</v>
      </c>
      <c r="F19" s="276">
        <v>197.01</v>
      </c>
      <c r="G19" s="217">
        <f>ROUND(E19*F19,2)</f>
        <v>488.58</v>
      </c>
      <c r="H19" s="219">
        <f>G19/$G$30</f>
        <v>0.38334431786084172</v>
      </c>
      <c r="I19" s="201">
        <f>ROUND(F19*Прил.10!$D$12,2)</f>
        <v>2653.72</v>
      </c>
      <c r="J19" s="201">
        <f>ROUND(I19*E19,2)</f>
        <v>6581.23</v>
      </c>
    </row>
    <row r="20" spans="1:12" s="14" customFormat="1" ht="25.5" customHeight="1" x14ac:dyDescent="0.2">
      <c r="A20" s="2">
        <v>4</v>
      </c>
      <c r="B20" s="273" t="s">
        <v>125</v>
      </c>
      <c r="C20" s="274" t="s">
        <v>126</v>
      </c>
      <c r="D20" s="275" t="s">
        <v>124</v>
      </c>
      <c r="E20" s="299">
        <v>3.8090999999999999</v>
      </c>
      <c r="F20" s="276">
        <v>111.99</v>
      </c>
      <c r="G20" s="217">
        <f>ROUND(E20*F20,2)</f>
        <v>426.58</v>
      </c>
      <c r="H20" s="219">
        <f>G20/$G$30</f>
        <v>0.33469855318080532</v>
      </c>
      <c r="I20" s="201">
        <f>ROUND(F20*Прил.10!$D$12,2)</f>
        <v>1508.51</v>
      </c>
      <c r="J20" s="201">
        <f>ROUND(I20*E20,2)</f>
        <v>5746.07</v>
      </c>
    </row>
    <row r="21" spans="1:12" s="14" customFormat="1" ht="25.5" customHeight="1" x14ac:dyDescent="0.2">
      <c r="A21" s="2">
        <v>5</v>
      </c>
      <c r="B21" s="273" t="s">
        <v>127</v>
      </c>
      <c r="C21" s="274" t="s">
        <v>128</v>
      </c>
      <c r="D21" s="275" t="s">
        <v>124</v>
      </c>
      <c r="E21" s="299">
        <v>2.8767999999999998</v>
      </c>
      <c r="F21" s="276">
        <v>65.709999999999994</v>
      </c>
      <c r="G21" s="217">
        <f>ROUND(E21*F21,2)</f>
        <v>189.03</v>
      </c>
      <c r="H21" s="219">
        <f>G21/$G$30</f>
        <v>0.14831465963656906</v>
      </c>
      <c r="I21" s="201">
        <f>ROUND(F21*Прил.10!$D$12,2)</f>
        <v>885.11</v>
      </c>
      <c r="J21" s="201">
        <f>ROUND(I21*E21,2)</f>
        <v>2546.2800000000002</v>
      </c>
    </row>
    <row r="22" spans="1:12" s="14" customFormat="1" ht="14.25" customHeight="1" x14ac:dyDescent="0.2">
      <c r="A22" s="2"/>
      <c r="B22" s="2"/>
      <c r="C22" s="9" t="s">
        <v>278</v>
      </c>
      <c r="D22" s="269"/>
      <c r="E22" s="199"/>
      <c r="F22" s="28"/>
      <c r="G22" s="28">
        <f>SUM(G19:G21)</f>
        <v>1104.19</v>
      </c>
      <c r="H22" s="197">
        <f>G22/G30</f>
        <v>0.86635753067821619</v>
      </c>
      <c r="I22" s="202"/>
      <c r="J22" s="28">
        <f>SUM(J19:J21)</f>
        <v>14873.58</v>
      </c>
    </row>
    <row r="23" spans="1:12" s="14" customFormat="1" ht="25.5" customHeight="1" outlineLevel="1" x14ac:dyDescent="0.2">
      <c r="A23" s="2">
        <v>6</v>
      </c>
      <c r="B23" s="273" t="s">
        <v>129</v>
      </c>
      <c r="C23" s="274" t="s">
        <v>130</v>
      </c>
      <c r="D23" s="275" t="s">
        <v>124</v>
      </c>
      <c r="E23" s="299">
        <v>17.000800000000002</v>
      </c>
      <c r="F23" s="276">
        <v>8.1</v>
      </c>
      <c r="G23" s="217">
        <f t="shared" ref="G23:G28" si="0">ROUND(E23*F23,2)</f>
        <v>137.71</v>
      </c>
      <c r="H23" s="219">
        <f t="shared" ref="H23:H28" si="1">G23/$G$30</f>
        <v>0.10804852022722281</v>
      </c>
      <c r="I23" s="201">
        <f>ROUND(F23*Прил.10!$D$12,2)</f>
        <v>109.11</v>
      </c>
      <c r="J23" s="201">
        <f t="shared" ref="J23:J28" si="2">ROUND(I23*E23,2)</f>
        <v>1854.96</v>
      </c>
    </row>
    <row r="24" spans="1:12" s="14" customFormat="1" ht="25.5" customHeight="1" outlineLevel="1" x14ac:dyDescent="0.2">
      <c r="A24" s="2">
        <v>7</v>
      </c>
      <c r="B24" s="273" t="s">
        <v>131</v>
      </c>
      <c r="C24" s="274" t="s">
        <v>132</v>
      </c>
      <c r="D24" s="275" t="s">
        <v>124</v>
      </c>
      <c r="E24" s="299">
        <v>4.6440000000000001</v>
      </c>
      <c r="F24" s="276">
        <v>3.28</v>
      </c>
      <c r="G24" s="217">
        <f t="shared" si="0"/>
        <v>15.23</v>
      </c>
      <c r="H24" s="219">
        <f t="shared" si="1"/>
        <v>1.1949596710918621E-2</v>
      </c>
      <c r="I24" s="201">
        <f>ROUND(F24*Прил.10!$D$12,2)</f>
        <v>44.18</v>
      </c>
      <c r="J24" s="201">
        <f t="shared" si="2"/>
        <v>205.17</v>
      </c>
    </row>
    <row r="25" spans="1:12" s="14" customFormat="1" ht="14.25" customHeight="1" outlineLevel="1" x14ac:dyDescent="0.2">
      <c r="A25" s="269">
        <v>8</v>
      </c>
      <c r="B25" s="273" t="s">
        <v>133</v>
      </c>
      <c r="C25" s="274" t="s">
        <v>134</v>
      </c>
      <c r="D25" s="275" t="s">
        <v>124</v>
      </c>
      <c r="E25" s="299">
        <v>3.9049999999999998</v>
      </c>
      <c r="F25" s="276">
        <v>2.08</v>
      </c>
      <c r="G25" s="217">
        <f t="shared" si="0"/>
        <v>8.1199999999999992</v>
      </c>
      <c r="H25" s="219">
        <f t="shared" si="1"/>
        <v>6.3710259548692832E-3</v>
      </c>
      <c r="I25" s="201">
        <f>ROUND(F25*Прил.10!$D$12,2)</f>
        <v>28.02</v>
      </c>
      <c r="J25" s="201">
        <f t="shared" si="2"/>
        <v>109.42</v>
      </c>
    </row>
    <row r="26" spans="1:12" s="14" customFormat="1" ht="38.25" customHeight="1" outlineLevel="1" x14ac:dyDescent="0.2">
      <c r="A26" s="269">
        <v>9</v>
      </c>
      <c r="B26" s="273" t="s">
        <v>135</v>
      </c>
      <c r="C26" s="274" t="s">
        <v>136</v>
      </c>
      <c r="D26" s="275" t="s">
        <v>124</v>
      </c>
      <c r="E26" s="299">
        <v>6.6299999999999998E-2</v>
      </c>
      <c r="F26" s="276">
        <v>70.010000000000005</v>
      </c>
      <c r="G26" s="217">
        <f t="shared" si="0"/>
        <v>4.6399999999999997</v>
      </c>
      <c r="H26" s="219">
        <f t="shared" si="1"/>
        <v>3.6405862599253051E-3</v>
      </c>
      <c r="I26" s="201">
        <f>ROUND(F26*Прил.10!$D$12,2)</f>
        <v>943.03</v>
      </c>
      <c r="J26" s="201">
        <f t="shared" si="2"/>
        <v>62.52</v>
      </c>
    </row>
    <row r="27" spans="1:12" s="14" customFormat="1" ht="25.5" customHeight="1" outlineLevel="1" x14ac:dyDescent="0.2">
      <c r="A27" s="269">
        <v>10</v>
      </c>
      <c r="B27" s="273" t="s">
        <v>137</v>
      </c>
      <c r="C27" s="274" t="s">
        <v>138</v>
      </c>
      <c r="D27" s="275" t="s">
        <v>124</v>
      </c>
      <c r="E27" s="299">
        <v>4.6440000000000001</v>
      </c>
      <c r="F27" s="276">
        <v>0.9</v>
      </c>
      <c r="G27" s="217">
        <f t="shared" si="0"/>
        <v>4.18</v>
      </c>
      <c r="H27" s="219">
        <f t="shared" si="1"/>
        <v>3.2796660703637444E-3</v>
      </c>
      <c r="I27" s="201">
        <f>ROUND(F27*Прил.10!$D$12,2)</f>
        <v>12.12</v>
      </c>
      <c r="J27" s="201">
        <f t="shared" si="2"/>
        <v>56.29</v>
      </c>
    </row>
    <row r="28" spans="1:12" s="14" customFormat="1" ht="14.25" customHeight="1" outlineLevel="1" x14ac:dyDescent="0.2">
      <c r="A28" s="269">
        <v>11</v>
      </c>
      <c r="B28" s="273" t="s">
        <v>139</v>
      </c>
      <c r="C28" s="274" t="s">
        <v>140</v>
      </c>
      <c r="D28" s="275" t="s">
        <v>124</v>
      </c>
      <c r="E28" s="299">
        <v>0.2379</v>
      </c>
      <c r="F28" s="276">
        <v>1.9</v>
      </c>
      <c r="G28" s="217">
        <f t="shared" si="0"/>
        <v>0.45</v>
      </c>
      <c r="H28" s="219">
        <f t="shared" si="1"/>
        <v>3.5307409848413522E-4</v>
      </c>
      <c r="I28" s="201">
        <f>ROUND(F28*Прил.10!$D$12,2)</f>
        <v>25.59</v>
      </c>
      <c r="J28" s="201">
        <f t="shared" si="2"/>
        <v>6.09</v>
      </c>
    </row>
    <row r="29" spans="1:12" s="14" customFormat="1" ht="14.25" customHeight="1" x14ac:dyDescent="0.2">
      <c r="A29" s="2"/>
      <c r="B29" s="2"/>
      <c r="C29" s="9" t="s">
        <v>279</v>
      </c>
      <c r="D29" s="269"/>
      <c r="E29" s="195"/>
      <c r="F29" s="28"/>
      <c r="G29" s="202">
        <f>SUM(G23:G28)</f>
        <v>170.32999999999998</v>
      </c>
      <c r="H29" s="203">
        <f>G29/G30</f>
        <v>0.13364246932178386</v>
      </c>
      <c r="I29" s="204"/>
      <c r="J29" s="204">
        <f>SUM(J23:J28)</f>
        <v>2294.4500000000003</v>
      </c>
    </row>
    <row r="30" spans="1:12" s="14" customFormat="1" ht="25.5" customHeight="1" x14ac:dyDescent="0.2">
      <c r="A30" s="2"/>
      <c r="B30" s="2"/>
      <c r="C30" s="194" t="s">
        <v>280</v>
      </c>
      <c r="D30" s="269"/>
      <c r="E30" s="195"/>
      <c r="F30" s="28"/>
      <c r="G30" s="28">
        <f>G29+G22</f>
        <v>1274.52</v>
      </c>
      <c r="H30" s="205">
        <v>1</v>
      </c>
      <c r="I30" s="206"/>
      <c r="J30" s="207">
        <f>J29+J22</f>
        <v>17168.03</v>
      </c>
    </row>
    <row r="31" spans="1:12" s="14" customFormat="1" ht="14.25" customHeight="1" x14ac:dyDescent="0.2">
      <c r="A31" s="2"/>
      <c r="B31" s="369" t="s">
        <v>43</v>
      </c>
      <c r="C31" s="369"/>
      <c r="D31" s="386"/>
      <c r="E31" s="387"/>
      <c r="F31" s="388"/>
      <c r="G31" s="388"/>
      <c r="H31" s="389"/>
      <c r="I31" s="198"/>
      <c r="J31" s="198"/>
    </row>
    <row r="32" spans="1:12" x14ac:dyDescent="0.25">
      <c r="A32" s="136"/>
      <c r="B32" s="381" t="s">
        <v>281</v>
      </c>
      <c r="C32" s="381"/>
      <c r="D32" s="382"/>
      <c r="E32" s="383"/>
      <c r="F32" s="384"/>
      <c r="G32" s="384"/>
      <c r="H32" s="385"/>
      <c r="I32" s="211"/>
      <c r="J32" s="211"/>
      <c r="K32" s="208"/>
      <c r="L32" s="208"/>
    </row>
    <row r="33" spans="1:12" s="14" customFormat="1" ht="25.5" customHeight="1" x14ac:dyDescent="0.2">
      <c r="A33" s="232">
        <v>12</v>
      </c>
      <c r="B33" s="273" t="s">
        <v>282</v>
      </c>
      <c r="C33" s="287" t="s">
        <v>283</v>
      </c>
      <c r="D33" s="297" t="s">
        <v>143</v>
      </c>
      <c r="E33" s="298">
        <v>1</v>
      </c>
      <c r="F33" s="309">
        <f>ROUND(I33/Прил.10!D14,2)</f>
        <v>3642.45</v>
      </c>
      <c r="G33" s="217">
        <f>ROUND(E33*F33,2)</f>
        <v>3642.45</v>
      </c>
      <c r="H33" s="203">
        <f>G33/$G$37</f>
        <v>0.76849314201441854</v>
      </c>
      <c r="I33" s="287">
        <v>22801.75</v>
      </c>
      <c r="J33" s="201">
        <f>ROUND(I33*E33,2)</f>
        <v>22801.75</v>
      </c>
    </row>
    <row r="34" spans="1:12" s="14" customFormat="1" ht="14.25" customHeight="1" x14ac:dyDescent="0.2">
      <c r="A34" s="232">
        <v>13</v>
      </c>
      <c r="B34" s="300" t="s">
        <v>144</v>
      </c>
      <c r="C34" s="287" t="s">
        <v>145</v>
      </c>
      <c r="D34" s="297" t="s">
        <v>146</v>
      </c>
      <c r="E34" s="298">
        <v>1</v>
      </c>
      <c r="F34" s="287">
        <v>1097.28</v>
      </c>
      <c r="G34" s="217">
        <f>ROUND(E34*F34,2)</f>
        <v>1097.28</v>
      </c>
      <c r="H34" s="203">
        <f>G34/$G$37</f>
        <v>0.23150685798558146</v>
      </c>
      <c r="I34" s="287">
        <f>ROUND(F34*Прил.10!$D$14,2)</f>
        <v>6868.97</v>
      </c>
      <c r="J34" s="201">
        <f>ROUND(I34*E34,2)</f>
        <v>6868.97</v>
      </c>
    </row>
    <row r="35" spans="1:12" x14ac:dyDescent="0.25">
      <c r="A35" s="226"/>
      <c r="B35" s="136"/>
      <c r="C35" s="137" t="s">
        <v>284</v>
      </c>
      <c r="D35" s="216"/>
      <c r="E35" s="267"/>
      <c r="F35" s="138"/>
      <c r="G35" s="164">
        <f>G33+G34</f>
        <v>4739.7299999999996</v>
      </c>
      <c r="H35" s="203">
        <f>G35/$G$37</f>
        <v>1</v>
      </c>
      <c r="I35" s="212"/>
      <c r="J35" s="164">
        <f>J33+J34</f>
        <v>29670.720000000001</v>
      </c>
      <c r="K35" s="208"/>
      <c r="L35" s="208"/>
    </row>
    <row r="36" spans="1:12" x14ac:dyDescent="0.25">
      <c r="A36" s="226"/>
      <c r="B36" s="304"/>
      <c r="C36" s="303" t="s">
        <v>285</v>
      </c>
      <c r="D36" s="306"/>
      <c r="E36" s="267"/>
      <c r="F36" s="305"/>
      <c r="G36" s="164">
        <v>0</v>
      </c>
      <c r="H36" s="203">
        <f>G36/$G$37</f>
        <v>0</v>
      </c>
      <c r="I36" s="212"/>
      <c r="J36" s="164">
        <v>0</v>
      </c>
      <c r="K36" s="208"/>
      <c r="L36" s="208"/>
    </row>
    <row r="37" spans="1:12" x14ac:dyDescent="0.25">
      <c r="A37" s="136"/>
      <c r="B37" s="136"/>
      <c r="C37" s="139" t="s">
        <v>286</v>
      </c>
      <c r="D37" s="270"/>
      <c r="E37" s="209"/>
      <c r="F37" s="138"/>
      <c r="G37" s="164">
        <f>G35+G36</f>
        <v>4739.7299999999996</v>
      </c>
      <c r="H37" s="203">
        <f>G37/$G$37</f>
        <v>1</v>
      </c>
      <c r="I37" s="212"/>
      <c r="J37" s="164">
        <f>J35+J36</f>
        <v>29670.720000000001</v>
      </c>
      <c r="K37" s="208"/>
      <c r="L37" s="208"/>
    </row>
    <row r="38" spans="1:12" ht="25.5" customHeight="1" x14ac:dyDescent="0.25">
      <c r="A38" s="136"/>
      <c r="B38" s="136"/>
      <c r="C38" s="137" t="s">
        <v>287</v>
      </c>
      <c r="D38" s="270"/>
      <c r="E38" s="213"/>
      <c r="F38" s="138"/>
      <c r="G38" s="164">
        <f>'Прил.6 Расчет ОБ'!G14</f>
        <v>4739.7299999999996</v>
      </c>
      <c r="H38" s="210"/>
      <c r="I38" s="212"/>
      <c r="J38" s="164">
        <f>J37</f>
        <v>29670.720000000001</v>
      </c>
      <c r="K38" s="208"/>
      <c r="L38" s="208"/>
    </row>
    <row r="39" spans="1:12" s="14" customFormat="1" ht="14.25" customHeight="1" x14ac:dyDescent="0.2">
      <c r="A39" s="2"/>
      <c r="B39" s="369" t="s">
        <v>147</v>
      </c>
      <c r="C39" s="369"/>
      <c r="D39" s="386"/>
      <c r="E39" s="387"/>
      <c r="F39" s="388"/>
      <c r="G39" s="388"/>
      <c r="H39" s="389"/>
      <c r="I39" s="198"/>
      <c r="J39" s="198"/>
    </row>
    <row r="40" spans="1:12" s="14" customFormat="1" ht="14.25" customHeight="1" x14ac:dyDescent="0.2">
      <c r="A40" s="224"/>
      <c r="B40" s="376" t="s">
        <v>288</v>
      </c>
      <c r="C40" s="376"/>
      <c r="D40" s="377"/>
      <c r="E40" s="378"/>
      <c r="F40" s="379"/>
      <c r="G40" s="379"/>
      <c r="H40" s="380"/>
      <c r="I40" s="225"/>
      <c r="J40" s="225"/>
    </row>
    <row r="41" spans="1:12" s="14" customFormat="1" ht="51" customHeight="1" x14ac:dyDescent="0.2">
      <c r="A41" s="232">
        <v>14</v>
      </c>
      <c r="B41" s="273" t="s">
        <v>148</v>
      </c>
      <c r="C41" s="274" t="s">
        <v>149</v>
      </c>
      <c r="D41" s="275" t="s">
        <v>150</v>
      </c>
      <c r="E41" s="299">
        <v>0.61199999999999999</v>
      </c>
      <c r="F41" s="276">
        <v>8128</v>
      </c>
      <c r="G41" s="217">
        <f>ROUND(E41*F41,2)</f>
        <v>4974.34</v>
      </c>
      <c r="H41" s="203">
        <f t="shared" ref="H41:H76" si="3">G41/$G$76</f>
        <v>0.41689001526983693</v>
      </c>
      <c r="I41" s="201">
        <f>ROUND(F41*Прил.10!$D$13,2)</f>
        <v>65349.120000000003</v>
      </c>
      <c r="J41" s="201">
        <f>ROUND(I41*E41,2)</f>
        <v>39993.660000000003</v>
      </c>
    </row>
    <row r="42" spans="1:12" s="14" customFormat="1" ht="38.25" customHeight="1" x14ac:dyDescent="0.2">
      <c r="A42" s="232">
        <v>15</v>
      </c>
      <c r="B42" s="273" t="s">
        <v>151</v>
      </c>
      <c r="C42" s="274" t="s">
        <v>152</v>
      </c>
      <c r="D42" s="275" t="s">
        <v>150</v>
      </c>
      <c r="E42" s="299">
        <v>0.58799999999999997</v>
      </c>
      <c r="F42" s="276">
        <v>5999.99</v>
      </c>
      <c r="G42" s="217">
        <f>ROUND(E42*F42,2)</f>
        <v>3527.99</v>
      </c>
      <c r="H42" s="203">
        <f t="shared" si="3"/>
        <v>0.29567416078752801</v>
      </c>
      <c r="I42" s="201">
        <f>ROUND(F42*Прил.10!$D$13,2)</f>
        <v>48239.92</v>
      </c>
      <c r="J42" s="201">
        <f>ROUND(I42*E42,2)</f>
        <v>28365.07</v>
      </c>
    </row>
    <row r="43" spans="1:12" s="14" customFormat="1" ht="51" customHeight="1" x14ac:dyDescent="0.2">
      <c r="A43" s="232">
        <v>16</v>
      </c>
      <c r="B43" s="273" t="s">
        <v>153</v>
      </c>
      <c r="C43" s="274" t="s">
        <v>154</v>
      </c>
      <c r="D43" s="275" t="s">
        <v>155</v>
      </c>
      <c r="E43" s="299">
        <v>107.2</v>
      </c>
      <c r="F43" s="276">
        <v>8.2799999999999994</v>
      </c>
      <c r="G43" s="217">
        <f>ROUND(E43*F43,2)</f>
        <v>887.62</v>
      </c>
      <c r="H43" s="203">
        <f t="shared" si="3"/>
        <v>7.4389751274302252E-2</v>
      </c>
      <c r="I43" s="201">
        <f>ROUND(F43*Прил.10!$D$13,2)</f>
        <v>66.569999999999993</v>
      </c>
      <c r="J43" s="201">
        <f>ROUND(I43*E43,2)</f>
        <v>7136.3</v>
      </c>
    </row>
    <row r="44" spans="1:12" s="14" customFormat="1" ht="14.25" customHeight="1" x14ac:dyDescent="0.2">
      <c r="A44" s="232">
        <v>17</v>
      </c>
      <c r="B44" s="273" t="s">
        <v>156</v>
      </c>
      <c r="C44" s="274" t="s">
        <v>157</v>
      </c>
      <c r="D44" s="275" t="s">
        <v>158</v>
      </c>
      <c r="E44" s="299">
        <v>1</v>
      </c>
      <c r="F44" s="276">
        <v>682</v>
      </c>
      <c r="G44" s="217">
        <f>ROUND(E44*F44,2)</f>
        <v>682</v>
      </c>
      <c r="H44" s="203">
        <f t="shared" si="3"/>
        <v>5.7157128466093755E-2</v>
      </c>
      <c r="I44" s="201">
        <f>ROUND(F44*Прил.10!$D$13,2)</f>
        <v>5483.28</v>
      </c>
      <c r="J44" s="201">
        <f>ROUND(I44*E44,2)</f>
        <v>5483.28</v>
      </c>
    </row>
    <row r="45" spans="1:12" s="14" customFormat="1" ht="25.5" customHeight="1" x14ac:dyDescent="0.2">
      <c r="A45" s="232">
        <v>18</v>
      </c>
      <c r="B45" s="273" t="s">
        <v>159</v>
      </c>
      <c r="C45" s="274" t="s">
        <v>160</v>
      </c>
      <c r="D45" s="275" t="s">
        <v>161</v>
      </c>
      <c r="E45" s="299">
        <v>0.03</v>
      </c>
      <c r="F45" s="276">
        <v>17230.189999999999</v>
      </c>
      <c r="G45" s="217">
        <f>ROUND(E45*F45,2)</f>
        <v>516.91</v>
      </c>
      <c r="H45" s="203">
        <f t="shared" si="3"/>
        <v>4.3321248204411321E-2</v>
      </c>
      <c r="I45" s="201">
        <f>ROUND(F45*Прил.10!$D$13,2)</f>
        <v>138530.73000000001</v>
      </c>
      <c r="J45" s="201">
        <f>ROUND(I45*E45,2)</f>
        <v>4155.92</v>
      </c>
    </row>
    <row r="46" spans="1:12" s="14" customFormat="1" ht="14.25" customHeight="1" x14ac:dyDescent="0.2">
      <c r="A46" s="226"/>
      <c r="B46" s="227"/>
      <c r="C46" s="228" t="s">
        <v>289</v>
      </c>
      <c r="D46" s="229"/>
      <c r="E46" s="268"/>
      <c r="F46" s="230"/>
      <c r="G46" s="231">
        <f>SUM(G41:G45)</f>
        <v>10588.86</v>
      </c>
      <c r="H46" s="203">
        <f t="shared" si="3"/>
        <v>0.88743230400217232</v>
      </c>
      <c r="I46" s="201"/>
      <c r="J46" s="231">
        <f>SUM(J41:J45)</f>
        <v>85134.23000000001</v>
      </c>
    </row>
    <row r="47" spans="1:12" s="14" customFormat="1" ht="14.25" customHeight="1" outlineLevel="1" x14ac:dyDescent="0.2">
      <c r="A47" s="232">
        <v>19</v>
      </c>
      <c r="B47" s="273" t="s">
        <v>162</v>
      </c>
      <c r="C47" s="274" t="s">
        <v>163</v>
      </c>
      <c r="D47" s="275" t="s">
        <v>164</v>
      </c>
      <c r="E47" s="299">
        <v>1.1000000000000001</v>
      </c>
      <c r="F47" s="276">
        <v>277.5</v>
      </c>
      <c r="G47" s="217">
        <f t="shared" ref="G47:G74" si="4">ROUND(E47*F47,2)</f>
        <v>305.25</v>
      </c>
      <c r="H47" s="203">
        <f t="shared" si="3"/>
        <v>2.5582424434420995E-2</v>
      </c>
      <c r="I47" s="201">
        <f>ROUND(F47*Прил.10!$D$13,2)</f>
        <v>2231.1</v>
      </c>
      <c r="J47" s="201">
        <f t="shared" ref="J47:J74" si="5">ROUND(I47*E47,2)</f>
        <v>2454.21</v>
      </c>
    </row>
    <row r="48" spans="1:12" s="14" customFormat="1" ht="38.25" customHeight="1" outlineLevel="1" x14ac:dyDescent="0.2">
      <c r="A48" s="232">
        <v>20</v>
      </c>
      <c r="B48" s="273" t="s">
        <v>165</v>
      </c>
      <c r="C48" s="274" t="s">
        <v>166</v>
      </c>
      <c r="D48" s="275" t="s">
        <v>150</v>
      </c>
      <c r="E48" s="299">
        <v>5.6649999999999999E-2</v>
      </c>
      <c r="F48" s="276">
        <v>5000</v>
      </c>
      <c r="G48" s="217">
        <f t="shared" si="4"/>
        <v>283.25</v>
      </c>
      <c r="H48" s="203">
        <f t="shared" si="3"/>
        <v>2.3738646096805066E-2</v>
      </c>
      <c r="I48" s="201">
        <f>ROUND(F48*Прил.10!$D$13,2)</f>
        <v>40200</v>
      </c>
      <c r="J48" s="201">
        <f t="shared" si="5"/>
        <v>2277.33</v>
      </c>
    </row>
    <row r="49" spans="1:10" s="14" customFormat="1" ht="25.5" customHeight="1" outlineLevel="1" x14ac:dyDescent="0.2">
      <c r="A49" s="232">
        <v>21</v>
      </c>
      <c r="B49" s="273" t="s">
        <v>167</v>
      </c>
      <c r="C49" s="274" t="s">
        <v>168</v>
      </c>
      <c r="D49" s="275" t="s">
        <v>150</v>
      </c>
      <c r="E49" s="299">
        <v>0.02</v>
      </c>
      <c r="F49" s="276">
        <v>11500</v>
      </c>
      <c r="G49" s="217">
        <f t="shared" si="4"/>
        <v>230</v>
      </c>
      <c r="H49" s="203">
        <f t="shared" si="3"/>
        <v>1.927586443871197E-2</v>
      </c>
      <c r="I49" s="201">
        <f>ROUND(F49*Прил.10!$D$13,2)</f>
        <v>92460</v>
      </c>
      <c r="J49" s="201">
        <f t="shared" si="5"/>
        <v>1849.2</v>
      </c>
    </row>
    <row r="50" spans="1:10" s="14" customFormat="1" ht="38.25" customHeight="1" outlineLevel="1" x14ac:dyDescent="0.2">
      <c r="A50" s="232">
        <v>22</v>
      </c>
      <c r="B50" s="273" t="s">
        <v>169</v>
      </c>
      <c r="C50" s="274" t="s">
        <v>170</v>
      </c>
      <c r="D50" s="275" t="s">
        <v>158</v>
      </c>
      <c r="E50" s="299">
        <v>0.28999999999999998</v>
      </c>
      <c r="F50" s="276">
        <v>600</v>
      </c>
      <c r="G50" s="217">
        <f t="shared" si="4"/>
        <v>174</v>
      </c>
      <c r="H50" s="203">
        <f t="shared" si="3"/>
        <v>1.4582610488416881E-2</v>
      </c>
      <c r="I50" s="201">
        <f>ROUND(F50*Прил.10!$D$13,2)</f>
        <v>4824</v>
      </c>
      <c r="J50" s="201">
        <f t="shared" si="5"/>
        <v>1398.96</v>
      </c>
    </row>
    <row r="51" spans="1:10" s="14" customFormat="1" ht="25.5" customHeight="1" outlineLevel="1" x14ac:dyDescent="0.2">
      <c r="A51" s="232">
        <v>23</v>
      </c>
      <c r="B51" s="273" t="s">
        <v>171</v>
      </c>
      <c r="C51" s="274" t="s">
        <v>172</v>
      </c>
      <c r="D51" s="275" t="s">
        <v>161</v>
      </c>
      <c r="E51" s="299">
        <v>0.1</v>
      </c>
      <c r="F51" s="276">
        <v>887.03</v>
      </c>
      <c r="G51" s="217">
        <f t="shared" si="4"/>
        <v>88.7</v>
      </c>
      <c r="H51" s="203">
        <f t="shared" si="3"/>
        <v>7.4337790248423987E-3</v>
      </c>
      <c r="I51" s="201">
        <f>ROUND(F51*Прил.10!$D$13,2)</f>
        <v>7131.72</v>
      </c>
      <c r="J51" s="201">
        <f t="shared" si="5"/>
        <v>713.17</v>
      </c>
    </row>
    <row r="52" spans="1:10" s="14" customFormat="1" ht="25.5" customHeight="1" outlineLevel="1" x14ac:dyDescent="0.2">
      <c r="A52" s="232">
        <v>24</v>
      </c>
      <c r="B52" s="273" t="s">
        <v>173</v>
      </c>
      <c r="C52" s="274" t="s">
        <v>174</v>
      </c>
      <c r="D52" s="275" t="s">
        <v>150</v>
      </c>
      <c r="E52" s="299">
        <v>6.9999999999999999E-4</v>
      </c>
      <c r="F52" s="276">
        <v>86162.5</v>
      </c>
      <c r="G52" s="217">
        <f t="shared" si="4"/>
        <v>60.31</v>
      </c>
      <c r="H52" s="203">
        <f t="shared" si="3"/>
        <v>5.0544668882552997E-3</v>
      </c>
      <c r="I52" s="201">
        <f>ROUND(F52*Прил.10!$D$13,2)</f>
        <v>692746.5</v>
      </c>
      <c r="J52" s="201">
        <f t="shared" si="5"/>
        <v>484.92</v>
      </c>
    </row>
    <row r="53" spans="1:10" s="14" customFormat="1" ht="25.5" customHeight="1" outlineLevel="1" x14ac:dyDescent="0.2">
      <c r="A53" s="232">
        <v>25</v>
      </c>
      <c r="B53" s="273" t="s">
        <v>175</v>
      </c>
      <c r="C53" s="274" t="s">
        <v>176</v>
      </c>
      <c r="D53" s="275" t="s">
        <v>161</v>
      </c>
      <c r="E53" s="299">
        <v>0.03</v>
      </c>
      <c r="F53" s="276">
        <v>1335.52</v>
      </c>
      <c r="G53" s="217">
        <f t="shared" si="4"/>
        <v>40.07</v>
      </c>
      <c r="H53" s="203">
        <f t="shared" si="3"/>
        <v>3.3581908176486463E-3</v>
      </c>
      <c r="I53" s="201">
        <f>ROUND(F53*Прил.10!$D$13,2)</f>
        <v>10737.58</v>
      </c>
      <c r="J53" s="201">
        <f t="shared" si="5"/>
        <v>322.13</v>
      </c>
    </row>
    <row r="54" spans="1:10" s="14" customFormat="1" ht="25.5" customHeight="1" outlineLevel="1" x14ac:dyDescent="0.2">
      <c r="A54" s="232">
        <v>26</v>
      </c>
      <c r="B54" s="273" t="s">
        <v>177</v>
      </c>
      <c r="C54" s="274" t="s">
        <v>178</v>
      </c>
      <c r="D54" s="275" t="s">
        <v>150</v>
      </c>
      <c r="E54" s="299">
        <v>2.398E-3</v>
      </c>
      <c r="F54" s="276">
        <v>12430</v>
      </c>
      <c r="G54" s="217">
        <f t="shared" si="4"/>
        <v>29.81</v>
      </c>
      <c r="H54" s="203">
        <f t="shared" si="3"/>
        <v>2.4983196474695816E-3</v>
      </c>
      <c r="I54" s="201">
        <f>ROUND(F54*Прил.10!$D$13,2)</f>
        <v>99937.2</v>
      </c>
      <c r="J54" s="201">
        <f t="shared" si="5"/>
        <v>239.65</v>
      </c>
    </row>
    <row r="55" spans="1:10" s="14" customFormat="1" ht="14.25" customHeight="1" outlineLevel="1" x14ac:dyDescent="0.2">
      <c r="A55" s="232">
        <v>27</v>
      </c>
      <c r="B55" s="273" t="s">
        <v>179</v>
      </c>
      <c r="C55" s="274" t="s">
        <v>180</v>
      </c>
      <c r="D55" s="275" t="s">
        <v>164</v>
      </c>
      <c r="E55" s="299">
        <v>0.55000000000000004</v>
      </c>
      <c r="F55" s="276">
        <v>39</v>
      </c>
      <c r="G55" s="217">
        <f t="shared" si="4"/>
        <v>21.45</v>
      </c>
      <c r="H55" s="203">
        <f t="shared" si="3"/>
        <v>1.7976838791755293E-3</v>
      </c>
      <c r="I55" s="201">
        <f>ROUND(F55*Прил.10!$D$13,2)</f>
        <v>313.56</v>
      </c>
      <c r="J55" s="201">
        <f t="shared" si="5"/>
        <v>172.46</v>
      </c>
    </row>
    <row r="56" spans="1:10" s="14" customFormat="1" ht="38.25" customHeight="1" outlineLevel="1" x14ac:dyDescent="0.2">
      <c r="A56" s="232">
        <v>28</v>
      </c>
      <c r="B56" s="273" t="s">
        <v>181</v>
      </c>
      <c r="C56" s="274" t="s">
        <v>182</v>
      </c>
      <c r="D56" s="275" t="s">
        <v>158</v>
      </c>
      <c r="E56" s="299">
        <v>0.03</v>
      </c>
      <c r="F56" s="276">
        <v>684</v>
      </c>
      <c r="G56" s="217">
        <f t="shared" si="4"/>
        <v>20.52</v>
      </c>
      <c r="H56" s="203">
        <f t="shared" si="3"/>
        <v>1.7197423403581286E-3</v>
      </c>
      <c r="I56" s="201">
        <f>ROUND(F56*Прил.10!$D$13,2)</f>
        <v>5499.36</v>
      </c>
      <c r="J56" s="201">
        <f t="shared" si="5"/>
        <v>164.98</v>
      </c>
    </row>
    <row r="57" spans="1:10" s="14" customFormat="1" ht="14.25" customHeight="1" outlineLevel="1" x14ac:dyDescent="0.2">
      <c r="A57" s="232">
        <v>29</v>
      </c>
      <c r="B57" s="273" t="s">
        <v>183</v>
      </c>
      <c r="C57" s="274" t="s">
        <v>184</v>
      </c>
      <c r="D57" s="275" t="s">
        <v>185</v>
      </c>
      <c r="E57" s="299">
        <v>1.905</v>
      </c>
      <c r="F57" s="276">
        <v>9.0399999999999991</v>
      </c>
      <c r="G57" s="217">
        <f t="shared" si="4"/>
        <v>17.22</v>
      </c>
      <c r="H57" s="203">
        <f t="shared" si="3"/>
        <v>1.4431755897157394E-3</v>
      </c>
      <c r="I57" s="201">
        <f>ROUND(F57*Прил.10!$D$13,2)</f>
        <v>72.680000000000007</v>
      </c>
      <c r="J57" s="201">
        <f t="shared" si="5"/>
        <v>138.46</v>
      </c>
    </row>
    <row r="58" spans="1:10" s="14" customFormat="1" ht="25.5" customHeight="1" outlineLevel="1" x14ac:dyDescent="0.2">
      <c r="A58" s="232">
        <v>30</v>
      </c>
      <c r="B58" s="273" t="s">
        <v>186</v>
      </c>
      <c r="C58" s="274" t="s">
        <v>187</v>
      </c>
      <c r="D58" s="275" t="s">
        <v>188</v>
      </c>
      <c r="E58" s="299">
        <v>14.13885</v>
      </c>
      <c r="F58" s="276">
        <v>1</v>
      </c>
      <c r="G58" s="217">
        <f t="shared" si="4"/>
        <v>14.14</v>
      </c>
      <c r="H58" s="203">
        <f t="shared" si="3"/>
        <v>1.1850466224495098E-3</v>
      </c>
      <c r="I58" s="201">
        <f>ROUND(F58*Прил.10!$D$13,2)</f>
        <v>8.0399999999999991</v>
      </c>
      <c r="J58" s="201">
        <f t="shared" si="5"/>
        <v>113.68</v>
      </c>
    </row>
    <row r="59" spans="1:10" s="14" customFormat="1" ht="25.5" customHeight="1" outlineLevel="1" x14ac:dyDescent="0.2">
      <c r="A59" s="232">
        <v>31</v>
      </c>
      <c r="B59" s="273" t="s">
        <v>189</v>
      </c>
      <c r="C59" s="274" t="s">
        <v>190</v>
      </c>
      <c r="D59" s="275" t="s">
        <v>185</v>
      </c>
      <c r="E59" s="299">
        <v>1.3</v>
      </c>
      <c r="F59" s="276">
        <v>10.57</v>
      </c>
      <c r="G59" s="217">
        <f t="shared" si="4"/>
        <v>13.74</v>
      </c>
      <c r="H59" s="203">
        <f t="shared" si="3"/>
        <v>1.1515233799474021E-3</v>
      </c>
      <c r="I59" s="201">
        <f>ROUND(F59*Прил.10!$D$13,2)</f>
        <v>84.98</v>
      </c>
      <c r="J59" s="201">
        <f t="shared" si="5"/>
        <v>110.47</v>
      </c>
    </row>
    <row r="60" spans="1:10" s="14" customFormat="1" ht="25.5" customHeight="1" outlineLevel="1" x14ac:dyDescent="0.2">
      <c r="A60" s="232">
        <v>32</v>
      </c>
      <c r="B60" s="273" t="s">
        <v>191</v>
      </c>
      <c r="C60" s="274" t="s">
        <v>192</v>
      </c>
      <c r="D60" s="275" t="s">
        <v>143</v>
      </c>
      <c r="E60" s="299">
        <v>0.05</v>
      </c>
      <c r="F60" s="276">
        <v>266.67</v>
      </c>
      <c r="G60" s="217">
        <f t="shared" si="4"/>
        <v>13.33</v>
      </c>
      <c r="H60" s="203">
        <f t="shared" si="3"/>
        <v>1.1171620563827415E-3</v>
      </c>
      <c r="I60" s="201">
        <f>ROUND(F60*Прил.10!$D$13,2)</f>
        <v>2144.0300000000002</v>
      </c>
      <c r="J60" s="201">
        <f t="shared" si="5"/>
        <v>107.2</v>
      </c>
    </row>
    <row r="61" spans="1:10" s="14" customFormat="1" ht="14.25" customHeight="1" outlineLevel="1" x14ac:dyDescent="0.2">
      <c r="A61" s="232">
        <v>33</v>
      </c>
      <c r="B61" s="273" t="s">
        <v>193</v>
      </c>
      <c r="C61" s="274" t="s">
        <v>194</v>
      </c>
      <c r="D61" s="275" t="s">
        <v>143</v>
      </c>
      <c r="E61" s="299">
        <v>10</v>
      </c>
      <c r="F61" s="276">
        <v>0.71</v>
      </c>
      <c r="G61" s="217">
        <f t="shared" si="4"/>
        <v>7.1</v>
      </c>
      <c r="H61" s="203">
        <f t="shared" si="3"/>
        <v>5.9503755441241298E-4</v>
      </c>
      <c r="I61" s="201">
        <f>ROUND(F61*Прил.10!$D$13,2)</f>
        <v>5.71</v>
      </c>
      <c r="J61" s="201">
        <f t="shared" si="5"/>
        <v>57.1</v>
      </c>
    </row>
    <row r="62" spans="1:10" s="14" customFormat="1" ht="14.25" customHeight="1" outlineLevel="1" x14ac:dyDescent="0.2">
      <c r="A62" s="232">
        <v>34</v>
      </c>
      <c r="B62" s="273" t="s">
        <v>195</v>
      </c>
      <c r="C62" s="274" t="s">
        <v>196</v>
      </c>
      <c r="D62" s="275" t="s">
        <v>150</v>
      </c>
      <c r="E62" s="299">
        <v>3.7199999999999999E-4</v>
      </c>
      <c r="F62" s="276">
        <v>12430</v>
      </c>
      <c r="G62" s="217">
        <f t="shared" si="4"/>
        <v>4.62</v>
      </c>
      <c r="H62" s="203">
        <f t="shared" si="3"/>
        <v>3.871934508993448E-4</v>
      </c>
      <c r="I62" s="201">
        <f>ROUND(F62*Прил.10!$D$13,2)</f>
        <v>99937.2</v>
      </c>
      <c r="J62" s="201">
        <f t="shared" si="5"/>
        <v>37.18</v>
      </c>
    </row>
    <row r="63" spans="1:10" s="14" customFormat="1" ht="14.25" customHeight="1" outlineLevel="1" x14ac:dyDescent="0.2">
      <c r="A63" s="232">
        <v>35</v>
      </c>
      <c r="B63" s="273" t="s">
        <v>197</v>
      </c>
      <c r="C63" s="274" t="s">
        <v>198</v>
      </c>
      <c r="D63" s="275" t="s">
        <v>150</v>
      </c>
      <c r="E63" s="299">
        <v>4.9799999999999996E-4</v>
      </c>
      <c r="F63" s="276">
        <v>7826.9</v>
      </c>
      <c r="G63" s="217">
        <f t="shared" si="4"/>
        <v>3.9</v>
      </c>
      <c r="H63" s="203">
        <f t="shared" si="3"/>
        <v>3.2685161439555078E-4</v>
      </c>
      <c r="I63" s="201">
        <f>ROUND(F63*Прил.10!$D$13,2)</f>
        <v>62928.28</v>
      </c>
      <c r="J63" s="201">
        <f t="shared" si="5"/>
        <v>31.34</v>
      </c>
    </row>
    <row r="64" spans="1:10" s="14" customFormat="1" ht="14.25" customHeight="1" outlineLevel="1" x14ac:dyDescent="0.2">
      <c r="A64" s="232">
        <v>36</v>
      </c>
      <c r="B64" s="273" t="s">
        <v>199</v>
      </c>
      <c r="C64" s="274" t="s">
        <v>200</v>
      </c>
      <c r="D64" s="275" t="s">
        <v>201</v>
      </c>
      <c r="E64" s="299">
        <v>2.5260000000000001E-2</v>
      </c>
      <c r="F64" s="276">
        <v>120</v>
      </c>
      <c r="G64" s="217">
        <f t="shared" si="4"/>
        <v>3.03</v>
      </c>
      <c r="H64" s="203">
        <f t="shared" si="3"/>
        <v>2.5393856195346634E-4</v>
      </c>
      <c r="I64" s="201">
        <f>ROUND(F64*Прил.10!$D$13,2)</f>
        <v>964.8</v>
      </c>
      <c r="J64" s="201">
        <f t="shared" si="5"/>
        <v>24.37</v>
      </c>
    </row>
    <row r="65" spans="1:10" s="14" customFormat="1" ht="14.25" customHeight="1" outlineLevel="1" x14ac:dyDescent="0.2">
      <c r="A65" s="232">
        <v>37</v>
      </c>
      <c r="B65" s="273" t="s">
        <v>202</v>
      </c>
      <c r="C65" s="274" t="s">
        <v>203</v>
      </c>
      <c r="D65" s="275" t="s">
        <v>204</v>
      </c>
      <c r="E65" s="299">
        <v>1.0999999999999999E-2</v>
      </c>
      <c r="F65" s="276">
        <v>270</v>
      </c>
      <c r="G65" s="217">
        <f t="shared" si="4"/>
        <v>2.97</v>
      </c>
      <c r="H65" s="203">
        <f t="shared" si="3"/>
        <v>2.4891007557815021E-4</v>
      </c>
      <c r="I65" s="201">
        <f>ROUND(F65*Прил.10!$D$13,2)</f>
        <v>2170.8000000000002</v>
      </c>
      <c r="J65" s="201">
        <f t="shared" si="5"/>
        <v>23.88</v>
      </c>
    </row>
    <row r="66" spans="1:10" s="14" customFormat="1" ht="14.25" customHeight="1" outlineLevel="1" x14ac:dyDescent="0.2">
      <c r="A66" s="232">
        <v>38</v>
      </c>
      <c r="B66" s="273" t="s">
        <v>205</v>
      </c>
      <c r="C66" s="274" t="s">
        <v>206</v>
      </c>
      <c r="D66" s="275" t="s">
        <v>150</v>
      </c>
      <c r="E66" s="299">
        <v>2.9999999999999997E-4</v>
      </c>
      <c r="F66" s="276">
        <v>9424</v>
      </c>
      <c r="G66" s="217">
        <f t="shared" si="4"/>
        <v>2.83</v>
      </c>
      <c r="H66" s="203">
        <f t="shared" si="3"/>
        <v>2.371769407024125E-4</v>
      </c>
      <c r="I66" s="201">
        <f>ROUND(F66*Прил.10!$D$13,2)</f>
        <v>75768.960000000006</v>
      </c>
      <c r="J66" s="201">
        <f t="shared" si="5"/>
        <v>22.73</v>
      </c>
    </row>
    <row r="67" spans="1:10" s="14" customFormat="1" ht="38.25" customHeight="1" outlineLevel="1" x14ac:dyDescent="0.2">
      <c r="A67" s="232">
        <v>39</v>
      </c>
      <c r="B67" s="273" t="s">
        <v>207</v>
      </c>
      <c r="C67" s="274" t="s">
        <v>208</v>
      </c>
      <c r="D67" s="275" t="s">
        <v>158</v>
      </c>
      <c r="E67" s="299">
        <v>5.0000000000000001E-3</v>
      </c>
      <c r="F67" s="276">
        <v>558.33000000000004</v>
      </c>
      <c r="G67" s="217">
        <f t="shared" si="4"/>
        <v>2.79</v>
      </c>
      <c r="H67" s="203">
        <f t="shared" si="3"/>
        <v>2.3382461645220172E-4</v>
      </c>
      <c r="I67" s="201">
        <f>ROUND(F67*Прил.10!$D$13,2)</f>
        <v>4488.97</v>
      </c>
      <c r="J67" s="201">
        <f t="shared" si="5"/>
        <v>22.44</v>
      </c>
    </row>
    <row r="68" spans="1:10" s="14" customFormat="1" ht="25.5" customHeight="1" outlineLevel="1" x14ac:dyDescent="0.2">
      <c r="A68" s="232">
        <v>40</v>
      </c>
      <c r="B68" s="273" t="s">
        <v>209</v>
      </c>
      <c r="C68" s="274" t="s">
        <v>210</v>
      </c>
      <c r="D68" s="275" t="s">
        <v>204</v>
      </c>
      <c r="E68" s="299">
        <v>1.06E-3</v>
      </c>
      <c r="F68" s="276">
        <v>1740.2</v>
      </c>
      <c r="G68" s="217">
        <f t="shared" si="4"/>
        <v>1.84</v>
      </c>
      <c r="H68" s="203">
        <f t="shared" si="3"/>
        <v>1.5420691550969577E-4</v>
      </c>
      <c r="I68" s="201">
        <f>ROUND(F68*Прил.10!$D$13,2)</f>
        <v>13991.21</v>
      </c>
      <c r="J68" s="201">
        <f t="shared" si="5"/>
        <v>14.83</v>
      </c>
    </row>
    <row r="69" spans="1:10" s="14" customFormat="1" ht="14.25" customHeight="1" outlineLevel="1" x14ac:dyDescent="0.2">
      <c r="A69" s="232">
        <v>41</v>
      </c>
      <c r="B69" s="273" t="s">
        <v>211</v>
      </c>
      <c r="C69" s="274" t="s">
        <v>212</v>
      </c>
      <c r="D69" s="275" t="s">
        <v>185</v>
      </c>
      <c r="E69" s="299">
        <v>0.03</v>
      </c>
      <c r="F69" s="276">
        <v>28.6</v>
      </c>
      <c r="G69" s="217">
        <f t="shared" si="4"/>
        <v>0.86</v>
      </c>
      <c r="H69" s="203">
        <f t="shared" si="3"/>
        <v>7.2074971379531704E-5</v>
      </c>
      <c r="I69" s="201">
        <f>ROUND(F69*Прил.10!$D$13,2)</f>
        <v>229.94</v>
      </c>
      <c r="J69" s="201">
        <f t="shared" si="5"/>
        <v>6.9</v>
      </c>
    </row>
    <row r="70" spans="1:10" s="14" customFormat="1" ht="14.25" customHeight="1" outlineLevel="1" x14ac:dyDescent="0.2">
      <c r="A70" s="232">
        <v>42</v>
      </c>
      <c r="B70" s="273" t="s">
        <v>213</v>
      </c>
      <c r="C70" s="274" t="s">
        <v>214</v>
      </c>
      <c r="D70" s="275" t="s">
        <v>215</v>
      </c>
      <c r="E70" s="299">
        <v>4.0000000000000001E-3</v>
      </c>
      <c r="F70" s="276">
        <v>110</v>
      </c>
      <c r="G70" s="217">
        <f t="shared" si="4"/>
        <v>0.44</v>
      </c>
      <c r="H70" s="203">
        <f t="shared" si="3"/>
        <v>3.6875566752318553E-5</v>
      </c>
      <c r="I70" s="201">
        <f>ROUND(F70*Прил.10!$D$13,2)</f>
        <v>884.4</v>
      </c>
      <c r="J70" s="201">
        <f t="shared" si="5"/>
        <v>3.54</v>
      </c>
    </row>
    <row r="71" spans="1:10" s="14" customFormat="1" ht="38.25" customHeight="1" outlineLevel="1" x14ac:dyDescent="0.2">
      <c r="A71" s="232">
        <v>43</v>
      </c>
      <c r="B71" s="273" t="s">
        <v>216</v>
      </c>
      <c r="C71" s="274" t="s">
        <v>217</v>
      </c>
      <c r="D71" s="275" t="s">
        <v>150</v>
      </c>
      <c r="E71" s="299">
        <v>8.9999999999999998E-4</v>
      </c>
      <c r="F71" s="276">
        <v>480</v>
      </c>
      <c r="G71" s="217">
        <f t="shared" si="4"/>
        <v>0.43</v>
      </c>
      <c r="H71" s="203">
        <f t="shared" si="3"/>
        <v>3.6037485689765852E-5</v>
      </c>
      <c r="I71" s="201">
        <f>ROUND(F71*Прил.10!$D$13,2)</f>
        <v>3859.2</v>
      </c>
      <c r="J71" s="201">
        <f t="shared" si="5"/>
        <v>3.47</v>
      </c>
    </row>
    <row r="72" spans="1:10" s="14" customFormat="1" ht="14.25" customHeight="1" outlineLevel="1" x14ac:dyDescent="0.2">
      <c r="A72" s="232">
        <v>44</v>
      </c>
      <c r="B72" s="273" t="s">
        <v>218</v>
      </c>
      <c r="C72" s="274" t="s">
        <v>219</v>
      </c>
      <c r="D72" s="275" t="s">
        <v>185</v>
      </c>
      <c r="E72" s="299">
        <v>0.06</v>
      </c>
      <c r="F72" s="276">
        <v>6.4</v>
      </c>
      <c r="G72" s="217">
        <f t="shared" si="4"/>
        <v>0.38</v>
      </c>
      <c r="H72" s="203">
        <f t="shared" si="3"/>
        <v>3.1847080377002385E-5</v>
      </c>
      <c r="I72" s="201">
        <f>ROUND(F72*Прил.10!$D$13,2)</f>
        <v>51.46</v>
      </c>
      <c r="J72" s="201">
        <f t="shared" si="5"/>
        <v>3.09</v>
      </c>
    </row>
    <row r="73" spans="1:10" s="14" customFormat="1" ht="25.5" customHeight="1" outlineLevel="1" x14ac:dyDescent="0.2">
      <c r="A73" s="232">
        <v>45</v>
      </c>
      <c r="B73" s="273" t="s">
        <v>220</v>
      </c>
      <c r="C73" s="274" t="s">
        <v>221</v>
      </c>
      <c r="D73" s="275" t="s">
        <v>158</v>
      </c>
      <c r="E73" s="299">
        <v>3.1E-4</v>
      </c>
      <c r="F73" s="276">
        <v>463.3</v>
      </c>
      <c r="G73" s="217">
        <f t="shared" si="4"/>
        <v>0.14000000000000001</v>
      </c>
      <c r="H73" s="203">
        <f t="shared" si="3"/>
        <v>1.1733134875737721E-5</v>
      </c>
      <c r="I73" s="201">
        <f>ROUND(F73*Прил.10!$D$13,2)</f>
        <v>3724.93</v>
      </c>
      <c r="J73" s="201">
        <f t="shared" si="5"/>
        <v>1.1499999999999999</v>
      </c>
    </row>
    <row r="74" spans="1:10" s="14" customFormat="1" ht="38.25" customHeight="1" outlineLevel="1" x14ac:dyDescent="0.2">
      <c r="A74" s="232">
        <v>46</v>
      </c>
      <c r="B74" s="273" t="s">
        <v>222</v>
      </c>
      <c r="C74" s="274" t="s">
        <v>223</v>
      </c>
      <c r="D74" s="275" t="s">
        <v>158</v>
      </c>
      <c r="E74" s="299">
        <v>7.5000000000000002E-4</v>
      </c>
      <c r="F74" s="276">
        <v>55.26</v>
      </c>
      <c r="G74" s="217">
        <f t="shared" si="4"/>
        <v>0.04</v>
      </c>
      <c r="H74" s="203">
        <f t="shared" si="3"/>
        <v>3.3523242502107775E-6</v>
      </c>
      <c r="I74" s="201">
        <f>ROUND(F74*Прил.10!$D$13,2)</f>
        <v>444.29</v>
      </c>
      <c r="J74" s="201">
        <f t="shared" si="5"/>
        <v>0.33</v>
      </c>
    </row>
    <row r="75" spans="1:10" s="14" customFormat="1" ht="14.25" customHeight="1" x14ac:dyDescent="0.2">
      <c r="A75" s="2"/>
      <c r="B75" s="2"/>
      <c r="C75" s="9" t="s">
        <v>290</v>
      </c>
      <c r="D75" s="269"/>
      <c r="E75" s="267"/>
      <c r="F75" s="196"/>
      <c r="G75" s="28">
        <f>SUM(G47:G74)</f>
        <v>1343.1599999999999</v>
      </c>
      <c r="H75" s="203">
        <f t="shared" si="3"/>
        <v>0.11256769599782768</v>
      </c>
      <c r="I75" s="28"/>
      <c r="J75" s="28">
        <f>SUM(J47:J74)</f>
        <v>10799.169999999996</v>
      </c>
    </row>
    <row r="76" spans="1:10" s="14" customFormat="1" ht="14.25" customHeight="1" x14ac:dyDescent="0.2">
      <c r="A76" s="2"/>
      <c r="B76" s="2"/>
      <c r="C76" s="194" t="s">
        <v>291</v>
      </c>
      <c r="D76" s="269"/>
      <c r="E76" s="195"/>
      <c r="F76" s="196"/>
      <c r="G76" s="28">
        <f>G46+G75</f>
        <v>11932.02</v>
      </c>
      <c r="H76" s="197">
        <f t="shared" si="3"/>
        <v>1</v>
      </c>
      <c r="I76" s="28"/>
      <c r="J76" s="28">
        <f>J46+J75</f>
        <v>95933.400000000009</v>
      </c>
    </row>
    <row r="77" spans="1:10" s="14" customFormat="1" ht="14.25" customHeight="1" x14ac:dyDescent="0.2">
      <c r="A77" s="2"/>
      <c r="B77" s="2"/>
      <c r="C77" s="9" t="s">
        <v>292</v>
      </c>
      <c r="D77" s="269"/>
      <c r="E77" s="195"/>
      <c r="F77" s="196"/>
      <c r="G77" s="28">
        <f>G14+G30+G76</f>
        <v>14102.52</v>
      </c>
      <c r="H77" s="197"/>
      <c r="I77" s="28"/>
      <c r="J77" s="28">
        <f>J14+J30+J76</f>
        <v>154491.49</v>
      </c>
    </row>
    <row r="78" spans="1:10" s="14" customFormat="1" ht="14.25" customHeight="1" x14ac:dyDescent="0.2">
      <c r="A78" s="2"/>
      <c r="B78" s="2"/>
      <c r="C78" s="9" t="s">
        <v>293</v>
      </c>
      <c r="D78" s="295">
        <f>ROUND(G78/(G$16+$G$14),2)</f>
        <v>1.02</v>
      </c>
      <c r="E78" s="195"/>
      <c r="F78" s="196"/>
      <c r="G78" s="28">
        <v>1007</v>
      </c>
      <c r="H78" s="197"/>
      <c r="I78" s="28"/>
      <c r="J78" s="201">
        <f>ROUND(D78*(J14+J16),2)</f>
        <v>46188.78</v>
      </c>
    </row>
    <row r="79" spans="1:10" s="14" customFormat="1" ht="14.25" customHeight="1" x14ac:dyDescent="0.2">
      <c r="A79" s="2"/>
      <c r="B79" s="2"/>
      <c r="C79" s="9" t="s">
        <v>294</v>
      </c>
      <c r="D79" s="295">
        <f>ROUND(G79/(G$14+G$16),2)</f>
        <v>0.69</v>
      </c>
      <c r="E79" s="195"/>
      <c r="F79" s="196"/>
      <c r="G79" s="28">
        <v>680.4</v>
      </c>
      <c r="H79" s="197"/>
      <c r="I79" s="28"/>
      <c r="J79" s="201">
        <f>ROUND(D79*(J14+J16),2)</f>
        <v>31245.35</v>
      </c>
    </row>
    <row r="80" spans="1:10" s="14" customFormat="1" ht="14.25" customHeight="1" x14ac:dyDescent="0.2">
      <c r="A80" s="2"/>
      <c r="B80" s="2"/>
      <c r="C80" s="9" t="s">
        <v>295</v>
      </c>
      <c r="D80" s="269"/>
      <c r="E80" s="195"/>
      <c r="F80" s="196"/>
      <c r="G80" s="28">
        <f>G14+G30+G76+G78+G79</f>
        <v>15789.92</v>
      </c>
      <c r="H80" s="197"/>
      <c r="I80" s="28"/>
      <c r="J80" s="28">
        <f>J14+J30+J76+J78+J79</f>
        <v>231925.62</v>
      </c>
    </row>
    <row r="81" spans="1:10" s="14" customFormat="1" ht="14.25" customHeight="1" x14ac:dyDescent="0.2">
      <c r="A81" s="2"/>
      <c r="B81" s="2"/>
      <c r="C81" s="9" t="s">
        <v>296</v>
      </c>
      <c r="D81" s="269"/>
      <c r="E81" s="195"/>
      <c r="F81" s="196"/>
      <c r="G81" s="28">
        <f>G80+G37</f>
        <v>20529.650000000001</v>
      </c>
      <c r="H81" s="197"/>
      <c r="I81" s="28"/>
      <c r="J81" s="28">
        <f>J80+J37</f>
        <v>261596.34</v>
      </c>
    </row>
    <row r="82" spans="1:10" s="14" customFormat="1" ht="34.5" customHeight="1" x14ac:dyDescent="0.2">
      <c r="A82" s="2"/>
      <c r="B82" s="2"/>
      <c r="C82" s="9" t="s">
        <v>260</v>
      </c>
      <c r="D82" s="339" t="s">
        <v>297</v>
      </c>
      <c r="E82" s="195">
        <v>1</v>
      </c>
      <c r="F82" s="196"/>
      <c r="G82" s="28">
        <f>G81/E82</f>
        <v>20529.650000000001</v>
      </c>
      <c r="H82" s="197"/>
      <c r="I82" s="28"/>
      <c r="J82" s="28">
        <f>J81/E82</f>
        <v>261596.34</v>
      </c>
    </row>
    <row r="84" spans="1:10" s="14" customFormat="1" ht="14.25" customHeight="1" x14ac:dyDescent="0.2">
      <c r="A84" s="4" t="s">
        <v>298</v>
      </c>
      <c r="D84" s="296"/>
    </row>
    <row r="85" spans="1:10" s="14" customFormat="1" ht="14.25" customHeight="1" x14ac:dyDescent="0.2">
      <c r="A85" s="29" t="s">
        <v>76</v>
      </c>
      <c r="D85" s="296"/>
    </row>
    <row r="86" spans="1:10" s="14" customFormat="1" ht="14.25" customHeight="1" x14ac:dyDescent="0.2">
      <c r="A86" s="4"/>
      <c r="D86" s="296"/>
    </row>
    <row r="87" spans="1:10" s="14" customFormat="1" ht="14.25" customHeight="1" x14ac:dyDescent="0.2">
      <c r="A87" s="4" t="s">
        <v>77</v>
      </c>
      <c r="D87" s="296"/>
    </row>
    <row r="88" spans="1:10" s="14" customFormat="1" ht="14.25" customHeight="1" x14ac:dyDescent="0.2">
      <c r="A88" s="29" t="s">
        <v>78</v>
      </c>
      <c r="D88" s="296"/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0:H40"/>
    <mergeCell ref="B12:H12"/>
    <mergeCell ref="B15:H15"/>
    <mergeCell ref="B17:H17"/>
    <mergeCell ref="B18:H18"/>
    <mergeCell ref="B32:H32"/>
    <mergeCell ref="B31:H31"/>
    <mergeCell ref="B39:H39"/>
  </mergeCells>
  <conditionalFormatting sqref="B19:B21">
    <cfRule type="duplicateValues" dxfId="3" priority="1"/>
  </conditionalFormatting>
  <conditionalFormatting sqref="B23:B28">
    <cfRule type="duplicateValues" dxfId="2" priority="2"/>
  </conditionalFormatting>
  <conditionalFormatting sqref="B41:B45">
    <cfRule type="duplicateValues" dxfId="1" priority="3"/>
  </conditionalFormatting>
  <conditionalFormatting sqref="B47:B74">
    <cfRule type="duplicateValues" dxfId="0" priority="4"/>
  </conditionalFormatting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1"/>
  <sheetViews>
    <sheetView view="pageBreakPreview" topLeftCell="A7" workbookViewId="0">
      <selection activeCell="F21" sqref="F21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95" t="s">
        <v>299</v>
      </c>
      <c r="B1" s="395"/>
      <c r="C1" s="395"/>
      <c r="D1" s="395"/>
      <c r="E1" s="395"/>
      <c r="F1" s="395"/>
      <c r="G1" s="395"/>
    </row>
    <row r="2" spans="1:7" ht="21.75" customHeight="1" x14ac:dyDescent="0.25">
      <c r="A2" s="146"/>
      <c r="B2" s="146"/>
      <c r="C2" s="146"/>
      <c r="D2" s="146"/>
      <c r="E2" s="146"/>
      <c r="F2" s="146"/>
      <c r="G2" s="146"/>
    </row>
    <row r="3" spans="1:7" x14ac:dyDescent="0.25">
      <c r="A3" s="347" t="s">
        <v>300</v>
      </c>
      <c r="B3" s="347"/>
      <c r="C3" s="347"/>
      <c r="D3" s="347"/>
      <c r="E3" s="347"/>
      <c r="F3" s="347"/>
      <c r="G3" s="347"/>
    </row>
    <row r="4" spans="1:7" ht="25.5" customHeight="1" x14ac:dyDescent="0.25">
      <c r="A4" s="350" t="s">
        <v>48</v>
      </c>
      <c r="B4" s="350"/>
      <c r="C4" s="350"/>
      <c r="D4" s="350"/>
      <c r="E4" s="350"/>
      <c r="F4" s="350"/>
      <c r="G4" s="350"/>
    </row>
    <row r="5" spans="1:7" x14ac:dyDescent="0.25">
      <c r="A5" s="140"/>
      <c r="B5" s="140"/>
      <c r="C5" s="140"/>
      <c r="D5" s="140"/>
      <c r="E5" s="140"/>
      <c r="F5" s="140"/>
      <c r="G5" s="140"/>
    </row>
    <row r="6" spans="1:7" ht="30.2" customHeight="1" x14ac:dyDescent="0.25">
      <c r="A6" s="400" t="s">
        <v>13</v>
      </c>
      <c r="B6" s="400" t="s">
        <v>101</v>
      </c>
      <c r="C6" s="400" t="s">
        <v>226</v>
      </c>
      <c r="D6" s="400" t="s">
        <v>103</v>
      </c>
      <c r="E6" s="377" t="s">
        <v>269</v>
      </c>
      <c r="F6" s="400" t="s">
        <v>105</v>
      </c>
      <c r="G6" s="400"/>
    </row>
    <row r="7" spans="1:7" x14ac:dyDescent="0.25">
      <c r="A7" s="400"/>
      <c r="B7" s="400"/>
      <c r="C7" s="400"/>
      <c r="D7" s="400"/>
      <c r="E7" s="393"/>
      <c r="F7" s="136" t="s">
        <v>272</v>
      </c>
      <c r="G7" s="136" t="s">
        <v>107</v>
      </c>
    </row>
    <row r="8" spans="1:7" x14ac:dyDescent="0.25">
      <c r="A8" s="136">
        <v>1</v>
      </c>
      <c r="B8" s="136">
        <v>2</v>
      </c>
      <c r="C8" s="136">
        <v>3</v>
      </c>
      <c r="D8" s="136">
        <v>4</v>
      </c>
      <c r="E8" s="136">
        <v>5</v>
      </c>
      <c r="F8" s="136">
        <v>6</v>
      </c>
      <c r="G8" s="136">
        <v>7</v>
      </c>
    </row>
    <row r="9" spans="1:7" ht="15" customHeight="1" x14ac:dyDescent="0.25">
      <c r="A9" s="141"/>
      <c r="B9" s="396" t="s">
        <v>301</v>
      </c>
      <c r="C9" s="397"/>
      <c r="D9" s="397"/>
      <c r="E9" s="397"/>
      <c r="F9" s="397"/>
      <c r="G9" s="398"/>
    </row>
    <row r="10" spans="1:7" ht="27" customHeight="1" x14ac:dyDescent="0.25">
      <c r="A10" s="136"/>
      <c r="B10" s="139"/>
      <c r="C10" s="137" t="s">
        <v>302</v>
      </c>
      <c r="D10" s="139"/>
      <c r="E10" s="142"/>
      <c r="F10" s="138"/>
      <c r="G10" s="138">
        <v>0</v>
      </c>
    </row>
    <row r="11" spans="1:7" x14ac:dyDescent="0.25">
      <c r="A11" s="136"/>
      <c r="B11" s="381" t="s">
        <v>303</v>
      </c>
      <c r="C11" s="381"/>
      <c r="D11" s="381"/>
      <c r="E11" s="399"/>
      <c r="F11" s="384"/>
      <c r="G11" s="384"/>
    </row>
    <row r="12" spans="1:7" ht="33" customHeight="1" x14ac:dyDescent="0.25">
      <c r="A12" s="136">
        <v>1</v>
      </c>
      <c r="B12" s="287" t="str">
        <f>'Прил.5 Расчет СМР и ОБ'!B33</f>
        <v>БЦ.92_4.11</v>
      </c>
      <c r="C12" s="287" t="str">
        <f>'Прил.5 Расчет СМР и ОБ'!C33</f>
        <v>Мотор-редуктор для откатных ворот</v>
      </c>
      <c r="D12" s="297" t="str">
        <f>'Прил.5 Расчет СМР и ОБ'!D33</f>
        <v>шт</v>
      </c>
      <c r="E12" s="298">
        <f>'Прил.5 Расчет СМР и ОБ'!E33</f>
        <v>1</v>
      </c>
      <c r="F12" s="287">
        <f>'Прил.5 Расчет СМР и ОБ'!F33</f>
        <v>3642.45</v>
      </c>
      <c r="G12" s="164">
        <f>ROUND(E12*F12,2)</f>
        <v>3642.45</v>
      </c>
    </row>
    <row r="13" spans="1:7" ht="33" customHeight="1" x14ac:dyDescent="0.25">
      <c r="A13" s="136">
        <v>2</v>
      </c>
      <c r="B13" s="287" t="str">
        <f>'Прил.5 Расчет СМР и ОБ'!B34</f>
        <v>62.1.02.14-0069</v>
      </c>
      <c r="C13" s="287" t="str">
        <f>'Прил.5 Расчет СМР и ОБ'!C34</f>
        <v>Ящик управления РУСМ 5410-2274 У2</v>
      </c>
      <c r="D13" s="297" t="str">
        <f>'Прил.5 Расчет СМР и ОБ'!D34</f>
        <v>шт.</v>
      </c>
      <c r="E13" s="298">
        <f>'Прил.5 Расчет СМР и ОБ'!E34</f>
        <v>1</v>
      </c>
      <c r="F13" s="287">
        <f>'Прил.5 Расчет СМР и ОБ'!F34</f>
        <v>1097.28</v>
      </c>
      <c r="G13" s="164">
        <f>ROUND(E13*F13,2)</f>
        <v>1097.28</v>
      </c>
    </row>
    <row r="14" spans="1:7" ht="25.5" customHeight="1" x14ac:dyDescent="0.25">
      <c r="A14" s="136"/>
      <c r="B14" s="137"/>
      <c r="C14" s="137" t="s">
        <v>304</v>
      </c>
      <c r="D14" s="137"/>
      <c r="E14" s="143"/>
      <c r="F14" s="138"/>
      <c r="G14" s="164">
        <f>SUM(G12:G13)</f>
        <v>4739.7299999999996</v>
      </c>
    </row>
    <row r="15" spans="1:7" ht="19.5" customHeight="1" x14ac:dyDescent="0.25">
      <c r="A15" s="136"/>
      <c r="B15" s="137"/>
      <c r="C15" s="137" t="s">
        <v>305</v>
      </c>
      <c r="D15" s="137"/>
      <c r="E15" s="143"/>
      <c r="F15" s="138"/>
      <c r="G15" s="164">
        <f>G10+G14</f>
        <v>4739.7299999999996</v>
      </c>
    </row>
    <row r="16" spans="1:7" x14ac:dyDescent="0.25">
      <c r="A16" s="144"/>
      <c r="B16" s="145"/>
      <c r="C16" s="144"/>
      <c r="D16" s="144"/>
      <c r="E16" s="144"/>
      <c r="F16" s="144"/>
      <c r="G16" s="144"/>
    </row>
    <row r="17" spans="1:7" x14ac:dyDescent="0.25">
      <c r="A17" s="4" t="s">
        <v>298</v>
      </c>
      <c r="B17" s="14"/>
      <c r="C17" s="14"/>
      <c r="D17" s="144"/>
      <c r="E17" s="144"/>
      <c r="F17" s="144"/>
      <c r="G17" s="144"/>
    </row>
    <row r="18" spans="1:7" x14ac:dyDescent="0.25">
      <c r="A18" s="29" t="s">
        <v>76</v>
      </c>
      <c r="B18" s="14"/>
      <c r="C18" s="14"/>
      <c r="D18" s="144"/>
      <c r="E18" s="144"/>
      <c r="F18" s="144"/>
      <c r="G18" s="144"/>
    </row>
    <row r="19" spans="1:7" x14ac:dyDescent="0.25">
      <c r="A19" s="4"/>
      <c r="B19" s="14"/>
      <c r="C19" s="14"/>
      <c r="D19" s="144"/>
      <c r="E19" s="144"/>
      <c r="F19" s="144"/>
      <c r="G19" s="144"/>
    </row>
    <row r="20" spans="1:7" x14ac:dyDescent="0.25">
      <c r="A20" s="4" t="s">
        <v>77</v>
      </c>
      <c r="B20" s="14"/>
      <c r="C20" s="14"/>
      <c r="D20" s="144"/>
      <c r="E20" s="144"/>
      <c r="F20" s="144"/>
      <c r="G20" s="144"/>
    </row>
    <row r="21" spans="1:7" x14ac:dyDescent="0.25">
      <c r="A21" s="29" t="s">
        <v>78</v>
      </c>
      <c r="B21" s="14"/>
      <c r="C21" s="14"/>
      <c r="D21" s="144"/>
      <c r="E21" s="144"/>
      <c r="F21" s="144"/>
      <c r="G21" s="14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User4</cp:lastModifiedBy>
  <cp:lastPrinted>2023-11-24T12:27:31Z</cp:lastPrinted>
  <dcterms:created xsi:type="dcterms:W3CDTF">2020-09-30T08:50:27Z</dcterms:created>
  <dcterms:modified xsi:type="dcterms:W3CDTF">2024-02-08T10:10:15Z</dcterms:modified>
  <cp:category/>
</cp:coreProperties>
</file>