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750 кВ\"/>
    </mc:Choice>
  </mc:AlternateContent>
  <xr:revisionPtr revIDLastSave="0" documentId="13_ncr:1_{5FC78689-7284-425A-BDF5-02105B4820BE}" xr6:coauthVersionLast="40" xr6:coauthVersionMax="40" xr10:uidLastSave="{00000000-0000-0000-0000-000000000000}"/>
  <bookViews>
    <workbookView xWindow="0" yWindow="0" windowWidth="28800" windowHeight="12225" tabRatio="924" firstSheet="4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4.5 РМ" sheetId="4" state="hidden" r:id="rId4"/>
    <sheet name="Прил.1 Сравнит табл" sheetId="5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3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3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 localSheetId="10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3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3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3">#REF!</definedName>
    <definedName name="_def2000г" localSheetId="14">#REF!</definedName>
    <definedName name="_def2000г" localSheetId="15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3">#REF!</definedName>
    <definedName name="_def2001г" localSheetId="14">#REF!</definedName>
    <definedName name="_def2001г" localSheetId="15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3">#REF!</definedName>
    <definedName name="_def2002г" localSheetId="14">#REF!</definedName>
    <definedName name="_def2002г" localSheetId="15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3">#REF!</definedName>
    <definedName name="_inf2000" localSheetId="14">#REF!</definedName>
    <definedName name="_inf2000" localSheetId="15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3">#REF!</definedName>
    <definedName name="_inf2001" localSheetId="14">#REF!</definedName>
    <definedName name="_inf2001" localSheetId="15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3">#REF!</definedName>
    <definedName name="_inf2002" localSheetId="14">#REF!</definedName>
    <definedName name="_inf2002" localSheetId="15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3">#REF!</definedName>
    <definedName name="_inf2003" localSheetId="14">#REF!</definedName>
    <definedName name="_inf2003" localSheetId="15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3">#REF!</definedName>
    <definedName name="_inf2004" localSheetId="14">#REF!</definedName>
    <definedName name="_inf2004" localSheetId="15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3">#REF!</definedName>
    <definedName name="_inf2005" localSheetId="14">#REF!</definedName>
    <definedName name="_inf2005" localSheetId="15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3">#REF!</definedName>
    <definedName name="_inf2006" localSheetId="14">#REF!</definedName>
    <definedName name="_inf2006" localSheetId="15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3">#REF!</definedName>
    <definedName name="_inf2007" localSheetId="14">#REF!</definedName>
    <definedName name="_inf2007" localSheetId="15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3">#REF!</definedName>
    <definedName name="_inf2008" localSheetId="14">#REF!</definedName>
    <definedName name="_inf2008" localSheetId="15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3">#REF!</definedName>
    <definedName name="_inf2009" localSheetId="14">#REF!</definedName>
    <definedName name="_inf2009" localSheetId="15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3">#REF!</definedName>
    <definedName name="_inf2010" localSheetId="14">#REF!</definedName>
    <definedName name="_inf2010" localSheetId="15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3">#REF!</definedName>
    <definedName name="_inf2011" localSheetId="14">#REF!</definedName>
    <definedName name="_inf2011" localSheetId="15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3">#REF!</definedName>
    <definedName name="_inf2012" localSheetId="14">#REF!</definedName>
    <definedName name="_inf2012" localSheetId="15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3">#REF!</definedName>
    <definedName name="_inf2013" localSheetId="14">#REF!</definedName>
    <definedName name="_inf2013" localSheetId="15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3">#REF!</definedName>
    <definedName name="_inf2014" localSheetId="14">#REF!</definedName>
    <definedName name="_inf2014" localSheetId="15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3">#REF!</definedName>
    <definedName name="_inf2015" localSheetId="14">#REF!</definedName>
    <definedName name="_inf2015" localSheetId="15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3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3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3">#REF!</definedName>
    <definedName name="a04t" localSheetId="14">#REF!</definedName>
    <definedName name="a04t" localSheetId="15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3">#REF!</definedName>
    <definedName name="DOLL" localSheetId="14">#REF!</definedName>
    <definedName name="DOLL" localSheetId="15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14">#REF!</definedName>
    <definedName name="Excel_BuiltIn_Print_Area_1" localSheetId="15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 localSheetId="14">#REF!</definedName>
    <definedName name="Excel_BuiltIn_Print_Area_4" localSheetId="15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3">#REF!</definedName>
    <definedName name="Excel_BuiltIn_Print_Area_5" localSheetId="14">#REF!</definedName>
    <definedName name="Excel_BuiltIn_Print_Area_5" localSheetId="15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3">#REF!</definedName>
    <definedName name="ff" localSheetId="14">#REF!</definedName>
    <definedName name="ff" localSheetId="15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3">#REF!</definedName>
    <definedName name="gggg" localSheetId="14">#REF!</definedName>
    <definedName name="gggg" localSheetId="15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3">#REF!</definedName>
    <definedName name="Global.MNULL" localSheetId="14">#REF!</definedName>
    <definedName name="Global.MNULL" localSheetId="15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3">#REF!</definedName>
    <definedName name="Global.NULL" localSheetId="14">#REF!</definedName>
    <definedName name="Global.NULL" localSheetId="15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3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3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3">#REF!</definedName>
    <definedName name="Print_Area" localSheetId="15">#REF!</definedName>
    <definedName name="Print_Area" localSheetId="5">#REF!</definedName>
    <definedName name="Print_Area" localSheetId="6">#REF!</definedName>
    <definedName name="Print_Area" localSheetId="8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5">#REF!</definedName>
    <definedName name="rybuf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3">#REF!</definedName>
    <definedName name="time" localSheetId="14">#REF!</definedName>
    <definedName name="time" localSheetId="15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3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3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3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3">#REF!</definedName>
    <definedName name="а" localSheetId="14">#REF!</definedName>
    <definedName name="а" localSheetId="15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3">#REF!</definedName>
    <definedName name="ааа" localSheetId="14">#REF!</definedName>
    <definedName name="ааа" localSheetId="15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5">#REF!</definedName>
    <definedName name="аморт">#REF!</definedName>
    <definedName name="Амортизация" localSheetId="5">#REF!</definedName>
    <definedName name="Амортизация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3">#REF!</definedName>
    <definedName name="д" localSheetId="14">#REF!</definedName>
    <definedName name="д" localSheetId="15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3">#REF!</definedName>
    <definedName name="дд" localSheetId="14">#REF!</definedName>
    <definedName name="дд" localSheetId="15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3">#REF!</definedName>
    <definedName name="дддд" localSheetId="14">#REF!</definedName>
    <definedName name="дддд" localSheetId="15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3">#REF!</definedName>
    <definedName name="де" localSheetId="14">#REF!</definedName>
    <definedName name="де" localSheetId="15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3">#REF!</definedName>
    <definedName name="дефл." localSheetId="14">#REF!</definedName>
    <definedName name="дефл." localSheetId="15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3">#REF!</definedName>
    <definedName name="до" localSheetId="14">#REF!</definedName>
    <definedName name="до" localSheetId="15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3">#REF!</definedName>
    <definedName name="дол" localSheetId="14">#REF!</definedName>
    <definedName name="дол" localSheetId="15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3">#REF!</definedName>
    <definedName name="ДС" localSheetId="14">#REF!</definedName>
    <definedName name="ДС" localSheetId="15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3">#REF!</definedName>
    <definedName name="ж" localSheetId="14">#REF!</definedName>
    <definedName name="ж" localSheetId="15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5">#REF!</definedName>
    <definedName name="ЗаданиеГС_КМ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3">#REF!</definedName>
    <definedName name="зз" localSheetId="14">#REF!</definedName>
    <definedName name="зз" localSheetId="15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3">#REF!</definedName>
    <definedName name="иии" localSheetId="14">#REF!</definedName>
    <definedName name="иии" localSheetId="15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5">#REF!</definedName>
    <definedName name="ИИМбал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5">#REF!</definedName>
    <definedName name="ИОСост">#REF!</definedName>
    <definedName name="ИОСпс" localSheetId="5">#REF!</definedName>
    <definedName name="ИОСпс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5">#REF!</definedName>
    <definedName name="Иуе">#REF!</definedName>
    <definedName name="ИуеРЭО" localSheetId="5">#REF!</definedName>
    <definedName name="ИуеРЭО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5">#REF!</definedName>
    <definedName name="КЗ_Имущество">#REF!</definedName>
    <definedName name="КЗ_ИП" localSheetId="5">#REF!</definedName>
    <definedName name="КЗ_ИП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3">#REF!</definedName>
    <definedName name="кк" localSheetId="14">#REF!</definedName>
    <definedName name="кк" localSheetId="15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5">#REF!</definedName>
    <definedName name="Компания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3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3">#REF!</definedName>
    <definedName name="лд" localSheetId="14">#REF!</definedName>
    <definedName name="лд" localSheetId="15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3">#REF!</definedName>
    <definedName name="лдд" localSheetId="14">#REF!</definedName>
    <definedName name="лдд" localSheetId="15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3">#REF!</definedName>
    <definedName name="лл" localSheetId="14">#REF!</definedName>
    <definedName name="лл" localSheetId="15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3">#REF!</definedName>
    <definedName name="ллл" localSheetId="14">#REF!</definedName>
    <definedName name="ллл" localSheetId="15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>#REF!</definedName>
    <definedName name="матер" localSheetId="5">#REF!</definedName>
    <definedName name="матер">#REF!</definedName>
    <definedName name="матер." localSheetId="5">#REF!</definedName>
    <definedName name="матер.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3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3">#REF!</definedName>
    <definedName name="Модель2" localSheetId="14">#REF!</definedName>
    <definedName name="Модель2" localSheetId="15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5">#REF!</definedName>
    <definedName name="НДСИмущество">#REF!</definedName>
    <definedName name="НДСИП" localSheetId="5">#REF!</definedName>
    <definedName name="НДСИП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3">#REF!</definedName>
    <definedName name="нн" localSheetId="14">#REF!</definedName>
    <definedName name="нн" localSheetId="15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3">граж</definedName>
    <definedName name="нр" localSheetId="13">граж</definedName>
    <definedName name="нр" localSheetId="15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'Прил.2 Расч стоим'!$A$1:$J$28</definedName>
    <definedName name="_xlnm.Print_Area" localSheetId="6">Прил.3!$A$1:$H$74</definedName>
    <definedName name="_xlnm.Print_Area" localSheetId="7">'Прил.4 РМ'!$A$1:$E$48</definedName>
    <definedName name="_xlnm.Print_Area" localSheetId="8">'Прил.5 Расчет СМР и ОБ'!$A$1:$J$90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3">#REF!</definedName>
    <definedName name="ол" localSheetId="14">#REF!</definedName>
    <definedName name="ол" localSheetId="15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3">#REF!</definedName>
    <definedName name="ооо" localSheetId="14">#REF!</definedName>
    <definedName name="ооо" localSheetId="15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3">#REF!</definedName>
    <definedName name="пп" localSheetId="14">#REF!</definedName>
    <definedName name="пп" localSheetId="15">#REF!</definedName>
    <definedName name="пп" localSheetId="5">#REF!</definedName>
    <definedName name="пп" localSheetId="6">#REF!</definedName>
    <definedName name="пп" localSheetId="8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3">#REF!</definedName>
    <definedName name="ппп" localSheetId="14">#REF!</definedName>
    <definedName name="ппп" localSheetId="15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5">#REF!</definedName>
    <definedName name="Прибыль_RAB">#REF!</definedName>
    <definedName name="Прибыль_Масса" localSheetId="5">#REF!</definedName>
    <definedName name="Прибыль_Масса">#REF!</definedName>
    <definedName name="Прибыль_Метод" localSheetId="5">#REF!</definedName>
    <definedName name="Прибыль_Метод">#REF!</definedName>
    <definedName name="Прибыль_ПроцентОС" localSheetId="5">#REF!</definedName>
    <definedName name="Прибыль_ПроцентОС">#REF!</definedName>
    <definedName name="Прибыль_ПроцентСС" localSheetId="5">#REF!</definedName>
    <definedName name="Прибыль_ПроцентСС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5">#REF!</definedName>
    <definedName name="приоб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3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5">#REF!</definedName>
    <definedName name="СтавкаДКЗ">#REF!</definedName>
    <definedName name="СтавкаЕСН" localSheetId="5">#REF!</definedName>
    <definedName name="СтавкаЕСН">#REF!</definedName>
    <definedName name="СтавкаНДС" localSheetId="5">#REF!</definedName>
    <definedName name="СтавкаНДС">#REF!</definedName>
    <definedName name="СтавкаНП" localSheetId="5">#REF!</definedName>
    <definedName name="СтавкаНП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3">#REF!</definedName>
    <definedName name="ттт" localSheetId="14">#REF!</definedName>
    <definedName name="ттт" localSheetId="15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3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3">#REF!</definedName>
    <definedName name="ффф" localSheetId="14">#REF!</definedName>
    <definedName name="ффф" localSheetId="15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3">#REF!</definedName>
    <definedName name="хх" localSheetId="14">#REF!</definedName>
    <definedName name="хх" localSheetId="15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3">#REF!</definedName>
    <definedName name="цц" localSheetId="14">#REF!</definedName>
    <definedName name="цц" localSheetId="15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3">#REF!</definedName>
    <definedName name="шш" localSheetId="14">#REF!</definedName>
    <definedName name="шш" localSheetId="15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3">#REF!</definedName>
    <definedName name="щщ" localSheetId="14">#REF!</definedName>
    <definedName name="щщ" localSheetId="15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3">#REF!</definedName>
    <definedName name="ььь" localSheetId="14">#REF!</definedName>
    <definedName name="ььь" localSheetId="15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3">#REF!</definedName>
    <definedName name="э" localSheetId="14">#REF!</definedName>
    <definedName name="э" localSheetId="15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3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3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>#REF!</definedName>
    <definedName name="электроэнер" localSheetId="5">#REF!</definedName>
    <definedName name="электроэнер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3">#REF!</definedName>
    <definedName name="юююю" localSheetId="14">#REF!</definedName>
    <definedName name="юююю" localSheetId="15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C41" i="8" l="1"/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F13" i="10"/>
  <c r="G13" i="10" s="1"/>
  <c r="E13" i="10"/>
  <c r="D13" i="10"/>
  <c r="C13" i="10"/>
  <c r="B13" i="10"/>
  <c r="E12" i="10"/>
  <c r="D12" i="10"/>
  <c r="C12" i="10"/>
  <c r="B12" i="10"/>
  <c r="I74" i="9"/>
  <c r="J74" i="9" s="1"/>
  <c r="G74" i="9"/>
  <c r="J73" i="9"/>
  <c r="I73" i="9"/>
  <c r="G73" i="9"/>
  <c r="I72" i="9"/>
  <c r="J72" i="9" s="1"/>
  <c r="G72" i="9"/>
  <c r="I71" i="9"/>
  <c r="J71" i="9" s="1"/>
  <c r="G71" i="9"/>
  <c r="J70" i="9"/>
  <c r="I70" i="9"/>
  <c r="G70" i="9"/>
  <c r="I69" i="9"/>
  <c r="J69" i="9" s="1"/>
  <c r="G69" i="9"/>
  <c r="I68" i="9"/>
  <c r="J68" i="9" s="1"/>
  <c r="G68" i="9"/>
  <c r="J67" i="9"/>
  <c r="I67" i="9"/>
  <c r="G67" i="9"/>
  <c r="I66" i="9"/>
  <c r="J66" i="9" s="1"/>
  <c r="G66" i="9"/>
  <c r="I65" i="9"/>
  <c r="J65" i="9" s="1"/>
  <c r="G65" i="9"/>
  <c r="J64" i="9"/>
  <c r="I64" i="9"/>
  <c r="G64" i="9"/>
  <c r="I63" i="9"/>
  <c r="J63" i="9" s="1"/>
  <c r="G63" i="9"/>
  <c r="I62" i="9"/>
  <c r="J62" i="9" s="1"/>
  <c r="G62" i="9"/>
  <c r="J61" i="9"/>
  <c r="I61" i="9"/>
  <c r="G61" i="9"/>
  <c r="I60" i="9"/>
  <c r="J60" i="9" s="1"/>
  <c r="G60" i="9"/>
  <c r="I59" i="9"/>
  <c r="J59" i="9" s="1"/>
  <c r="G59" i="9"/>
  <c r="J58" i="9"/>
  <c r="I58" i="9"/>
  <c r="G58" i="9"/>
  <c r="I57" i="9"/>
  <c r="J57" i="9" s="1"/>
  <c r="G57" i="9"/>
  <c r="I56" i="9"/>
  <c r="J56" i="9" s="1"/>
  <c r="G56" i="9"/>
  <c r="J55" i="9"/>
  <c r="I55" i="9"/>
  <c r="G55" i="9"/>
  <c r="I54" i="9"/>
  <c r="J54" i="9" s="1"/>
  <c r="G54" i="9"/>
  <c r="I53" i="9"/>
  <c r="J53" i="9" s="1"/>
  <c r="G53" i="9"/>
  <c r="J52" i="9"/>
  <c r="I52" i="9"/>
  <c r="G52" i="9"/>
  <c r="I51" i="9"/>
  <c r="J51" i="9" s="1"/>
  <c r="G51" i="9"/>
  <c r="I50" i="9"/>
  <c r="J50" i="9" s="1"/>
  <c r="G50" i="9"/>
  <c r="J49" i="9"/>
  <c r="I49" i="9"/>
  <c r="G49" i="9"/>
  <c r="I48" i="9"/>
  <c r="J48" i="9" s="1"/>
  <c r="G48" i="9"/>
  <c r="I47" i="9"/>
  <c r="J47" i="9" s="1"/>
  <c r="J75" i="9" s="1"/>
  <c r="C17" i="8" s="1"/>
  <c r="G47" i="9"/>
  <c r="J45" i="9"/>
  <c r="I45" i="9"/>
  <c r="G45" i="9"/>
  <c r="J44" i="9"/>
  <c r="I44" i="9"/>
  <c r="G44" i="9"/>
  <c r="I43" i="9"/>
  <c r="J43" i="9" s="1"/>
  <c r="J46" i="9" s="1"/>
  <c r="G43" i="9"/>
  <c r="J42" i="9"/>
  <c r="I42" i="9"/>
  <c r="G42" i="9"/>
  <c r="J41" i="9"/>
  <c r="I41" i="9"/>
  <c r="G41" i="9"/>
  <c r="G46" i="9" s="1"/>
  <c r="I34" i="9"/>
  <c r="J34" i="9" s="1"/>
  <c r="G34" i="9"/>
  <c r="J33" i="9"/>
  <c r="J35" i="9" s="1"/>
  <c r="J37" i="9" s="1"/>
  <c r="F33" i="9"/>
  <c r="G33" i="9" s="1"/>
  <c r="J28" i="9"/>
  <c r="I28" i="9"/>
  <c r="G28" i="9"/>
  <c r="J27" i="9"/>
  <c r="I27" i="9"/>
  <c r="G27" i="9"/>
  <c r="I26" i="9"/>
  <c r="J26" i="9" s="1"/>
  <c r="G26" i="9"/>
  <c r="J25" i="9"/>
  <c r="I25" i="9"/>
  <c r="G25" i="9"/>
  <c r="J24" i="9"/>
  <c r="I24" i="9"/>
  <c r="G24" i="9"/>
  <c r="I23" i="9"/>
  <c r="J23" i="9" s="1"/>
  <c r="G23" i="9"/>
  <c r="G29" i="9" s="1"/>
  <c r="J21" i="9"/>
  <c r="I21" i="9"/>
  <c r="G21" i="9"/>
  <c r="I20" i="9"/>
  <c r="J20" i="9" s="1"/>
  <c r="G20" i="9"/>
  <c r="I19" i="9"/>
  <c r="J19" i="9" s="1"/>
  <c r="J22" i="9" s="1"/>
  <c r="C12" i="8" s="1"/>
  <c r="G19" i="9"/>
  <c r="G16" i="9"/>
  <c r="F16" i="9" s="1"/>
  <c r="I16" i="9" s="1"/>
  <c r="J16" i="9" s="1"/>
  <c r="C15" i="8" s="1"/>
  <c r="I13" i="9"/>
  <c r="G13" i="9"/>
  <c r="C33" i="8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7" i="7"/>
  <c r="H16" i="7"/>
  <c r="H15" i="7"/>
  <c r="H14" i="7"/>
  <c r="H13" i="7"/>
  <c r="H12" i="7"/>
  <c r="F12" i="7"/>
  <c r="D24" i="5"/>
  <c r="D23" i="5"/>
  <c r="D19" i="5"/>
  <c r="D18" i="5"/>
  <c r="D17" i="5"/>
  <c r="B32" i="4"/>
  <c r="B30" i="4"/>
  <c r="B28" i="4"/>
  <c r="B27" i="4"/>
  <c r="B26" i="4"/>
  <c r="B19" i="4"/>
  <c r="B17" i="4"/>
  <c r="A4" i="4"/>
  <c r="A2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B10" i="4" l="1"/>
  <c r="J29" i="9"/>
  <c r="B13" i="4"/>
  <c r="J76" i="9"/>
  <c r="C16" i="8"/>
  <c r="C18" i="8" s="1"/>
  <c r="G35" i="9"/>
  <c r="J38" i="9"/>
  <c r="C26" i="8" s="1"/>
  <c r="C25" i="8"/>
  <c r="F12" i="10"/>
  <c r="G12" i="10" s="1"/>
  <c r="G14" i="10" s="1"/>
  <c r="G75" i="9"/>
  <c r="G22" i="9"/>
  <c r="E13" i="9"/>
  <c r="G14" i="9"/>
  <c r="D78" i="9"/>
  <c r="B12" i="4"/>
  <c r="B9" i="4" l="1"/>
  <c r="B11" i="4" s="1"/>
  <c r="B14" i="4"/>
  <c r="B15" i="4" s="1"/>
  <c r="B23" i="4"/>
  <c r="C12" i="2" s="1"/>
  <c r="D18" i="2" s="1"/>
  <c r="G15" i="10"/>
  <c r="B22" i="4" s="1"/>
  <c r="G38" i="9"/>
  <c r="G30" i="9"/>
  <c r="H35" i="9"/>
  <c r="G37" i="9"/>
  <c r="G76" i="9"/>
  <c r="G77" i="9" s="1"/>
  <c r="J30" i="9"/>
  <c r="C13" i="8"/>
  <c r="C14" i="8" s="1"/>
  <c r="E14" i="9"/>
  <c r="J13" i="9"/>
  <c r="J14" i="9" s="1"/>
  <c r="J78" i="9" s="1"/>
  <c r="C23" i="8"/>
  <c r="D79" i="9"/>
  <c r="B8" i="4"/>
  <c r="H13" i="9"/>
  <c r="H72" i="9" l="1"/>
  <c r="H69" i="9"/>
  <c r="H66" i="9"/>
  <c r="H63" i="9"/>
  <c r="H60" i="9"/>
  <c r="H57" i="9"/>
  <c r="H54" i="9"/>
  <c r="H51" i="9"/>
  <c r="H48" i="9"/>
  <c r="H43" i="9"/>
  <c r="H41" i="9"/>
  <c r="H76" i="9"/>
  <c r="H44" i="9"/>
  <c r="H74" i="9"/>
  <c r="H67" i="9"/>
  <c r="H73" i="9"/>
  <c r="H71" i="9"/>
  <c r="H50" i="9"/>
  <c r="H42" i="9"/>
  <c r="H53" i="9"/>
  <c r="H68" i="9"/>
  <c r="H45" i="9"/>
  <c r="H46" i="9"/>
  <c r="H47" i="9"/>
  <c r="H56" i="9"/>
  <c r="H49" i="9"/>
  <c r="H52" i="9"/>
  <c r="H55" i="9"/>
  <c r="H64" i="9"/>
  <c r="H59" i="9"/>
  <c r="H62" i="9"/>
  <c r="H65" i="9"/>
  <c r="H70" i="9"/>
  <c r="H58" i="9"/>
  <c r="H61" i="9"/>
  <c r="H36" i="9"/>
  <c r="H37" i="9"/>
  <c r="H34" i="9"/>
  <c r="H33" i="9"/>
  <c r="H75" i="9"/>
  <c r="H20" i="9"/>
  <c r="H26" i="9"/>
  <c r="H23" i="9"/>
  <c r="H27" i="9"/>
  <c r="H24" i="9"/>
  <c r="H21" i="9"/>
  <c r="H28" i="9"/>
  <c r="H19" i="9"/>
  <c r="H25" i="9"/>
  <c r="H29" i="9"/>
  <c r="G80" i="9"/>
  <c r="G81" i="9" s="1"/>
  <c r="G82" i="9" s="1"/>
  <c r="H22" i="9"/>
  <c r="B16" i="4"/>
  <c r="B21" i="4" s="1"/>
  <c r="C8" i="4" s="1"/>
  <c r="B18" i="4"/>
  <c r="B20" i="4"/>
  <c r="J79" i="9"/>
  <c r="C21" i="8"/>
  <c r="C20" i="8" s="1"/>
  <c r="C11" i="8"/>
  <c r="J80" i="9"/>
  <c r="J81" i="9" s="1"/>
  <c r="J82" i="9" s="1"/>
  <c r="J77" i="9"/>
  <c r="B24" i="4" l="1"/>
  <c r="C19" i="8"/>
  <c r="C19" i="4"/>
  <c r="C21" i="4"/>
  <c r="C15" i="4"/>
  <c r="C13" i="4"/>
  <c r="C11" i="4"/>
  <c r="C9" i="4"/>
  <c r="C10" i="4"/>
  <c r="C17" i="4"/>
  <c r="C14" i="4"/>
  <c r="C12" i="4"/>
  <c r="B33" i="4"/>
  <c r="C22" i="8"/>
  <c r="B34" i="4" l="1"/>
  <c r="B35" i="4"/>
  <c r="D33" i="4" s="1"/>
  <c r="C24" i="8"/>
  <c r="D17" i="8" l="1"/>
  <c r="D13" i="8"/>
  <c r="C29" i="8"/>
  <c r="C30" i="8" s="1"/>
  <c r="C27" i="8"/>
  <c r="D24" i="8"/>
  <c r="D18" i="8"/>
  <c r="D16" i="8"/>
  <c r="D14" i="8"/>
  <c r="D12" i="8"/>
  <c r="D15" i="8"/>
  <c r="D11" i="8"/>
  <c r="D20" i="8"/>
  <c r="D28" i="4"/>
  <c r="D15" i="4"/>
  <c r="D13" i="4"/>
  <c r="D11" i="4"/>
  <c r="D9" i="4"/>
  <c r="D26" i="4"/>
  <c r="D19" i="4"/>
  <c r="B36" i="4"/>
  <c r="D27" i="4"/>
  <c r="D23" i="4"/>
  <c r="D17" i="4"/>
  <c r="D30" i="4"/>
  <c r="D35" i="4"/>
  <c r="D32" i="4"/>
  <c r="D14" i="4"/>
  <c r="D10" i="4"/>
  <c r="D22" i="4"/>
  <c r="D12" i="4"/>
  <c r="D8" i="4"/>
  <c r="D21" i="4"/>
  <c r="D24" i="4"/>
  <c r="D22" i="8"/>
  <c r="D34" i="4"/>
  <c r="C34" i="8" l="1"/>
  <c r="C32" i="8"/>
  <c r="C13" i="2"/>
  <c r="C10" i="1"/>
  <c r="C9" i="2"/>
  <c r="B18" i="2" s="1"/>
  <c r="C35" i="8"/>
  <c r="C36" i="8" l="1"/>
  <c r="C37" i="8"/>
  <c r="C38" i="8" l="1"/>
  <c r="C39" i="8"/>
  <c r="E39" i="8" l="1"/>
  <c r="C40" i="8"/>
  <c r="E33" i="8" l="1"/>
  <c r="E17" i="8"/>
  <c r="E13" i="8"/>
  <c r="E25" i="8"/>
  <c r="D11" i="11"/>
  <c r="E18" i="8"/>
  <c r="E16" i="8"/>
  <c r="E14" i="8"/>
  <c r="E12" i="8"/>
  <c r="E40" i="8"/>
  <c r="E31" i="8"/>
  <c r="E26" i="8"/>
  <c r="E15" i="8"/>
  <c r="E11" i="8"/>
  <c r="E20" i="8"/>
  <c r="E22" i="8"/>
  <c r="E24" i="8"/>
  <c r="E29" i="8"/>
  <c r="E27" i="8"/>
  <c r="E30" i="8"/>
  <c r="E35" i="8"/>
  <c r="E32" i="8"/>
  <c r="E34" i="8"/>
  <c r="E37" i="8"/>
  <c r="E38" i="8"/>
  <c r="E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<sst xmlns="http://schemas.openxmlformats.org/spreadsheetml/2006/main" count="806" uniqueCount="472">
  <si>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</si>
  <si>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</si>
  <si>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</si>
  <si>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</si>
  <si>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</si>
  <si>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</si>
  <si>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</si>
  <si>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</si>
  <si>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</si>
  <si>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</si>
  <si>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</si>
  <si>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</si>
  <si>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</si>
  <si>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</si>
  <si>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</si>
  <si>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</si>
  <si>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</si>
  <si>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</si>
  <si>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</si>
  <si>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</si>
  <si>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</si>
  <si>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</si>
  <si>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</si>
  <si>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</si>
  <si>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</si>
  <si>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</si>
  <si>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</si>
  <si>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</si>
  <si>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</si>
  <si>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</si>
  <si>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</si>
  <si>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</si>
  <si>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</si>
  <si>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</si>
  <si>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</si>
  <si>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</si>
  <si>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</si>
  <si>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</si>
  <si>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</si>
  <si>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</si>
  <si>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</si>
  <si>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</si>
  <si>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</si>
  <si>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</si>
  <si>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</si>
  <si>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</si>
  <si>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</si>
  <si>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</si>
  <si>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</si>
  <si>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</si>
  <si>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</si>
  <si>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</si>
  <si>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</si>
  <si>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</si>
  <si>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</si>
  <si>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</si>
  <si>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</si>
  <si>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</si>
  <si>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</si>
  <si>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</si>
  <si>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</si>
  <si>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</si>
  <si>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</si>
  <si>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</si>
  <si>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</si>
  <si>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</si>
  <si>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</si>
  <si>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</si>
  <si>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</si>
  <si>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</si>
  <si>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</si>
  <si>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</si>
  <si>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</si>
  <si>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</si>
  <si>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</si>
  <si>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</si>
  <si>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</si>
  <si>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</si>
  <si>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</si>
  <si>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</si>
  <si>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</si>
  <si>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</si>
  <si>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</si>
  <si>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</si>
  <si>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ПС 750 кВ</t>
  </si>
  <si>
    <t>Сопоставимый уровень цен: 4 кв. 2018г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</si>
  <si>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</si>
  <si>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</si>
  <si>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</si>
  <si>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</si>
  <si>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</si>
  <si>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</si>
  <si>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</si>
  <si>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</si>
  <si>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</si>
  <si>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</si>
  <si>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</si>
  <si>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</si>
  <si>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</si>
  <si>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</si>
  <si>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</si>
  <si>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</si>
  <si>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</si>
  <si>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</si>
  <si>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</si>
  <si>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-</t>
  </si>
  <si>
    <t>6.4</t>
  </si>
  <si>
    <t>прочие и лимитированные затраты</t>
  </si>
  <si>
    <t>Сопоставимый уровень цен</t>
  </si>
  <si>
    <t>4 кв. 2018г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</si>
  <si>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</si>
  <si>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</si>
  <si>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</si>
  <si>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</si>
  <si>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</si>
  <si>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</si>
  <si>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</si>
  <si>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</si>
  <si>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</si>
  <si>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</si>
  <si>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</si>
  <si>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</si>
  <si>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2018г., тыс. руб.</t>
  </si>
  <si>
    <t>Строительные работы</t>
  </si>
  <si>
    <t>Монтажные работы</t>
  </si>
  <si>
    <t>Прочее</t>
  </si>
  <si>
    <t>Всего</t>
  </si>
  <si>
    <t>Откатные (раздвижные, автоматические, противопожарные) ворота ПС 750 кВ</t>
  </si>
  <si>
    <t>Всего по объекту:</t>
  </si>
  <si>
    <t>Всего по объекту в сопоставимом уровне цен 4 кв. 2018г: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</si>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</sst>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top" wrapText="1"/>
    </xf>
    <xf numFmtId="43" fontId="0" fillId="0" borderId="0" xfId="0" applyNumberFormat="1"/>
    <xf numFmtId="0" fontId="16" fillId="0" borderId="0" xfId="0" applyFont="1"/>
    <xf numFmtId="0" fontId="16" fillId="0" borderId="1" xfId="0" applyFont="1" applyBorder="1" applyAlignment="1">
      <alignment vertical="center" wrapText="1"/>
    </xf>
    <xf numFmtId="0" fontId="25" fillId="0" borderId="0" xfId="0" applyFont="1"/>
    <xf numFmtId="4" fontId="16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 wrapText="1"/>
    </xf>
    <xf numFmtId="4" fontId="16" fillId="0" borderId="6" xfId="0" applyNumberFormat="1" applyFont="1" applyBorder="1" applyAlignment="1">
      <alignment horizontal="center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26</xdr:row>
      <xdr:rowOff>66674</xdr:rowOff>
    </xdr:from>
    <xdr:to>
      <xdr:col>2</xdr:col>
      <xdr:colOff>1357552</xdr:colOff>
      <xdr:row>29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B3CBE44-30FE-4265-895B-687D3100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0" y="105727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555625</xdr:colOff>
      <xdr:row>23</xdr:row>
      <xdr:rowOff>596900</xdr:rowOff>
    </xdr:from>
    <xdr:to>
      <xdr:col>2</xdr:col>
      <xdr:colOff>1260475</xdr:colOff>
      <xdr:row>26</xdr:row>
      <xdr:rowOff>45664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7DED8311-D2DD-4B9D-A8EE-956661E53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4825" y="10112375"/>
          <a:ext cx="704850" cy="439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977713</xdr:colOff>
      <xdr:row>18</xdr:row>
      <xdr:rowOff>79187</xdr:rowOff>
    </xdr:from>
    <xdr:to>
      <xdr:col>2</xdr:col>
      <xdr:colOff>1922515</xdr:colOff>
      <xdr:row>21</xdr:row>
      <xdr:rowOff>31900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F42240-5241-4630-B65C-EF30D9F11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470721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1120588</xdr:colOff>
      <xdr:row>15</xdr:row>
      <xdr:rowOff>183963</xdr:rowOff>
    </xdr:from>
    <xdr:to>
      <xdr:col>2</xdr:col>
      <xdr:colOff>1825438</xdr:colOff>
      <xdr:row>18</xdr:row>
      <xdr:rowOff>58177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8A3C6291-909C-4779-A6C9-CE027A59A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4240492"/>
          <a:ext cx="704850" cy="44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68</xdr:row>
      <xdr:rowOff>101412</xdr:rowOff>
    </xdr:from>
    <xdr:to>
      <xdr:col>2</xdr:col>
      <xdr:colOff>1325802</xdr:colOff>
      <xdr:row>71</xdr:row>
      <xdr:rowOff>22189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6C83F6-BBA8-4F6C-8F37-FEAA6A3A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7513112"/>
          <a:ext cx="944802" cy="520852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66</xdr:row>
      <xdr:rowOff>9525</xdr:rowOff>
    </xdr:from>
    <xdr:to>
      <xdr:col>2</xdr:col>
      <xdr:colOff>1171575</xdr:colOff>
      <xdr:row>68</xdr:row>
      <xdr:rowOff>51827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53DE4CD7-A31B-4FDF-9543-635A7CD0B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7021175"/>
          <a:ext cx="704850" cy="442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43</xdr:row>
      <xdr:rowOff>95249</xdr:rowOff>
    </xdr:from>
    <xdr:to>
      <xdr:col>1</xdr:col>
      <xdr:colOff>1849677</xdr:colOff>
      <xdr:row>46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D5D1AF-98E0-4BD0-8FD6-969AC96E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17157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1057275</xdr:colOff>
      <xdr:row>40</xdr:row>
      <xdr:rowOff>161925</xdr:rowOff>
    </xdr:from>
    <xdr:to>
      <xdr:col>1</xdr:col>
      <xdr:colOff>1762125</xdr:colOff>
      <xdr:row>43</xdr:row>
      <xdr:rowOff>36139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7CCFB037-7A26-4600-A612-8B56E8128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1210925"/>
          <a:ext cx="704850" cy="44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679077</xdr:colOff>
      <xdr:row>84</xdr:row>
      <xdr:rowOff>87966</xdr:rowOff>
    </xdr:from>
    <xdr:to>
      <xdr:col>2</xdr:col>
      <xdr:colOff>118929</xdr:colOff>
      <xdr:row>87</xdr:row>
      <xdr:rowOff>51885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36A1D96-4542-43B9-B41F-F26FD81B1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077" y="22477319"/>
          <a:ext cx="941440" cy="501801"/>
        </a:xfrm>
        <a:prstGeom prst="rect">
          <a:avLst/>
        </a:prstGeom>
      </xdr:spPr>
    </xdr:pic>
    <xdr:clientData/>
  </xdr:twoCellAnchor>
  <xdr:twoCellAnchor editAs="oneCell">
    <xdr:from>
      <xdr:col>1</xdr:col>
      <xdr:colOff>788334</xdr:colOff>
      <xdr:row>81</xdr:row>
      <xdr:rowOff>428065</xdr:rowOff>
    </xdr:from>
    <xdr:to>
      <xdr:col>1</xdr:col>
      <xdr:colOff>1470772</xdr:colOff>
      <xdr:row>84</xdr:row>
      <xdr:rowOff>44543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A5D8FB23-3591-44FF-BA18-B75973F45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334" y="22010594"/>
          <a:ext cx="682438" cy="4233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17</xdr:row>
      <xdr:rowOff>66674</xdr:rowOff>
    </xdr:from>
    <xdr:to>
      <xdr:col>2</xdr:col>
      <xdr:colOff>354252</xdr:colOff>
      <xdr:row>20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83A1927-DE8C-482C-9F21-623D33D7F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45148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14</xdr:row>
      <xdr:rowOff>209550</xdr:rowOff>
    </xdr:from>
    <xdr:to>
      <xdr:col>2</xdr:col>
      <xdr:colOff>142875</xdr:colOff>
      <xdr:row>17</xdr:row>
      <xdr:rowOff>26614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FE35F39-8B58-4EDA-B6A4-A84455E96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029075"/>
          <a:ext cx="704850" cy="44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13</xdr:row>
      <xdr:rowOff>133349</xdr:rowOff>
    </xdr:from>
    <xdr:to>
      <xdr:col>1</xdr:col>
      <xdr:colOff>859077</xdr:colOff>
      <xdr:row>16</xdr:row>
      <xdr:rowOff>86062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C6D2870-31B0-45A4-9A7D-76D92CC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36194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581025</xdr:rowOff>
    </xdr:from>
    <xdr:to>
      <xdr:col>1</xdr:col>
      <xdr:colOff>704850</xdr:colOff>
      <xdr:row>13</xdr:row>
      <xdr:rowOff>45664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16C6658-142D-44C5-9532-9612CC34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086100"/>
          <a:ext cx="704850" cy="44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921684</xdr:colOff>
      <xdr:row>26</xdr:row>
      <xdr:rowOff>86658</xdr:rowOff>
    </xdr:from>
    <xdr:to>
      <xdr:col>1</xdr:col>
      <xdr:colOff>1866486</xdr:colOff>
      <xdr:row>29</xdr:row>
      <xdr:rowOff>39371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26EF18D-F242-472F-AD8D-2133725A2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802" y="893930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1064559</xdr:colOff>
      <xdr:row>24</xdr:row>
      <xdr:rowOff>934</xdr:rowOff>
    </xdr:from>
    <xdr:to>
      <xdr:col>1</xdr:col>
      <xdr:colOff>1769409</xdr:colOff>
      <xdr:row>26</xdr:row>
      <xdr:rowOff>65648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14CE48D3-A6BD-4BCF-A060-16D348E4D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677" y="8472581"/>
          <a:ext cx="704850" cy="44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57" t="s">
        <v>0</v>
      </c>
      <c r="B2" s="357"/>
      <c r="C2" s="357"/>
    </row>
    <row r="3" spans="1:3" x14ac:dyDescent="0.25">
      <c r="A3" s="1"/>
      <c r="B3" s="1"/>
      <c r="C3" s="1"/>
    </row>
    <row r="4" spans="1:3" x14ac:dyDescent="0.25">
      <c r="A4" s="358" t="s">
        <v>1</v>
      </c>
      <c r="B4" s="358"/>
      <c r="C4" s="35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9" t="s">
        <v>2</v>
      </c>
      <c r="B6" s="359" t="s">
        <v>3</v>
      </c>
      <c r="C6" s="359"/>
    </row>
    <row r="7" spans="1:3" x14ac:dyDescent="0.25">
      <c r="A7" s="160" t="s">
        <v>4</v>
      </c>
      <c r="B7" s="1"/>
      <c r="C7" s="1"/>
    </row>
    <row r="8" spans="1:3" x14ac:dyDescent="0.25">
      <c r="A8" s="160"/>
      <c r="B8" s="1"/>
      <c r="C8" s="1"/>
    </row>
    <row r="9" spans="1:3" ht="39.6" customHeight="1" x14ac:dyDescent="0.25">
      <c r="A9" s="2" t="s">
        <v>5</v>
      </c>
      <c r="B9" s="2" t="s">
        <v>6</v>
      </c>
      <c r="C9" s="161" t="s">
        <v>7</v>
      </c>
    </row>
    <row r="10" spans="1:3" ht="86.45" customHeight="1" x14ac:dyDescent="0.25">
      <c r="A10" s="162" t="s">
        <v>8</v>
      </c>
      <c r="B10" s="163" t="s">
        <v>9</v>
      </c>
      <c r="C10" s="3">
        <f>'4.5 РМ'!B36/1000</f>
        <v>29.553641298605832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1"/>
  <sheetViews>
    <sheetView view="pageBreakPreview" workbookViewId="0">
      <selection activeCell="F24" sqref="F2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407" t="s">
        <v>311</v>
      </c>
      <c r="B1" s="407"/>
      <c r="C1" s="407"/>
      <c r="D1" s="407"/>
      <c r="E1" s="407"/>
      <c r="F1" s="407"/>
      <c r="G1" s="407"/>
    </row>
    <row r="2" spans="1:7" ht="21.75" customHeight="1" x14ac:dyDescent="0.25">
      <c r="A2" s="152"/>
      <c r="B2" s="152"/>
      <c r="C2" s="152"/>
      <c r="D2" s="152"/>
      <c r="E2" s="152"/>
      <c r="F2" s="152"/>
      <c r="G2" s="152"/>
    </row>
    <row r="3" spans="1:7" x14ac:dyDescent="0.25">
      <c r="A3" s="357" t="s">
        <v>312</v>
      </c>
      <c r="B3" s="357"/>
      <c r="C3" s="357"/>
      <c r="D3" s="357"/>
      <c r="E3" s="357"/>
      <c r="F3" s="357"/>
      <c r="G3" s="357"/>
    </row>
    <row r="4" spans="1:7" ht="25.5" customHeight="1" x14ac:dyDescent="0.25">
      <c r="A4" s="360" t="s">
        <v>84</v>
      </c>
      <c r="B4" s="360"/>
      <c r="C4" s="360"/>
      <c r="D4" s="360"/>
      <c r="E4" s="360"/>
      <c r="F4" s="360"/>
      <c r="G4" s="360"/>
    </row>
    <row r="5" spans="1:7" x14ac:dyDescent="0.25">
      <c r="A5" s="146"/>
      <c r="B5" s="146"/>
      <c r="C5" s="146"/>
      <c r="D5" s="146"/>
      <c r="E5" s="146"/>
      <c r="F5" s="146"/>
      <c r="G5" s="146"/>
    </row>
    <row r="6" spans="1:7" ht="30.2" customHeight="1" x14ac:dyDescent="0.25">
      <c r="A6" s="412" t="s">
        <v>13</v>
      </c>
      <c r="B6" s="412" t="s">
        <v>138</v>
      </c>
      <c r="C6" s="412" t="s">
        <v>46</v>
      </c>
      <c r="D6" s="412" t="s">
        <v>140</v>
      </c>
      <c r="E6" s="392" t="s">
        <v>281</v>
      </c>
      <c r="F6" s="412" t="s">
        <v>47</v>
      </c>
      <c r="G6" s="412"/>
    </row>
    <row r="7" spans="1:7" x14ac:dyDescent="0.25">
      <c r="A7" s="412"/>
      <c r="B7" s="412"/>
      <c r="C7" s="412"/>
      <c r="D7" s="412"/>
      <c r="E7" s="393"/>
      <c r="F7" s="142" t="s">
        <v>284</v>
      </c>
      <c r="G7" s="142" t="s">
        <v>143</v>
      </c>
    </row>
    <row r="8" spans="1:7" x14ac:dyDescent="0.25">
      <c r="A8" s="142">
        <v>1</v>
      </c>
      <c r="B8" s="142">
        <v>2</v>
      </c>
      <c r="C8" s="142">
        <v>3</v>
      </c>
      <c r="D8" s="142">
        <v>4</v>
      </c>
      <c r="E8" s="142">
        <v>5</v>
      </c>
      <c r="F8" s="142">
        <v>6</v>
      </c>
      <c r="G8" s="142">
        <v>7</v>
      </c>
    </row>
    <row r="9" spans="1:7" ht="15" customHeight="1" x14ac:dyDescent="0.25">
      <c r="A9" s="147"/>
      <c r="B9" s="408" t="s">
        <v>313</v>
      </c>
      <c r="C9" s="409"/>
      <c r="D9" s="409"/>
      <c r="E9" s="409"/>
      <c r="F9" s="409"/>
      <c r="G9" s="410"/>
    </row>
    <row r="10" spans="1:7" ht="27" customHeight="1" x14ac:dyDescent="0.25">
      <c r="A10" s="142"/>
      <c r="B10" s="145"/>
      <c r="C10" s="143" t="s">
        <v>314</v>
      </c>
      <c r="D10" s="145"/>
      <c r="E10" s="148"/>
      <c r="F10" s="144"/>
      <c r="G10" s="144">
        <v>0</v>
      </c>
    </row>
    <row r="11" spans="1:7" x14ac:dyDescent="0.25">
      <c r="A11" s="142"/>
      <c r="B11" s="399" t="s">
        <v>315</v>
      </c>
      <c r="C11" s="399"/>
      <c r="D11" s="399"/>
      <c r="E11" s="411"/>
      <c r="F11" s="401"/>
      <c r="G11" s="401"/>
    </row>
    <row r="12" spans="1:7" ht="33" customHeight="1" x14ac:dyDescent="0.25">
      <c r="A12" s="142">
        <v>1</v>
      </c>
      <c r="B12" s="292" t="str">
        <f>'Прил.5 Расчет СМР и ОБ'!B33</f>
        <v>БЦ.92_4.11</v>
      </c>
      <c r="C12" s="292" t="str">
        <f>'Прил.5 Расчет СМР и ОБ'!C33</f>
        <v>Мотор-редуктор для откатных ворот</v>
      </c>
      <c r="D12" s="302" t="str">
        <f>'Прил.5 Расчет СМР и ОБ'!D33</f>
        <v>шт</v>
      </c>
      <c r="E12" s="303">
        <f>'Прил.5 Расчет СМР и ОБ'!E33</f>
        <v>1</v>
      </c>
      <c r="F12" s="292">
        <f>'Прил.5 Расчет СМР и ОБ'!F33</f>
        <v>3642.45</v>
      </c>
      <c r="G12" s="170">
        <f>ROUND(E12*F12,2)</f>
        <v>3642.45</v>
      </c>
    </row>
    <row r="13" spans="1:7" ht="33" customHeight="1" x14ac:dyDescent="0.25">
      <c r="A13" s="142">
        <v>2</v>
      </c>
      <c r="B13" s="292" t="str">
        <f>'Прил.5 Расчет СМР и ОБ'!B34</f>
        <v>62.1.02.14-0069</v>
      </c>
      <c r="C13" s="292" t="str">
        <f>'Прил.5 Расчет СМР и ОБ'!C34</f>
        <v>Ящик управления РУСМ 5410-2274 У2</v>
      </c>
      <c r="D13" s="302" t="str">
        <f>'Прил.5 Расчет СМР и ОБ'!D34</f>
        <v>шт.</v>
      </c>
      <c r="E13" s="303">
        <f>'Прил.5 Расчет СМР и ОБ'!E34</f>
        <v>1</v>
      </c>
      <c r="F13" s="292">
        <f>'Прил.5 Расчет СМР и ОБ'!F34</f>
        <v>1097.28</v>
      </c>
      <c r="G13" s="170">
        <f>ROUND(E13*F13,2)</f>
        <v>1097.28</v>
      </c>
    </row>
    <row r="14" spans="1:7" ht="25.5" customHeight="1" x14ac:dyDescent="0.25">
      <c r="A14" s="142"/>
      <c r="B14" s="143"/>
      <c r="C14" s="143" t="s">
        <v>316</v>
      </c>
      <c r="D14" s="143"/>
      <c r="E14" s="149"/>
      <c r="F14" s="144"/>
      <c r="G14" s="170">
        <f>SUM(G12:G13)</f>
        <v>4739.7299999999996</v>
      </c>
    </row>
    <row r="15" spans="1:7" ht="19.5" customHeight="1" x14ac:dyDescent="0.25">
      <c r="A15" s="142"/>
      <c r="B15" s="143"/>
      <c r="C15" s="143" t="s">
        <v>317</v>
      </c>
      <c r="D15" s="143"/>
      <c r="E15" s="149"/>
      <c r="F15" s="144"/>
      <c r="G15" s="170">
        <f>G10+G14</f>
        <v>4739.7299999999996</v>
      </c>
    </row>
    <row r="16" spans="1:7" x14ac:dyDescent="0.25">
      <c r="A16" s="150"/>
      <c r="B16" s="151"/>
      <c r="C16" s="150"/>
      <c r="D16" s="150"/>
      <c r="E16" s="150"/>
      <c r="F16" s="150"/>
      <c r="G16" s="150"/>
    </row>
    <row r="17" spans="1:7" x14ac:dyDescent="0.25">
      <c r="A17" s="4" t="s">
        <v>310</v>
      </c>
      <c r="B17" s="14"/>
      <c r="C17" s="14"/>
      <c r="D17" s="150"/>
      <c r="E17" s="150"/>
      <c r="F17" s="150"/>
      <c r="G17" s="150"/>
    </row>
    <row r="18" spans="1:7" x14ac:dyDescent="0.25">
      <c r="A18" s="35" t="s">
        <v>113</v>
      </c>
      <c r="B18" s="14"/>
      <c r="C18" s="14"/>
      <c r="D18" s="150"/>
      <c r="E18" s="150"/>
      <c r="F18" s="150"/>
      <c r="G18" s="150"/>
    </row>
    <row r="19" spans="1:7" x14ac:dyDescent="0.25">
      <c r="A19" s="4"/>
      <c r="B19" s="14"/>
      <c r="C19" s="14"/>
      <c r="D19" s="150"/>
      <c r="E19" s="150"/>
      <c r="F19" s="150"/>
      <c r="G19" s="150"/>
    </row>
    <row r="20" spans="1:7" x14ac:dyDescent="0.25">
      <c r="A20" s="4" t="s">
        <v>114</v>
      </c>
      <c r="B20" s="14"/>
      <c r="C20" s="14"/>
      <c r="D20" s="150"/>
      <c r="E20" s="150"/>
      <c r="F20" s="150"/>
      <c r="G20" s="150"/>
    </row>
    <row r="21" spans="1:7" x14ac:dyDescent="0.25">
      <c r="A21" s="35" t="s">
        <v>115</v>
      </c>
      <c r="B21" s="14"/>
      <c r="C21" s="14"/>
      <c r="D21" s="150"/>
      <c r="E21" s="150"/>
      <c r="F21" s="150"/>
      <c r="G21" s="1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C23" sqref="C23"/>
    </sheetView>
  </sheetViews>
  <sheetFormatPr defaultColWidth="8.85546875" defaultRowHeight="15" x14ac:dyDescent="0.25"/>
  <cols>
    <col min="1" max="1" width="14.42578125" style="329" customWidth="1"/>
    <col min="2" max="2" width="29.5703125" style="329" customWidth="1"/>
    <col min="3" max="3" width="39.140625" style="329" customWidth="1"/>
    <col min="4" max="4" width="48.140625" style="329" customWidth="1"/>
    <col min="5" max="5" width="8.85546875" style="332"/>
  </cols>
  <sheetData>
    <row r="1" spans="1:5" x14ac:dyDescent="0.25">
      <c r="B1" s="330"/>
      <c r="C1" s="330"/>
      <c r="D1" s="331" t="s">
        <v>318</v>
      </c>
    </row>
    <row r="2" spans="1:5" x14ac:dyDescent="0.25">
      <c r="A2" s="331"/>
      <c r="B2" s="331"/>
      <c r="C2" s="331"/>
      <c r="D2" s="331"/>
    </row>
    <row r="3" spans="1:5" ht="24.75" customHeight="1" x14ac:dyDescent="0.25">
      <c r="A3" s="357" t="s">
        <v>319</v>
      </c>
      <c r="B3" s="357"/>
      <c r="C3" s="357"/>
      <c r="D3" s="357"/>
    </row>
    <row r="4" spans="1:5" ht="24.75" customHeight="1" x14ac:dyDescent="0.25">
      <c r="A4" s="333"/>
      <c r="B4" s="333"/>
      <c r="C4" s="333"/>
      <c r="D4" s="333"/>
    </row>
    <row r="5" spans="1:5" ht="39" customHeight="1" x14ac:dyDescent="0.25">
      <c r="A5" s="360" t="s">
        <v>320</v>
      </c>
      <c r="B5" s="360"/>
      <c r="C5" s="360"/>
      <c r="D5" s="334" t="str">
        <f>'Прил.5 Расчет СМР и ОБ'!D6:J6</f>
        <v>Постоянная часть ПС, откатные (раздвижные, автоматические, противопожарные) ворота ПС 750 кВ</v>
      </c>
    </row>
    <row r="6" spans="1:5" ht="19.899999999999999" customHeight="1" x14ac:dyDescent="0.25">
      <c r="A6" s="360" t="s">
        <v>86</v>
      </c>
      <c r="B6" s="360"/>
      <c r="C6" s="360"/>
      <c r="D6" s="334"/>
    </row>
    <row r="7" spans="1:5" x14ac:dyDescent="0.25">
      <c r="A7" s="335"/>
      <c r="B7" s="335"/>
      <c r="C7" s="335"/>
      <c r="D7" s="335"/>
    </row>
    <row r="8" spans="1:5" ht="14.45" customHeight="1" x14ac:dyDescent="0.25">
      <c r="A8" s="374" t="s">
        <v>5</v>
      </c>
      <c r="B8" s="374" t="s">
        <v>6</v>
      </c>
      <c r="C8" s="374" t="s">
        <v>321</v>
      </c>
      <c r="D8" s="374" t="s">
        <v>322</v>
      </c>
    </row>
    <row r="9" spans="1:5" ht="15" customHeight="1" x14ac:dyDescent="0.25">
      <c r="A9" s="374"/>
      <c r="B9" s="374"/>
      <c r="C9" s="374"/>
      <c r="D9" s="374"/>
    </row>
    <row r="10" spans="1:5" x14ac:dyDescent="0.25">
      <c r="A10" s="336">
        <v>1</v>
      </c>
      <c r="B10" s="336">
        <v>2</v>
      </c>
      <c r="C10" s="336">
        <v>3</v>
      </c>
      <c r="D10" s="336">
        <v>4</v>
      </c>
    </row>
    <row r="11" spans="1:5" ht="47.25" customHeight="1" x14ac:dyDescent="0.25">
      <c r="A11" s="344" t="s">
        <v>323</v>
      </c>
      <c r="B11" s="344" t="s">
        <v>324</v>
      </c>
      <c r="C11" s="346" t="str">
        <f>D5</f>
        <v>Постоянная часть ПС, откатные (раздвижные, автоматические, противопожарные) ворота ПС 750 кВ</v>
      </c>
      <c r="D11" s="337">
        <f>'Прил.4 РМ'!C41/1000</f>
        <v>290.85889999999995</v>
      </c>
      <c r="E11" s="338"/>
    </row>
    <row r="12" spans="1:5" x14ac:dyDescent="0.25">
      <c r="A12" s="339"/>
      <c r="B12" s="340"/>
      <c r="C12" s="339"/>
      <c r="D12" s="339"/>
    </row>
    <row r="13" spans="1:5" x14ac:dyDescent="0.25">
      <c r="A13" s="335" t="s">
        <v>325</v>
      </c>
      <c r="B13" s="341"/>
      <c r="C13" s="341"/>
      <c r="D13" s="339"/>
    </row>
    <row r="14" spans="1:5" x14ac:dyDescent="0.25">
      <c r="A14" s="342" t="s">
        <v>113</v>
      </c>
      <c r="B14" s="341"/>
      <c r="C14" s="341"/>
      <c r="D14" s="339"/>
    </row>
    <row r="15" spans="1:5" x14ac:dyDescent="0.25">
      <c r="A15" s="335"/>
      <c r="B15" s="341"/>
      <c r="C15" s="341"/>
      <c r="D15" s="339"/>
    </row>
    <row r="16" spans="1:5" x14ac:dyDescent="0.25">
      <c r="A16" s="335" t="s">
        <v>131</v>
      </c>
      <c r="B16" s="341"/>
      <c r="C16" s="341"/>
      <c r="D16" s="339"/>
    </row>
    <row r="17" spans="1:4" x14ac:dyDescent="0.25">
      <c r="A17" s="342" t="s">
        <v>115</v>
      </c>
      <c r="B17" s="341"/>
      <c r="C17" s="341"/>
      <c r="D17" s="33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4:E30"/>
  <sheetViews>
    <sheetView view="pageBreakPreview" topLeftCell="A12" zoomScale="85" zoomScaleNormal="85" zoomScaleSheetLayoutView="85" workbookViewId="0">
      <selection activeCell="D28" sqref="D28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68" t="s">
        <v>326</v>
      </c>
      <c r="C4" s="368"/>
      <c r="D4" s="368"/>
    </row>
    <row r="5" spans="2:5" ht="18.75" customHeight="1" x14ac:dyDescent="0.25">
      <c r="B5" s="189"/>
    </row>
    <row r="6" spans="2:5" ht="15.75" customHeight="1" x14ac:dyDescent="0.25">
      <c r="B6" s="373" t="s">
        <v>327</v>
      </c>
      <c r="C6" s="373"/>
      <c r="D6" s="373"/>
    </row>
    <row r="7" spans="2:5" x14ac:dyDescent="0.25">
      <c r="B7" s="413"/>
      <c r="C7" s="413"/>
      <c r="D7" s="413"/>
      <c r="E7" s="413"/>
    </row>
    <row r="8" spans="2:5" x14ac:dyDescent="0.25">
      <c r="B8" s="220"/>
      <c r="C8" s="220"/>
      <c r="D8" s="220"/>
      <c r="E8" s="220"/>
    </row>
    <row r="9" spans="2:5" ht="47.25" customHeight="1" x14ac:dyDescent="0.25">
      <c r="B9" s="191" t="s">
        <v>328</v>
      </c>
      <c r="C9" s="191" t="s">
        <v>329</v>
      </c>
      <c r="D9" s="191" t="s">
        <v>330</v>
      </c>
    </row>
    <row r="10" spans="2:5" ht="15.75" customHeight="1" x14ac:dyDescent="0.25">
      <c r="B10" s="191">
        <v>1</v>
      </c>
      <c r="C10" s="191">
        <v>2</v>
      </c>
      <c r="D10" s="191">
        <v>3</v>
      </c>
    </row>
    <row r="11" spans="2:5" ht="45" customHeight="1" x14ac:dyDescent="0.25">
      <c r="B11" s="191" t="s">
        <v>331</v>
      </c>
      <c r="C11" s="191" t="s">
        <v>332</v>
      </c>
      <c r="D11" s="191">
        <v>44.29</v>
      </c>
    </row>
    <row r="12" spans="2:5" ht="29.25" customHeight="1" x14ac:dyDescent="0.25">
      <c r="B12" s="191" t="s">
        <v>333</v>
      </c>
      <c r="C12" s="191" t="s">
        <v>332</v>
      </c>
      <c r="D12" s="191">
        <v>13.47</v>
      </c>
    </row>
    <row r="13" spans="2:5" ht="29.25" customHeight="1" x14ac:dyDescent="0.25">
      <c r="B13" s="191" t="s">
        <v>334</v>
      </c>
      <c r="C13" s="191" t="s">
        <v>332</v>
      </c>
      <c r="D13" s="191">
        <v>8.0399999999999991</v>
      </c>
    </row>
    <row r="14" spans="2:5" ht="30.75" customHeight="1" x14ac:dyDescent="0.25">
      <c r="B14" s="191" t="s">
        <v>335</v>
      </c>
      <c r="C14" s="171" t="s">
        <v>336</v>
      </c>
      <c r="D14" s="191">
        <v>6.26</v>
      </c>
    </row>
    <row r="15" spans="2:5" ht="89.45" customHeight="1" x14ac:dyDescent="0.25">
      <c r="B15" s="191" t="s">
        <v>337</v>
      </c>
      <c r="C15" s="191" t="s">
        <v>338</v>
      </c>
      <c r="D15" s="192">
        <v>3.9E-2</v>
      </c>
    </row>
    <row r="16" spans="2:5" ht="78.75" customHeight="1" x14ac:dyDescent="0.25">
      <c r="B16" s="191" t="s">
        <v>339</v>
      </c>
      <c r="C16" s="191" t="s">
        <v>340</v>
      </c>
      <c r="D16" s="192">
        <v>2.1000000000000001E-2</v>
      </c>
    </row>
    <row r="17" spans="2:4" ht="31.7" customHeight="1" x14ac:dyDescent="0.25">
      <c r="B17" s="191" t="s">
        <v>71</v>
      </c>
      <c r="C17" s="191" t="s">
        <v>341</v>
      </c>
      <c r="D17" s="192">
        <v>2.1399999999999999E-2</v>
      </c>
    </row>
    <row r="18" spans="2:4" ht="31.7" customHeight="1" x14ac:dyDescent="0.25">
      <c r="B18" s="191" t="s">
        <v>272</v>
      </c>
      <c r="C18" s="191" t="s">
        <v>342</v>
      </c>
      <c r="D18" s="192">
        <v>2E-3</v>
      </c>
    </row>
    <row r="19" spans="2:4" ht="24" customHeight="1" x14ac:dyDescent="0.25">
      <c r="B19" s="191" t="s">
        <v>74</v>
      </c>
      <c r="C19" s="191" t="s">
        <v>343</v>
      </c>
      <c r="D19" s="192">
        <v>0.03</v>
      </c>
    </row>
    <row r="20" spans="2:4" ht="18.75" customHeight="1" x14ac:dyDescent="0.25">
      <c r="B20" s="190"/>
    </row>
    <row r="21" spans="2:4" ht="18.75" customHeight="1" x14ac:dyDescent="0.25">
      <c r="B21" s="190"/>
    </row>
    <row r="22" spans="2:4" ht="18.75" customHeight="1" x14ac:dyDescent="0.25">
      <c r="B22" s="190"/>
    </row>
    <row r="23" spans="2:4" ht="18.75" customHeight="1" x14ac:dyDescent="0.25">
      <c r="B23" s="190"/>
    </row>
    <row r="26" spans="2:4" x14ac:dyDescent="0.25">
      <c r="B26" s="4" t="s">
        <v>112</v>
      </c>
      <c r="C26" s="14"/>
    </row>
    <row r="27" spans="2:4" x14ac:dyDescent="0.25">
      <c r="B27" s="35" t="s">
        <v>113</v>
      </c>
      <c r="C27" s="14"/>
    </row>
    <row r="28" spans="2:4" x14ac:dyDescent="0.25">
      <c r="B28" s="4"/>
      <c r="C28" s="14"/>
    </row>
    <row r="29" spans="2:4" x14ac:dyDescent="0.25">
      <c r="B29" s="4" t="s">
        <v>114</v>
      </c>
      <c r="C29" s="14"/>
    </row>
    <row r="30" spans="2:4" x14ac:dyDescent="0.25">
      <c r="B30" s="35" t="s">
        <v>115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H12" sqref="G12:H12"/>
    </sheetView>
  </sheetViews>
  <sheetFormatPr defaultColWidth="9.140625" defaultRowHeight="15" x14ac:dyDescent="0.25"/>
  <cols>
    <col min="1" max="1" width="9.140625" style="172"/>
    <col min="2" max="2" width="44.85546875" style="172" customWidth="1"/>
    <col min="3" max="3" width="13" style="172" customWidth="1"/>
    <col min="4" max="4" width="22.85546875" style="172" customWidth="1"/>
    <col min="5" max="5" width="21.5703125" style="172" customWidth="1"/>
    <col min="6" max="6" width="43.85546875" style="172" customWidth="1"/>
    <col min="7" max="7" width="9.140625" style="172"/>
  </cols>
  <sheetData>
    <row r="2" spans="1:7" ht="17.45" customHeight="1" x14ac:dyDescent="0.25">
      <c r="A2" s="373" t="s">
        <v>344</v>
      </c>
      <c r="B2" s="373"/>
      <c r="C2" s="373"/>
      <c r="D2" s="373"/>
      <c r="E2" s="373"/>
      <c r="F2" s="373"/>
    </row>
    <row r="4" spans="1:7" ht="18" customHeight="1" x14ac:dyDescent="0.25">
      <c r="A4" s="173" t="s">
        <v>345</v>
      </c>
      <c r="B4" s="174"/>
      <c r="C4" s="174"/>
      <c r="D4" s="174"/>
      <c r="E4" s="174"/>
      <c r="F4" s="174"/>
      <c r="G4" s="174"/>
    </row>
    <row r="5" spans="1:7" ht="15.75" customHeight="1" x14ac:dyDescent="0.25">
      <c r="A5" s="175" t="s">
        <v>13</v>
      </c>
      <c r="B5" s="175" t="s">
        <v>346</v>
      </c>
      <c r="C5" s="175" t="s">
        <v>347</v>
      </c>
      <c r="D5" s="175" t="s">
        <v>348</v>
      </c>
      <c r="E5" s="175" t="s">
        <v>349</v>
      </c>
      <c r="F5" s="175" t="s">
        <v>350</v>
      </c>
      <c r="G5" s="174"/>
    </row>
    <row r="6" spans="1:7" ht="15.75" customHeight="1" x14ac:dyDescent="0.25">
      <c r="A6" s="175">
        <v>1</v>
      </c>
      <c r="B6" s="175">
        <v>2</v>
      </c>
      <c r="C6" s="175">
        <v>3</v>
      </c>
      <c r="D6" s="175">
        <v>4</v>
      </c>
      <c r="E6" s="175">
        <v>5</v>
      </c>
      <c r="F6" s="175">
        <v>6</v>
      </c>
      <c r="G6" s="174"/>
    </row>
    <row r="7" spans="1:7" ht="110.25" customHeight="1" x14ac:dyDescent="0.25">
      <c r="A7" s="176" t="s">
        <v>351</v>
      </c>
      <c r="B7" s="177" t="s">
        <v>352</v>
      </c>
      <c r="C7" s="178" t="s">
        <v>353</v>
      </c>
      <c r="D7" s="178" t="s">
        <v>105</v>
      </c>
      <c r="E7" s="179">
        <v>47872.94</v>
      </c>
      <c r="F7" s="177" t="s">
        <v>354</v>
      </c>
      <c r="G7" s="174"/>
    </row>
    <row r="8" spans="1:7" ht="31.7" customHeight="1" x14ac:dyDescent="0.25">
      <c r="A8" s="176" t="s">
        <v>355</v>
      </c>
      <c r="B8" s="177" t="s">
        <v>356</v>
      </c>
      <c r="C8" s="178" t="s">
        <v>357</v>
      </c>
      <c r="D8" s="178" t="s">
        <v>358</v>
      </c>
      <c r="E8" s="179">
        <f>1973/12</f>
        <v>164.41666666667001</v>
      </c>
      <c r="F8" s="180" t="s">
        <v>359</v>
      </c>
      <c r="G8" s="181"/>
    </row>
    <row r="9" spans="1:7" ht="15.75" customHeight="1" x14ac:dyDescent="0.25">
      <c r="A9" s="176" t="s">
        <v>360</v>
      </c>
      <c r="B9" s="177" t="s">
        <v>361</v>
      </c>
      <c r="C9" s="178" t="s">
        <v>362</v>
      </c>
      <c r="D9" s="178" t="s">
        <v>105</v>
      </c>
      <c r="E9" s="179">
        <v>1</v>
      </c>
      <c r="F9" s="180"/>
      <c r="G9" s="182"/>
    </row>
    <row r="10" spans="1:7" ht="15.75" customHeight="1" x14ac:dyDescent="0.25">
      <c r="A10" s="176" t="s">
        <v>363</v>
      </c>
      <c r="B10" s="177" t="s">
        <v>364</v>
      </c>
      <c r="C10" s="178"/>
      <c r="D10" s="178"/>
      <c r="E10" s="183">
        <v>4</v>
      </c>
      <c r="F10" s="180" t="s">
        <v>365</v>
      </c>
      <c r="G10" s="182"/>
    </row>
    <row r="11" spans="1:7" ht="78.75" customHeight="1" x14ac:dyDescent="0.25">
      <c r="A11" s="176" t="s">
        <v>366</v>
      </c>
      <c r="B11" s="177" t="s">
        <v>367</v>
      </c>
      <c r="C11" s="178" t="s">
        <v>368</v>
      </c>
      <c r="D11" s="178" t="s">
        <v>105</v>
      </c>
      <c r="E11" s="261">
        <v>1.34</v>
      </c>
      <c r="F11" s="177" t="s">
        <v>369</v>
      </c>
      <c r="G11" s="174"/>
    </row>
    <row r="12" spans="1:7" ht="78.75" customHeight="1" x14ac:dyDescent="0.25">
      <c r="A12" s="176" t="s">
        <v>370</v>
      </c>
      <c r="B12" s="184" t="s">
        <v>371</v>
      </c>
      <c r="C12" s="178" t="s">
        <v>372</v>
      </c>
      <c r="D12" s="178" t="s">
        <v>105</v>
      </c>
      <c r="E12" s="185">
        <v>1.139</v>
      </c>
      <c r="F12" s="186" t="s">
        <v>373</v>
      </c>
      <c r="G12" s="182"/>
    </row>
    <row r="13" spans="1:7" ht="63" customHeight="1" x14ac:dyDescent="0.25">
      <c r="A13" s="176" t="s">
        <v>374</v>
      </c>
      <c r="B13" s="187" t="s">
        <v>375</v>
      </c>
      <c r="C13" s="178" t="s">
        <v>376</v>
      </c>
      <c r="D13" s="178" t="s">
        <v>377</v>
      </c>
      <c r="E13" s="188">
        <f>((E7*E9/E8)*E11)*E12</f>
        <v>444.39870291576</v>
      </c>
      <c r="F13" s="177" t="s">
        <v>378</v>
      </c>
      <c r="G13" s="174"/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6" customFormat="1" ht="29.45" customHeight="1" x14ac:dyDescent="0.2">
      <c r="A1" s="414" t="s">
        <v>379</v>
      </c>
      <c r="B1" s="414"/>
      <c r="C1" s="414"/>
      <c r="D1" s="414"/>
      <c r="E1" s="414"/>
      <c r="F1" s="414"/>
      <c r="G1" s="414"/>
      <c r="H1" s="414"/>
      <c r="I1" s="414"/>
    </row>
    <row r="2" spans="1:13" s="36" customFormat="1" ht="13.7" customHeight="1" x14ac:dyDescent="0.2">
      <c r="A2" s="37"/>
      <c r="B2" s="37"/>
      <c r="C2" s="37"/>
      <c r="D2" s="37"/>
      <c r="E2" s="37"/>
      <c r="F2" s="37"/>
      <c r="G2" s="37"/>
      <c r="H2" s="37"/>
      <c r="I2" s="37"/>
    </row>
    <row r="3" spans="1:13" s="36" customFormat="1" ht="34.5" customHeight="1" x14ac:dyDescent="0.2">
      <c r="A3" s="360" t="e">
        <f>#REF!</f>
        <v>#REF!</v>
      </c>
      <c r="B3" s="360"/>
      <c r="C3" s="360"/>
      <c r="D3" s="360"/>
      <c r="E3" s="360"/>
      <c r="F3" s="360"/>
      <c r="G3" s="360"/>
      <c r="H3" s="360"/>
      <c r="I3" s="360"/>
    </row>
    <row r="4" spans="1:13" s="4" customFormat="1" ht="15.75" customHeight="1" x14ac:dyDescent="0.2">
      <c r="A4" s="364"/>
      <c r="B4" s="364"/>
      <c r="C4" s="364"/>
      <c r="D4" s="364"/>
      <c r="E4" s="364"/>
      <c r="F4" s="364"/>
      <c r="G4" s="364"/>
      <c r="H4" s="364"/>
      <c r="I4" s="364"/>
    </row>
    <row r="5" spans="1:13" s="38" customFormat="1" ht="36.75" customHeight="1" x14ac:dyDescent="0.35">
      <c r="A5" s="415" t="s">
        <v>13</v>
      </c>
      <c r="B5" s="415" t="s">
        <v>380</v>
      </c>
      <c r="C5" s="415" t="s">
        <v>381</v>
      </c>
      <c r="D5" s="415" t="s">
        <v>382</v>
      </c>
      <c r="E5" s="412" t="s">
        <v>383</v>
      </c>
      <c r="F5" s="412"/>
      <c r="G5" s="412"/>
      <c r="H5" s="412"/>
      <c r="I5" s="412"/>
    </row>
    <row r="6" spans="1:13" s="32" customFormat="1" ht="31.7" customHeight="1" x14ac:dyDescent="0.2">
      <c r="A6" s="415"/>
      <c r="B6" s="415"/>
      <c r="C6" s="415"/>
      <c r="D6" s="415"/>
      <c r="E6" s="39" t="s">
        <v>123</v>
      </c>
      <c r="F6" s="39" t="s">
        <v>124</v>
      </c>
      <c r="G6" s="39" t="s">
        <v>43</v>
      </c>
      <c r="H6" s="39" t="s">
        <v>384</v>
      </c>
      <c r="I6" s="39" t="s">
        <v>385</v>
      </c>
    </row>
    <row r="7" spans="1:13" s="32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2" customFormat="1" ht="13.15" customHeight="1" x14ac:dyDescent="0.2">
      <c r="A8" s="40">
        <v>1</v>
      </c>
      <c r="B8" s="41"/>
      <c r="C8" s="9" t="s">
        <v>66</v>
      </c>
      <c r="D8" s="42"/>
      <c r="E8" s="34">
        <f>'4.3 Отдел 2. Тех.характеристики'!H4/1000</f>
        <v>3.98509</v>
      </c>
      <c r="F8" s="34">
        <f>'4.3 Отдел 2. Тех.характеристики'!I4/1000</f>
        <v>3.1536300000000002</v>
      </c>
      <c r="G8" s="34">
        <f>'4.3 Отдел 2. Тех.характеристики'!J4/1000</f>
        <v>94.532139999999998</v>
      </c>
      <c r="H8" s="34"/>
      <c r="I8" s="34">
        <f>E8+F8+G8</f>
        <v>101.67086</v>
      </c>
      <c r="K8" s="43"/>
      <c r="L8" s="43"/>
      <c r="M8" s="43"/>
    </row>
    <row r="9" spans="1:13" s="32" customFormat="1" ht="38.25" customHeight="1" x14ac:dyDescent="0.2">
      <c r="A9" s="40">
        <v>2</v>
      </c>
      <c r="B9" s="9" t="s">
        <v>386</v>
      </c>
      <c r="C9" s="9" t="s">
        <v>387</v>
      </c>
      <c r="D9" s="169">
        <v>3.9E-2</v>
      </c>
      <c r="E9" s="34">
        <f>E8*D9</f>
        <v>0.15541851000000001</v>
      </c>
      <c r="F9" s="34">
        <f>F8*D9</f>
        <v>0.12299156999999999</v>
      </c>
      <c r="G9" s="34"/>
      <c r="H9" s="34"/>
      <c r="I9" s="34">
        <f>E9+F9</f>
        <v>0.27841008</v>
      </c>
    </row>
    <row r="10" spans="1:13" s="32" customFormat="1" ht="13.15" customHeight="1" x14ac:dyDescent="0.2">
      <c r="A10" s="40"/>
      <c r="B10" s="9"/>
      <c r="C10" s="9"/>
      <c r="D10" s="18"/>
      <c r="E10" s="34"/>
      <c r="F10" s="34"/>
      <c r="G10" s="34"/>
      <c r="H10" s="34"/>
      <c r="I10" s="34"/>
    </row>
    <row r="11" spans="1:13" s="32" customFormat="1" ht="51" customHeight="1" x14ac:dyDescent="0.2">
      <c r="A11" s="40">
        <v>3</v>
      </c>
      <c r="B11" s="9" t="s">
        <v>388</v>
      </c>
      <c r="C11" s="9" t="s">
        <v>339</v>
      </c>
      <c r="D11" s="169">
        <v>2.1000000000000001E-2</v>
      </c>
      <c r="E11" s="34">
        <f>(E8+E9)*D11</f>
        <v>8.6950678710000007E-2</v>
      </c>
      <c r="F11" s="34"/>
      <c r="G11" s="34"/>
      <c r="H11" s="34" t="s">
        <v>389</v>
      </c>
      <c r="I11" s="34">
        <f>E11</f>
        <v>8.6950678710000007E-2</v>
      </c>
    </row>
    <row r="12" spans="1:13" s="32" customFormat="1" ht="45" customHeight="1" x14ac:dyDescent="0.2">
      <c r="A12" s="40">
        <v>4</v>
      </c>
      <c r="B12" s="9" t="s">
        <v>390</v>
      </c>
      <c r="C12" s="9" t="s">
        <v>391</v>
      </c>
      <c r="D12" s="18">
        <v>5.6000000000000001E-2</v>
      </c>
      <c r="E12" s="34"/>
      <c r="F12" s="34"/>
      <c r="G12" s="34"/>
      <c r="H12" s="34">
        <f>(G8+F8)*D12</f>
        <v>5.4704031200000003</v>
      </c>
      <c r="I12" s="34">
        <f>H12</f>
        <v>5.4704031200000003</v>
      </c>
      <c r="J12" s="44" t="s">
        <v>392</v>
      </c>
    </row>
    <row r="13" spans="1:13" s="32" customFormat="1" ht="13.15" customHeight="1" x14ac:dyDescent="0.2">
      <c r="A13" s="40"/>
      <c r="B13" s="9"/>
      <c r="C13" s="9"/>
      <c r="D13" s="18"/>
      <c r="E13" s="34"/>
      <c r="F13" s="34"/>
      <c r="G13" s="34"/>
      <c r="H13" s="34"/>
      <c r="I13" s="34"/>
    </row>
    <row r="14" spans="1:13" s="32" customFormat="1" ht="39.6" customHeight="1" x14ac:dyDescent="0.2">
      <c r="A14" s="40">
        <v>5</v>
      </c>
      <c r="B14" s="9" t="s">
        <v>341</v>
      </c>
      <c r="C14" s="9" t="s">
        <v>393</v>
      </c>
      <c r="D14" s="16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4"/>
      <c r="F14" s="34"/>
      <c r="G14" s="34"/>
      <c r="H14" s="34">
        <f>(I8+I9+I11+I12)*D14*1</f>
        <v>2.3006417510044002</v>
      </c>
      <c r="I14" s="34">
        <f>H14</f>
        <v>2.3006417510044002</v>
      </c>
      <c r="J14" s="45">
        <f>(I8+I9+I11+I12)/1000</f>
        <v>0.10750662387871</v>
      </c>
    </row>
    <row r="15" spans="1:13" s="32" customFormat="1" ht="13.15" customHeight="1" x14ac:dyDescent="0.2">
      <c r="A15" s="40"/>
      <c r="B15" s="9"/>
      <c r="C15" s="9"/>
      <c r="D15" s="18"/>
      <c r="E15" s="34"/>
      <c r="F15" s="34"/>
      <c r="G15" s="34"/>
      <c r="H15" s="34"/>
      <c r="I15" s="34"/>
    </row>
    <row r="16" spans="1:13" s="32" customFormat="1" ht="39.6" customHeight="1" x14ac:dyDescent="0.2">
      <c r="A16" s="40">
        <v>6</v>
      </c>
      <c r="B16" s="9" t="s">
        <v>394</v>
      </c>
      <c r="C16" s="9" t="s">
        <v>395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4" t="s">
        <v>396</v>
      </c>
    </row>
    <row r="17" spans="1:10" s="32" customFormat="1" ht="81.75" customHeight="1" x14ac:dyDescent="0.2">
      <c r="A17" s="40">
        <v>7</v>
      </c>
      <c r="B17" s="9" t="s">
        <v>394</v>
      </c>
      <c r="C17" s="153" t="s">
        <v>397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4"/>
    </row>
    <row r="18" spans="1:10" s="32" customFormat="1" ht="13.15" customHeight="1" x14ac:dyDescent="0.2">
      <c r="A18" s="40"/>
      <c r="B18" s="9"/>
      <c r="C18" s="9"/>
      <c r="D18" s="18"/>
      <c r="E18" s="34"/>
      <c r="F18" s="34"/>
      <c r="G18" s="34"/>
      <c r="H18" s="34"/>
      <c r="I18" s="34"/>
    </row>
    <row r="19" spans="1:10" s="47" customFormat="1" ht="13.15" customHeight="1" x14ac:dyDescent="0.2">
      <c r="A19" s="40">
        <v>8</v>
      </c>
      <c r="B19" s="9"/>
      <c r="C19" s="9" t="s">
        <v>398</v>
      </c>
      <c r="D19" s="46"/>
      <c r="E19" s="34">
        <f>SUM(E8:E18)</f>
        <v>4.2274591887100001</v>
      </c>
      <c r="F19" s="34"/>
      <c r="G19" s="34">
        <f>SUM(G8:G18)</f>
        <v>94.532139999999998</v>
      </c>
      <c r="H19" s="34">
        <f>SUM(H8:H18)</f>
        <v>7.7710448710044</v>
      </c>
      <c r="I19" s="34">
        <f>SUM(I8:I18)</f>
        <v>109.80726562971</v>
      </c>
    </row>
    <row r="20" spans="1:10" s="32" customFormat="1" ht="51" customHeight="1" x14ac:dyDescent="0.2">
      <c r="A20" s="40">
        <v>9</v>
      </c>
      <c r="B20" s="143" t="s">
        <v>399</v>
      </c>
      <c r="C20" s="9" t="s">
        <v>74</v>
      </c>
      <c r="D20" s="48">
        <v>0.03</v>
      </c>
      <c r="E20" s="34">
        <f>E19*3%</f>
        <v>0.12682377566129999</v>
      </c>
      <c r="F20" s="34"/>
      <c r="G20" s="34">
        <f>G19*3%</f>
        <v>2.8359641999999998</v>
      </c>
      <c r="H20" s="34">
        <f>H19*3%</f>
        <v>0.23313134613013001</v>
      </c>
      <c r="I20" s="34">
        <f>I19*3%</f>
        <v>3.2942179688914002</v>
      </c>
    </row>
    <row r="21" spans="1:10" s="36" customFormat="1" ht="13.15" customHeight="1" x14ac:dyDescent="0.2">
      <c r="A21" s="40">
        <v>10</v>
      </c>
      <c r="B21" s="9"/>
      <c r="C21" s="9" t="s">
        <v>400</v>
      </c>
      <c r="D21" s="49"/>
      <c r="E21" s="34"/>
      <c r="F21" s="34"/>
      <c r="G21" s="34"/>
      <c r="H21" s="34"/>
      <c r="I21" s="34">
        <f>I19+I20</f>
        <v>113.10148359861</v>
      </c>
    </row>
    <row r="22" spans="1:10" s="36" customFormat="1" ht="13.15" customHeight="1" x14ac:dyDescent="0.2">
      <c r="A22" s="50"/>
      <c r="B22" s="51"/>
      <c r="C22" s="51"/>
      <c r="D22" s="52"/>
      <c r="E22" s="53"/>
      <c r="F22" s="53"/>
      <c r="G22" s="53"/>
      <c r="H22" s="53"/>
      <c r="I22" s="53"/>
    </row>
    <row r="23" spans="1:10" x14ac:dyDescent="0.25">
      <c r="A23" s="4" t="s">
        <v>77</v>
      </c>
      <c r="B23" s="54"/>
      <c r="C23" s="4"/>
      <c r="D23" s="32"/>
      <c r="E23" s="32"/>
      <c r="F23" s="32"/>
      <c r="G23" s="32"/>
      <c r="H23" s="32"/>
      <c r="I23" s="32"/>
    </row>
    <row r="24" spans="1:10" x14ac:dyDescent="0.25">
      <c r="A24" s="33" t="s">
        <v>78</v>
      </c>
      <c r="B24" s="54"/>
      <c r="C24" s="4"/>
      <c r="D24" s="32"/>
      <c r="E24" s="32"/>
      <c r="F24" s="32"/>
      <c r="G24" s="32"/>
      <c r="H24" s="32"/>
      <c r="I24" s="32"/>
    </row>
    <row r="25" spans="1:10" x14ac:dyDescent="0.25">
      <c r="A25" s="4"/>
      <c r="B25" s="54"/>
      <c r="C25" s="4"/>
      <c r="D25" s="32"/>
      <c r="E25" s="32"/>
      <c r="F25" s="32"/>
      <c r="G25" s="32"/>
      <c r="H25" s="32"/>
      <c r="I25" s="32"/>
    </row>
    <row r="26" spans="1:10" x14ac:dyDescent="0.25">
      <c r="A26" s="4" t="s">
        <v>79</v>
      </c>
      <c r="B26" s="54"/>
      <c r="C26" s="4"/>
      <c r="D26" s="32"/>
      <c r="E26" s="32"/>
      <c r="F26" s="32"/>
      <c r="G26" s="32"/>
      <c r="H26" s="32"/>
      <c r="I26" s="32"/>
    </row>
    <row r="27" spans="1:10" x14ac:dyDescent="0.25">
      <c r="A27" s="33" t="s">
        <v>80</v>
      </c>
      <c r="B27" s="54"/>
      <c r="C27" s="4"/>
      <c r="D27" s="32"/>
      <c r="E27" s="32"/>
      <c r="F27" s="32"/>
      <c r="G27" s="32"/>
      <c r="H27" s="32"/>
      <c r="I27" s="32"/>
    </row>
    <row r="28" spans="1:10" x14ac:dyDescent="0.25">
      <c r="B28" s="55"/>
    </row>
    <row r="29" spans="1:10" x14ac:dyDescent="0.25">
      <c r="B29" s="55"/>
    </row>
    <row r="30" spans="1:10" x14ac:dyDescent="0.25">
      <c r="B30" s="55"/>
    </row>
    <row r="31" spans="1:10" x14ac:dyDescent="0.25">
      <c r="B31" s="55"/>
    </row>
    <row r="32" spans="1:10" x14ac:dyDescent="0.25">
      <c r="B32" s="55"/>
    </row>
    <row r="33" spans="2:2" x14ac:dyDescent="0.25">
      <c r="B33" s="55"/>
    </row>
    <row r="34" spans="2:2" x14ac:dyDescent="0.25">
      <c r="B34" s="55"/>
    </row>
    <row r="35" spans="2:2" x14ac:dyDescent="0.25">
      <c r="B35" s="55"/>
    </row>
    <row r="36" spans="2:2" x14ac:dyDescent="0.25">
      <c r="B36" s="55"/>
    </row>
    <row r="37" spans="2:2" x14ac:dyDescent="0.25">
      <c r="B37" s="55"/>
    </row>
    <row r="38" spans="2:2" x14ac:dyDescent="0.25">
      <c r="B38" s="55"/>
    </row>
    <row r="39" spans="2:2" x14ac:dyDescent="0.25">
      <c r="B39" s="55"/>
    </row>
    <row r="40" spans="2:2" x14ac:dyDescent="0.25">
      <c r="B40" s="55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6" customWidth="1"/>
    <col min="3" max="3" width="66.42578125" style="56" customWidth="1"/>
    <col min="4" max="4" width="12.7109375" style="56" customWidth="1" outlineLevel="1"/>
    <col min="5" max="5" width="13.7109375" style="56" customWidth="1" outlineLevel="1"/>
    <col min="6" max="6" width="12.28515625" style="56" customWidth="1" outlineLevel="1"/>
    <col min="7" max="7" width="14.42578125" style="57" customWidth="1" outlineLevel="1"/>
    <col min="8" max="8" width="12.7109375" style="57" customWidth="1" outlineLevel="1"/>
    <col min="9" max="9" width="17.42578125" style="57" customWidth="1"/>
    <col min="10" max="10" width="12.7109375" style="56" customWidth="1"/>
    <col min="11" max="11" width="14.28515625" style="56" customWidth="1"/>
    <col min="12" max="12" width="14.5703125" style="56" customWidth="1"/>
    <col min="13" max="13" width="14.28515625" style="56" customWidth="1"/>
    <col min="14" max="14" width="12.7109375" style="56" customWidth="1"/>
    <col min="15" max="15" width="26.140625" style="56" customWidth="1"/>
    <col min="16" max="16" width="15.7109375" style="58" customWidth="1"/>
    <col min="17" max="17" width="9.28515625" style="58"/>
  </cols>
  <sheetData>
    <row r="2" spans="1:16" x14ac:dyDescent="0.25">
      <c r="N2" s="420" t="s">
        <v>401</v>
      </c>
      <c r="O2" s="420"/>
    </row>
    <row r="3" spans="1:16" x14ac:dyDescent="0.25">
      <c r="A3" s="421" t="s">
        <v>402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</row>
    <row r="5" spans="1:16" s="56" customFormat="1" ht="37.5" customHeight="1" x14ac:dyDescent="0.25">
      <c r="A5" s="422" t="s">
        <v>403</v>
      </c>
      <c r="B5" s="425" t="s">
        <v>404</v>
      </c>
      <c r="C5" s="428" t="s">
        <v>405</v>
      </c>
      <c r="D5" s="431" t="s">
        <v>406</v>
      </c>
      <c r="E5" s="432"/>
      <c r="F5" s="432"/>
      <c r="G5" s="432"/>
      <c r="H5" s="432"/>
      <c r="I5" s="431" t="s">
        <v>407</v>
      </c>
      <c r="J5" s="432"/>
      <c r="K5" s="432"/>
      <c r="L5" s="432"/>
      <c r="M5" s="432"/>
      <c r="N5" s="432"/>
      <c r="O5" s="59" t="s">
        <v>408</v>
      </c>
    </row>
    <row r="6" spans="1:16" s="62" customFormat="1" ht="150" customHeight="1" x14ac:dyDescent="0.25">
      <c r="A6" s="423"/>
      <c r="B6" s="426"/>
      <c r="C6" s="429"/>
      <c r="D6" s="428" t="s">
        <v>409</v>
      </c>
      <c r="E6" s="433" t="s">
        <v>410</v>
      </c>
      <c r="F6" s="434"/>
      <c r="G6" s="435"/>
      <c r="H6" s="60" t="s">
        <v>411</v>
      </c>
      <c r="I6" s="436" t="s">
        <v>412</v>
      </c>
      <c r="J6" s="436" t="s">
        <v>409</v>
      </c>
      <c r="K6" s="437" t="s">
        <v>410</v>
      </c>
      <c r="L6" s="437"/>
      <c r="M6" s="437"/>
      <c r="N6" s="60" t="s">
        <v>411</v>
      </c>
      <c r="O6" s="61" t="s">
        <v>413</v>
      </c>
    </row>
    <row r="7" spans="1:16" s="62" customFormat="1" ht="30.75" customHeight="1" x14ac:dyDescent="0.25">
      <c r="A7" s="424"/>
      <c r="B7" s="427"/>
      <c r="C7" s="430"/>
      <c r="D7" s="430"/>
      <c r="E7" s="59" t="s">
        <v>123</v>
      </c>
      <c r="F7" s="59" t="s">
        <v>124</v>
      </c>
      <c r="G7" s="59" t="s">
        <v>43</v>
      </c>
      <c r="H7" s="63" t="s">
        <v>414</v>
      </c>
      <c r="I7" s="436"/>
      <c r="J7" s="436"/>
      <c r="K7" s="59" t="s">
        <v>123</v>
      </c>
      <c r="L7" s="59" t="s">
        <v>124</v>
      </c>
      <c r="M7" s="59" t="s">
        <v>43</v>
      </c>
      <c r="N7" s="63" t="s">
        <v>414</v>
      </c>
      <c r="O7" s="59" t="s">
        <v>415</v>
      </c>
    </row>
    <row r="8" spans="1:16" s="62" customFormat="1" x14ac:dyDescent="0.25">
      <c r="A8" s="64">
        <v>1</v>
      </c>
      <c r="B8" s="64">
        <v>2</v>
      </c>
      <c r="C8" s="64">
        <v>3</v>
      </c>
      <c r="D8" s="64">
        <v>4</v>
      </c>
      <c r="E8" s="64">
        <v>5</v>
      </c>
      <c r="F8" s="64">
        <v>6</v>
      </c>
      <c r="G8" s="64">
        <v>7</v>
      </c>
      <c r="H8" s="64">
        <v>8</v>
      </c>
      <c r="I8" s="64">
        <v>9</v>
      </c>
      <c r="J8" s="64">
        <v>10</v>
      </c>
      <c r="K8" s="64">
        <v>11</v>
      </c>
      <c r="L8" s="64">
        <v>12</v>
      </c>
      <c r="M8" s="64">
        <v>13</v>
      </c>
      <c r="N8" s="64">
        <v>14</v>
      </c>
      <c r="O8" s="64">
        <v>15</v>
      </c>
    </row>
    <row r="9" spans="1:16" s="62" customFormat="1" ht="102.75" customHeight="1" x14ac:dyDescent="0.25">
      <c r="A9" s="64">
        <v>1</v>
      </c>
      <c r="B9" s="422" t="s">
        <v>416</v>
      </c>
      <c r="C9" s="65" t="s">
        <v>417</v>
      </c>
      <c r="D9" s="66">
        <f t="shared" ref="D9:D15" si="0">SUM(E9:G9)</f>
        <v>583.41863000000001</v>
      </c>
      <c r="E9" s="67">
        <f>340656.93/1000</f>
        <v>340.65692999999999</v>
      </c>
      <c r="F9" s="67">
        <f>242761.7/1000</f>
        <v>242.76169999999999</v>
      </c>
      <c r="G9" s="67">
        <v>0</v>
      </c>
      <c r="H9" s="66">
        <f>(713.49*0.8)/1000</f>
        <v>0.57079199999999997</v>
      </c>
      <c r="I9" s="66">
        <v>11656.266250000001</v>
      </c>
      <c r="J9" s="66">
        <f t="shared" ref="J9:J15" si="1">K9+L9+M9</f>
        <v>3553.0194566999999</v>
      </c>
      <c r="K9" s="67">
        <f>E9*H22</f>
        <v>2074.6007036999999</v>
      </c>
      <c r="L9" s="67">
        <f>F9*H22</f>
        <v>1478.4187529999999</v>
      </c>
      <c r="M9" s="67">
        <f>G9*H24</f>
        <v>0</v>
      </c>
      <c r="N9" s="66">
        <f>H9*H25</f>
        <v>6.48990504</v>
      </c>
      <c r="O9" s="68">
        <f t="shared" ref="O9:O15" si="2">N9/(L9+M9)</f>
        <v>4.389761038157E-3</v>
      </c>
    </row>
    <row r="10" spans="1:16" s="62" customFormat="1" ht="54.75" customHeight="1" x14ac:dyDescent="0.25">
      <c r="A10" s="63">
        <v>2</v>
      </c>
      <c r="B10" s="424"/>
      <c r="C10" s="69" t="s">
        <v>418</v>
      </c>
      <c r="D10" s="66">
        <f t="shared" si="0"/>
        <v>2228.558</v>
      </c>
      <c r="E10" s="66">
        <f>430700/1000</f>
        <v>430.7</v>
      </c>
      <c r="F10" s="66">
        <f>1797858/1000</f>
        <v>1797.8579999999999</v>
      </c>
      <c r="G10" s="66">
        <v>0</v>
      </c>
      <c r="H10" s="66">
        <f>1685/1000</f>
        <v>1.6850000000000001</v>
      </c>
      <c r="I10" s="66">
        <f>15834377.63/1000</f>
        <v>15834.377630000001</v>
      </c>
      <c r="J10" s="66">
        <f t="shared" si="1"/>
        <v>14351.91352</v>
      </c>
      <c r="K10" s="67">
        <f>E10*I22</f>
        <v>2773.7080000000001</v>
      </c>
      <c r="L10" s="67">
        <f>F10*I22</f>
        <v>11578.20552</v>
      </c>
      <c r="M10" s="67">
        <f>G10*I24</f>
        <v>0</v>
      </c>
      <c r="N10" s="66">
        <f>H10*I25</f>
        <v>14.1877</v>
      </c>
      <c r="O10" s="68">
        <f t="shared" si="2"/>
        <v>1.2253798721652001E-3</v>
      </c>
      <c r="P10" s="70"/>
    </row>
    <row r="11" spans="1:16" s="62" customFormat="1" ht="24.6" customHeight="1" x14ac:dyDescent="0.25">
      <c r="A11" s="64">
        <v>3</v>
      </c>
      <c r="B11" s="422" t="s">
        <v>419</v>
      </c>
      <c r="C11" s="69" t="s">
        <v>420</v>
      </c>
      <c r="D11" s="66">
        <f t="shared" si="0"/>
        <v>22378.080000000002</v>
      </c>
      <c r="E11" s="67">
        <v>15858.44</v>
      </c>
      <c r="F11" s="67">
        <v>6519.64</v>
      </c>
      <c r="G11" s="67">
        <v>0</v>
      </c>
      <c r="H11" s="66">
        <v>9.7100000000000009</v>
      </c>
      <c r="I11" s="66">
        <v>170961.79</v>
      </c>
      <c r="J11" s="66">
        <f t="shared" si="1"/>
        <v>129121.52159999999</v>
      </c>
      <c r="K11" s="66">
        <f>E11*J22</f>
        <v>91503.198799999998</v>
      </c>
      <c r="L11" s="66">
        <f>F11*J22</f>
        <v>37618.322800000002</v>
      </c>
      <c r="M11" s="66">
        <f>G11*J24</f>
        <v>0</v>
      </c>
      <c r="N11" s="66">
        <f>H11*J25</f>
        <v>154.48609999999999</v>
      </c>
      <c r="O11" s="68">
        <f t="shared" si="2"/>
        <v>4.1066716562919003E-3</v>
      </c>
    </row>
    <row r="12" spans="1:16" s="62" customFormat="1" ht="31.9" customHeight="1" x14ac:dyDescent="0.25">
      <c r="A12" s="63">
        <v>4</v>
      </c>
      <c r="B12" s="424"/>
      <c r="C12" s="69" t="s">
        <v>421</v>
      </c>
      <c r="D12" s="66">
        <f t="shared" si="0"/>
        <v>93405.18</v>
      </c>
      <c r="E12" s="67">
        <v>53163.12</v>
      </c>
      <c r="F12" s="67">
        <v>40153.81</v>
      </c>
      <c r="G12" s="67">
        <v>88.25</v>
      </c>
      <c r="H12" s="66">
        <v>33.76</v>
      </c>
      <c r="I12" s="66">
        <v>725870.83</v>
      </c>
      <c r="J12" s="66">
        <f t="shared" si="1"/>
        <v>538845.47</v>
      </c>
      <c r="K12" s="66">
        <v>306751.18</v>
      </c>
      <c r="L12" s="66">
        <v>231687.44</v>
      </c>
      <c r="M12" s="66">
        <v>406.85</v>
      </c>
      <c r="N12" s="66">
        <v>537.07000000000005</v>
      </c>
      <c r="O12" s="68">
        <f t="shared" si="2"/>
        <v>2.3140164284093001E-3</v>
      </c>
    </row>
    <row r="13" spans="1:16" s="62" customFormat="1" ht="60" customHeight="1" x14ac:dyDescent="0.25">
      <c r="A13" s="64">
        <v>5</v>
      </c>
      <c r="B13" s="422" t="s">
        <v>422</v>
      </c>
      <c r="C13" s="65" t="s">
        <v>423</v>
      </c>
      <c r="D13" s="66">
        <f t="shared" si="0"/>
        <v>52119.83</v>
      </c>
      <c r="E13" s="67">
        <v>15198.48</v>
      </c>
      <c r="F13" s="67">
        <v>31977.3</v>
      </c>
      <c r="G13" s="67">
        <v>4944.05</v>
      </c>
      <c r="H13" s="66">
        <v>16.13</v>
      </c>
      <c r="I13" s="66">
        <v>2024759.04</v>
      </c>
      <c r="J13" s="66">
        <f t="shared" si="1"/>
        <v>267889.86339999997</v>
      </c>
      <c r="K13" s="67">
        <f>E13*L22</f>
        <v>79488.050399999993</v>
      </c>
      <c r="L13" s="67">
        <f>F13*L22</f>
        <v>167241.27900000001</v>
      </c>
      <c r="M13" s="67">
        <f>G13*L24</f>
        <v>21160.534</v>
      </c>
      <c r="N13" s="66">
        <f>H13*L25</f>
        <v>231.46549999999999</v>
      </c>
      <c r="O13" s="68">
        <f t="shared" si="2"/>
        <v>1.2285736337367E-3</v>
      </c>
    </row>
    <row r="14" spans="1:16" s="62" customFormat="1" ht="39.6" customHeight="1" x14ac:dyDescent="0.25">
      <c r="A14" s="63">
        <v>6</v>
      </c>
      <c r="B14" s="424"/>
      <c r="C14" s="69" t="s">
        <v>424</v>
      </c>
      <c r="D14" s="66">
        <f t="shared" si="0"/>
        <v>89613.6</v>
      </c>
      <c r="E14" s="66">
        <v>44598.73</v>
      </c>
      <c r="F14" s="66">
        <v>40017</v>
      </c>
      <c r="G14" s="66">
        <v>4997.87</v>
      </c>
      <c r="H14" s="66">
        <f>7.69+81.8</f>
        <v>89.49</v>
      </c>
      <c r="I14" s="66">
        <v>738823.57</v>
      </c>
      <c r="J14" s="66">
        <f t="shared" si="1"/>
        <v>511472.85759999999</v>
      </c>
      <c r="K14" s="67">
        <f>E14*M22</f>
        <v>257334.6721</v>
      </c>
      <c r="L14" s="67">
        <f>F14*M22</f>
        <v>230898.09</v>
      </c>
      <c r="M14" s="67">
        <f>G14*M24</f>
        <v>23240.095499999999</v>
      </c>
      <c r="N14" s="66">
        <f>H14*M25</f>
        <v>1423.7859000000001</v>
      </c>
      <c r="O14" s="68">
        <f t="shared" si="2"/>
        <v>5.6024083795152002E-3</v>
      </c>
    </row>
    <row r="15" spans="1:16" s="62" customFormat="1" ht="46.15" customHeight="1" x14ac:dyDescent="0.25">
      <c r="A15" s="64">
        <v>7</v>
      </c>
      <c r="B15" s="71" t="s">
        <v>425</v>
      </c>
      <c r="C15" s="69" t="s">
        <v>426</v>
      </c>
      <c r="D15" s="66">
        <f t="shared" si="0"/>
        <v>981651.63</v>
      </c>
      <c r="E15" s="67">
        <v>448398.51</v>
      </c>
      <c r="F15" s="67">
        <v>486091.33</v>
      </c>
      <c r="G15" s="67">
        <v>47161.79</v>
      </c>
      <c r="H15" s="66">
        <v>143.03</v>
      </c>
      <c r="I15" s="66">
        <v>16001185.93</v>
      </c>
      <c r="J15" s="66">
        <f t="shared" si="1"/>
        <v>6269109.2307000002</v>
      </c>
      <c r="K15" s="66">
        <f>123094.59*N22+325303.92*N23</f>
        <v>2908258.6863000002</v>
      </c>
      <c r="L15" s="66">
        <f>110226.08*N22+375865.25*N23</f>
        <v>3158998.0832000002</v>
      </c>
      <c r="M15" s="66">
        <f>G15*N24</f>
        <v>201852.46119999999</v>
      </c>
      <c r="N15" s="66">
        <f>H15*N25</f>
        <v>1185.7186999999999</v>
      </c>
      <c r="O15" s="68">
        <f t="shared" si="2"/>
        <v>3.5280316227560002E-4</v>
      </c>
    </row>
    <row r="16" spans="1:16" s="62" customFormat="1" ht="24" customHeight="1" x14ac:dyDescent="0.25">
      <c r="A16" s="72"/>
      <c r="B16" s="72"/>
      <c r="C16" s="73" t="s">
        <v>427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>
        <f>(O9+O10+O11+O12+O13+O14+O15)/7</f>
        <v>2.7456591672216E-3</v>
      </c>
    </row>
    <row r="17" spans="1:15" s="62" customFormat="1" ht="18.75" customHeight="1" x14ac:dyDescent="0.25">
      <c r="A17" s="76"/>
      <c r="B17" s="76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9"/>
    </row>
    <row r="18" spans="1:15" ht="21.2" customHeight="1" x14ac:dyDescent="0.25">
      <c r="C18" s="80" t="s">
        <v>428</v>
      </c>
    </row>
    <row r="19" spans="1:15" ht="30.75" customHeight="1" x14ac:dyDescent="0.25">
      <c r="L19" s="81"/>
    </row>
    <row r="20" spans="1:15" ht="15" customHeight="1" outlineLevel="1" x14ac:dyDescent="0.25">
      <c r="G20" s="419" t="s">
        <v>429</v>
      </c>
      <c r="H20" s="419"/>
      <c r="I20" s="419"/>
      <c r="J20" s="419"/>
      <c r="K20" s="419"/>
      <c r="L20" s="419"/>
      <c r="M20" s="419"/>
      <c r="N20" s="419"/>
      <c r="O20" s="58"/>
    </row>
    <row r="21" spans="1:15" ht="15.75" customHeight="1" outlineLevel="1" x14ac:dyDescent="0.25">
      <c r="G21" s="82"/>
      <c r="H21" s="82" t="s">
        <v>430</v>
      </c>
      <c r="I21" s="82" t="s">
        <v>431</v>
      </c>
      <c r="J21" s="83" t="s">
        <v>432</v>
      </c>
      <c r="K21" s="84" t="s">
        <v>433</v>
      </c>
      <c r="L21" s="82" t="s">
        <v>434</v>
      </c>
      <c r="M21" s="82" t="s">
        <v>435</v>
      </c>
      <c r="N21" s="83" t="s">
        <v>436</v>
      </c>
      <c r="O21" s="85"/>
    </row>
    <row r="22" spans="1:15" ht="15.75" customHeight="1" outlineLevel="1" x14ac:dyDescent="0.25">
      <c r="G22" s="417" t="s">
        <v>437</v>
      </c>
      <c r="H22" s="416">
        <v>6.09</v>
      </c>
      <c r="I22" s="418">
        <v>6.44</v>
      </c>
      <c r="J22" s="416">
        <v>5.77</v>
      </c>
      <c r="K22" s="418">
        <v>5.77</v>
      </c>
      <c r="L22" s="416">
        <v>5.23</v>
      </c>
      <c r="M22" s="416">
        <v>5.77</v>
      </c>
      <c r="N22" s="86">
        <v>6.29</v>
      </c>
      <c r="O22" s="57" t="s">
        <v>438</v>
      </c>
    </row>
    <row r="23" spans="1:15" ht="15.75" customHeight="1" outlineLevel="1" x14ac:dyDescent="0.25">
      <c r="G23" s="417"/>
      <c r="H23" s="416"/>
      <c r="I23" s="418"/>
      <c r="J23" s="416"/>
      <c r="K23" s="418"/>
      <c r="L23" s="416"/>
      <c r="M23" s="416"/>
      <c r="N23" s="86">
        <v>6.56</v>
      </c>
      <c r="O23" s="57" t="s">
        <v>439</v>
      </c>
    </row>
    <row r="24" spans="1:15" ht="15.75" customHeight="1" outlineLevel="1" x14ac:dyDescent="0.25">
      <c r="G24" s="87" t="s">
        <v>440</v>
      </c>
      <c r="H24" s="88">
        <v>4.46</v>
      </c>
      <c r="I24" s="89">
        <v>4.28</v>
      </c>
      <c r="J24" s="90">
        <v>4.6500000000000004</v>
      </c>
      <c r="K24" s="84">
        <v>4.6100000000000003</v>
      </c>
      <c r="L24" s="88">
        <v>4.28</v>
      </c>
      <c r="M24" s="86">
        <v>4.6500000000000004</v>
      </c>
      <c r="N24" s="86">
        <v>4.28</v>
      </c>
      <c r="O24" s="85"/>
    </row>
    <row r="25" spans="1:15" ht="15.75" customHeight="1" outlineLevel="1" x14ac:dyDescent="0.25">
      <c r="G25" s="87" t="s">
        <v>414</v>
      </c>
      <c r="H25" s="88">
        <v>11.37</v>
      </c>
      <c r="I25" s="91">
        <v>8.42</v>
      </c>
      <c r="J25" s="90">
        <v>15.91</v>
      </c>
      <c r="K25" s="84">
        <v>15.91</v>
      </c>
      <c r="L25" s="88">
        <v>14.35</v>
      </c>
      <c r="M25" s="86">
        <v>15.91</v>
      </c>
      <c r="N25" s="86">
        <v>8.2899999999999991</v>
      </c>
      <c r="O25" s="85"/>
    </row>
    <row r="26" spans="1:15" s="56" customFormat="1" ht="31.7" customHeight="1" outlineLevel="1" x14ac:dyDescent="0.25">
      <c r="G26" s="87" t="s">
        <v>441</v>
      </c>
      <c r="H26" s="88">
        <v>3.83</v>
      </c>
      <c r="I26" s="89">
        <v>3.95</v>
      </c>
      <c r="J26" s="90">
        <v>4.1500000000000004</v>
      </c>
      <c r="K26" s="84">
        <v>3.83</v>
      </c>
      <c r="L26" s="84">
        <v>3.95</v>
      </c>
      <c r="M26" s="86">
        <v>4.09</v>
      </c>
      <c r="N26" s="86">
        <v>3.95</v>
      </c>
      <c r="O26" s="85"/>
    </row>
    <row r="27" spans="1:15" s="56" customFormat="1" ht="31.7" customHeight="1" outlineLevel="1" x14ac:dyDescent="0.25">
      <c r="G27" s="87" t="s">
        <v>442</v>
      </c>
      <c r="H27" s="88">
        <v>3.91</v>
      </c>
      <c r="I27" s="89">
        <v>3.99</v>
      </c>
      <c r="J27" s="90">
        <v>4.2300000000000004</v>
      </c>
      <c r="K27" s="84">
        <v>3.91</v>
      </c>
      <c r="L27" s="84">
        <v>3.99</v>
      </c>
      <c r="M27" s="86">
        <v>4.17</v>
      </c>
      <c r="N27" s="86">
        <v>3.99</v>
      </c>
      <c r="O27" s="85"/>
    </row>
    <row r="28" spans="1:15" s="56" customFormat="1" ht="15.75" customHeight="1" outlineLevel="1" x14ac:dyDescent="0.25">
      <c r="G28" s="87" t="s">
        <v>384</v>
      </c>
      <c r="H28" s="88">
        <v>8.7899999999999991</v>
      </c>
      <c r="I28" s="88">
        <v>8.7899999999999991</v>
      </c>
      <c r="J28" s="90">
        <v>9.19</v>
      </c>
      <c r="K28" s="84">
        <v>9.1</v>
      </c>
      <c r="L28" s="88">
        <v>8.42</v>
      </c>
      <c r="M28" s="86">
        <v>9.19</v>
      </c>
      <c r="N28" s="86">
        <v>8.42</v>
      </c>
      <c r="O28" s="85"/>
    </row>
    <row r="29" spans="1:15" s="56" customFormat="1" x14ac:dyDescent="0.25">
      <c r="G29" s="57"/>
      <c r="H29" s="57"/>
      <c r="I29" s="57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93" customWidth="1"/>
    <col min="2" max="2" width="9.85546875" style="93" customWidth="1"/>
    <col min="3" max="3" width="65.140625" style="93" customWidth="1"/>
    <col min="4" max="4" width="18.7109375" style="93" customWidth="1"/>
    <col min="5" max="5" width="17.7109375" style="93" customWidth="1"/>
    <col min="6" max="6" width="12.7109375" style="93" customWidth="1"/>
    <col min="7" max="7" width="14.28515625" style="93" customWidth="1"/>
    <col min="8" max="8" width="13.85546875" style="93" customWidth="1"/>
    <col min="9" max="9" width="17.140625" style="93" customWidth="1"/>
    <col min="10" max="10" width="14.42578125" style="93" customWidth="1"/>
    <col min="11" max="12" width="12.7109375" style="93" customWidth="1"/>
    <col min="13" max="13" width="15.7109375" style="93" customWidth="1"/>
    <col min="14" max="14" width="18.42578125" style="93" customWidth="1"/>
    <col min="15" max="15" width="18.7109375" style="93" customWidth="1"/>
    <col min="16" max="16" width="18" style="93" customWidth="1"/>
    <col min="17" max="17" width="17" style="93" customWidth="1"/>
    <col min="18" max="18" width="16.5703125" style="94" customWidth="1"/>
    <col min="19" max="19" width="9.28515625" style="58"/>
  </cols>
  <sheetData>
    <row r="2" spans="1:18" ht="18.75" customHeight="1" x14ac:dyDescent="0.25">
      <c r="A2" s="438" t="s">
        <v>443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</row>
    <row r="4" spans="1:18" ht="36.75" customHeight="1" x14ac:dyDescent="0.25">
      <c r="A4" s="422" t="s">
        <v>403</v>
      </c>
      <c r="B4" s="425" t="s">
        <v>404</v>
      </c>
      <c r="C4" s="428" t="s">
        <v>444</v>
      </c>
      <c r="D4" s="428" t="s">
        <v>445</v>
      </c>
      <c r="E4" s="431" t="s">
        <v>446</v>
      </c>
      <c r="F4" s="432"/>
      <c r="G4" s="432"/>
      <c r="H4" s="432"/>
      <c r="I4" s="432"/>
      <c r="J4" s="432"/>
      <c r="K4" s="432"/>
      <c r="L4" s="432"/>
      <c r="M4" s="432"/>
      <c r="N4" s="439" t="s">
        <v>447</v>
      </c>
      <c r="O4" s="440"/>
      <c r="P4" s="440"/>
      <c r="Q4" s="440"/>
      <c r="R4" s="441"/>
    </row>
    <row r="5" spans="1:18" ht="60" customHeight="1" x14ac:dyDescent="0.25">
      <c r="A5" s="423"/>
      <c r="B5" s="426"/>
      <c r="C5" s="429"/>
      <c r="D5" s="429"/>
      <c r="E5" s="436" t="s">
        <v>448</v>
      </c>
      <c r="F5" s="436" t="s">
        <v>449</v>
      </c>
      <c r="G5" s="433" t="s">
        <v>410</v>
      </c>
      <c r="H5" s="434"/>
      <c r="I5" s="434"/>
      <c r="J5" s="435"/>
      <c r="K5" s="436" t="s">
        <v>450</v>
      </c>
      <c r="L5" s="436"/>
      <c r="M5" s="436"/>
      <c r="N5" s="95" t="s">
        <v>451</v>
      </c>
      <c r="O5" s="95" t="s">
        <v>452</v>
      </c>
      <c r="P5" s="96" t="s">
        <v>453</v>
      </c>
      <c r="Q5" s="97" t="s">
        <v>454</v>
      </c>
      <c r="R5" s="96" t="s">
        <v>455</v>
      </c>
    </row>
    <row r="6" spans="1:18" ht="49.7" customHeight="1" x14ac:dyDescent="0.25">
      <c r="A6" s="424"/>
      <c r="B6" s="427"/>
      <c r="C6" s="430"/>
      <c r="D6" s="430"/>
      <c r="E6" s="436"/>
      <c r="F6" s="436"/>
      <c r="G6" s="59" t="s">
        <v>123</v>
      </c>
      <c r="H6" s="59" t="s">
        <v>124</v>
      </c>
      <c r="I6" s="98" t="s">
        <v>43</v>
      </c>
      <c r="J6" s="98" t="s">
        <v>384</v>
      </c>
      <c r="K6" s="59" t="s">
        <v>451</v>
      </c>
      <c r="L6" s="59" t="s">
        <v>452</v>
      </c>
      <c r="M6" s="59" t="s">
        <v>453</v>
      </c>
      <c r="N6" s="98" t="s">
        <v>456</v>
      </c>
      <c r="O6" s="98" t="s">
        <v>457</v>
      </c>
      <c r="P6" s="98" t="s">
        <v>458</v>
      </c>
      <c r="Q6" s="99" t="s">
        <v>459</v>
      </c>
      <c r="R6" s="100" t="s">
        <v>460</v>
      </c>
    </row>
    <row r="7" spans="1:18" ht="16.5" customHeight="1" x14ac:dyDescent="0.25">
      <c r="A7" s="101"/>
      <c r="B7" s="102"/>
      <c r="C7" s="103"/>
      <c r="D7" s="103"/>
      <c r="E7" s="92"/>
      <c r="F7" s="92"/>
      <c r="G7" s="92"/>
      <c r="H7" s="92"/>
      <c r="I7" s="103"/>
      <c r="J7" s="103"/>
      <c r="K7" s="92"/>
      <c r="L7" s="92"/>
      <c r="M7" s="92"/>
      <c r="N7" s="103"/>
      <c r="O7" s="103"/>
      <c r="P7" s="103"/>
      <c r="Q7" s="99"/>
      <c r="R7" s="104"/>
    </row>
    <row r="8" spans="1:18" x14ac:dyDescent="0.25">
      <c r="A8" s="101">
        <v>1</v>
      </c>
      <c r="B8" s="101"/>
      <c r="C8" s="101">
        <v>2</v>
      </c>
      <c r="D8" s="101">
        <v>3</v>
      </c>
      <c r="E8" s="101">
        <v>4</v>
      </c>
      <c r="F8" s="101">
        <v>5</v>
      </c>
      <c r="G8" s="101">
        <v>6</v>
      </c>
      <c r="H8" s="101">
        <v>7</v>
      </c>
      <c r="I8" s="101">
        <v>8</v>
      </c>
      <c r="J8" s="101">
        <v>9</v>
      </c>
      <c r="K8" s="101">
        <v>10</v>
      </c>
      <c r="L8" s="101">
        <v>11</v>
      </c>
      <c r="M8" s="101">
        <v>12</v>
      </c>
      <c r="N8" s="101">
        <v>13</v>
      </c>
      <c r="O8" s="101">
        <v>14</v>
      </c>
      <c r="P8" s="101">
        <v>15</v>
      </c>
      <c r="Q8" s="101">
        <v>16</v>
      </c>
      <c r="R8" s="101">
        <v>17</v>
      </c>
    </row>
    <row r="9" spans="1:18" ht="102.6" customHeight="1" x14ac:dyDescent="0.25">
      <c r="A9" s="422">
        <v>1</v>
      </c>
      <c r="B9" s="422" t="s">
        <v>461</v>
      </c>
      <c r="C9" s="442" t="s">
        <v>417</v>
      </c>
      <c r="D9" s="105" t="s">
        <v>462</v>
      </c>
      <c r="E9" s="106">
        <v>11656.266250000001</v>
      </c>
      <c r="F9" s="106">
        <f t="shared" ref="F9:F14" si="0">G9+H9+I9</f>
        <v>9442.6878704999999</v>
      </c>
      <c r="G9" s="106">
        <f>G10*E28</f>
        <v>2331.6699567000001</v>
      </c>
      <c r="H9" s="106">
        <f>H10*E28</f>
        <v>1695.3600216</v>
      </c>
      <c r="I9" s="106">
        <f>I10*E30</f>
        <v>5415.6578921999999</v>
      </c>
      <c r="J9" s="106"/>
      <c r="K9" s="106">
        <f>K10*1.19*E33</f>
        <v>136.37044035299999</v>
      </c>
      <c r="L9" s="106">
        <v>0</v>
      </c>
      <c r="M9" s="106">
        <f>M10*1.266*E34</f>
        <v>66.539350027799998</v>
      </c>
      <c r="N9" s="107">
        <f t="shared" ref="N9:N22" si="1">K9/(G9+H9)</f>
        <v>3.3863775806946002E-2</v>
      </c>
      <c r="O9" s="107">
        <f t="shared" ref="O9:O22" si="2">L9/(G9+H9)</f>
        <v>0</v>
      </c>
      <c r="P9" s="107">
        <f t="shared" ref="P9:P22" si="3">M9/(G9+H9)</f>
        <v>1.652318219292E-2</v>
      </c>
      <c r="Q9" s="108">
        <v>0</v>
      </c>
      <c r="R9" s="109">
        <f>N9+O9+P9+Q9</f>
        <v>5.0386957999864999E-2</v>
      </c>
    </row>
    <row r="10" spans="1:18" ht="72.75" hidden="1" customHeight="1" x14ac:dyDescent="0.25">
      <c r="A10" s="424"/>
      <c r="B10" s="423"/>
      <c r="C10" s="443"/>
      <c r="D10" s="105" t="s">
        <v>463</v>
      </c>
      <c r="E10" s="106">
        <v>2179.8248199999998</v>
      </c>
      <c r="F10" s="106">
        <f t="shared" si="0"/>
        <v>1875.52594</v>
      </c>
      <c r="G10" s="106">
        <f>382868.63/1000</f>
        <v>382.86863</v>
      </c>
      <c r="H10" s="106">
        <f>278384.24/1000</f>
        <v>278.38423999999998</v>
      </c>
      <c r="I10" s="106">
        <f>1214273.07/1000</f>
        <v>1214.27307</v>
      </c>
      <c r="J10" s="106"/>
      <c r="K10" s="106">
        <f>29920.89/1000</f>
        <v>29.92089</v>
      </c>
      <c r="L10" s="106">
        <v>0</v>
      </c>
      <c r="M10" s="106">
        <f>13442.13/1000</f>
        <v>13.442130000000001</v>
      </c>
      <c r="N10" s="107">
        <f t="shared" si="1"/>
        <v>4.5248786595059001E-2</v>
      </c>
      <c r="O10" s="107">
        <f t="shared" si="2"/>
        <v>0</v>
      </c>
      <c r="P10" s="107">
        <f t="shared" si="3"/>
        <v>2.0328274718868E-2</v>
      </c>
      <c r="Q10" s="108">
        <v>0</v>
      </c>
      <c r="R10" s="109"/>
    </row>
    <row r="11" spans="1:18" ht="192.75" customHeight="1" x14ac:dyDescent="0.25">
      <c r="A11" s="422">
        <v>2</v>
      </c>
      <c r="B11" s="423"/>
      <c r="C11" s="442" t="s">
        <v>464</v>
      </c>
      <c r="D11" s="110" t="s">
        <v>462</v>
      </c>
      <c r="E11" s="106">
        <v>688044.21</v>
      </c>
      <c r="F11" s="106">
        <f t="shared" si="0"/>
        <v>521424.06839999999</v>
      </c>
      <c r="G11" s="106">
        <f>G12*F28</f>
        <v>99804.705000000002</v>
      </c>
      <c r="H11" s="106">
        <f>H12*F28</f>
        <v>246917.90760000001</v>
      </c>
      <c r="I11" s="106">
        <f>I12*F30</f>
        <v>174701.4558</v>
      </c>
      <c r="J11" s="106"/>
      <c r="K11" s="106">
        <f>K12*1.19*F33</f>
        <v>8486.4829769999997</v>
      </c>
      <c r="L11" s="106">
        <f>L12*1.19*F33</f>
        <v>11572.501646999999</v>
      </c>
      <c r="M11" s="106">
        <f>M12*1.266*F34</f>
        <v>3883.6190735999999</v>
      </c>
      <c r="N11" s="107">
        <f t="shared" si="1"/>
        <v>2.4476289311970999E-2</v>
      </c>
      <c r="O11" s="107">
        <f t="shared" si="2"/>
        <v>3.3376829853179003E-2</v>
      </c>
      <c r="P11" s="107">
        <f t="shared" si="3"/>
        <v>1.1200939692042E-2</v>
      </c>
      <c r="Q11" s="108">
        <v>0</v>
      </c>
      <c r="R11" s="109">
        <f>N11+O11+P11+Q11</f>
        <v>6.9054058857192999E-2</v>
      </c>
    </row>
    <row r="12" spans="1:18" ht="100.9" hidden="1" customHeight="1" x14ac:dyDescent="0.25">
      <c r="A12" s="424"/>
      <c r="B12" s="424"/>
      <c r="C12" s="443"/>
      <c r="D12" s="110" t="s">
        <v>463</v>
      </c>
      <c r="E12" s="106">
        <v>116471.93</v>
      </c>
      <c r="F12" s="106">
        <f t="shared" si="0"/>
        <v>91466.75</v>
      </c>
      <c r="G12" s="106">
        <v>15053.5</v>
      </c>
      <c r="H12" s="106">
        <v>37242.519999999997</v>
      </c>
      <c r="I12" s="106">
        <v>39170.730000000003</v>
      </c>
      <c r="J12" s="106"/>
      <c r="K12" s="106">
        <v>1862.01</v>
      </c>
      <c r="L12" s="106">
        <v>2539.11</v>
      </c>
      <c r="M12" s="106">
        <v>784.56</v>
      </c>
      <c r="N12" s="107">
        <f t="shared" si="1"/>
        <v>3.5605195194586998E-2</v>
      </c>
      <c r="O12" s="107">
        <f t="shared" si="2"/>
        <v>4.8552643203058E-2</v>
      </c>
      <c r="P12" s="107">
        <f t="shared" si="3"/>
        <v>1.5002288893112999E-2</v>
      </c>
      <c r="Q12" s="108">
        <v>0</v>
      </c>
      <c r="R12" s="109"/>
    </row>
    <row r="13" spans="1:18" ht="49.15" customHeight="1" x14ac:dyDescent="0.25">
      <c r="A13" s="422">
        <v>3</v>
      </c>
      <c r="B13" s="422" t="s">
        <v>419</v>
      </c>
      <c r="C13" s="444" t="s">
        <v>420</v>
      </c>
      <c r="D13" s="105" t="s">
        <v>465</v>
      </c>
      <c r="E13" s="106">
        <v>170961.79</v>
      </c>
      <c r="F13" s="106">
        <f t="shared" si="0"/>
        <v>129121.52159999999</v>
      </c>
      <c r="G13" s="106">
        <f>G14*G28</f>
        <v>91503.198799999998</v>
      </c>
      <c r="H13" s="106">
        <f>H14*G28</f>
        <v>37618.322800000002</v>
      </c>
      <c r="I13" s="106">
        <f>I14*G30</f>
        <v>0</v>
      </c>
      <c r="J13" s="106"/>
      <c r="K13" s="66">
        <f>K14*1.19*G33</f>
        <v>1996.481088</v>
      </c>
      <c r="L13" s="66">
        <f>L14*1.19*G33</f>
        <v>2500.7293079999999</v>
      </c>
      <c r="M13" s="66">
        <f>M14*1.266*G34</f>
        <v>200.53819799999999</v>
      </c>
      <c r="N13" s="107">
        <f t="shared" si="1"/>
        <v>1.5462031915832E-2</v>
      </c>
      <c r="O13" s="107">
        <f t="shared" si="2"/>
        <v>1.9367254017862E-2</v>
      </c>
      <c r="P13" s="107">
        <f t="shared" si="3"/>
        <v>1.5530966140659E-3</v>
      </c>
      <c r="Q13" s="108">
        <v>4.5614105389631997E-3</v>
      </c>
      <c r="R13" s="109">
        <f>N13+O13+P13+Q13</f>
        <v>4.0943793086723003E-2</v>
      </c>
    </row>
    <row r="14" spans="1:18" ht="57.2" hidden="1" customHeight="1" x14ac:dyDescent="0.25">
      <c r="A14" s="424"/>
      <c r="B14" s="423"/>
      <c r="C14" s="445"/>
      <c r="D14" s="105" t="s">
        <v>463</v>
      </c>
      <c r="E14" s="106">
        <v>29033.31</v>
      </c>
      <c r="F14" s="106">
        <f t="shared" si="0"/>
        <v>22378.080000000002</v>
      </c>
      <c r="G14" s="106">
        <v>15858.44</v>
      </c>
      <c r="H14" s="106">
        <v>6519.64</v>
      </c>
      <c r="I14" s="106">
        <v>0</v>
      </c>
      <c r="J14" s="106"/>
      <c r="K14" s="66">
        <v>420.48</v>
      </c>
      <c r="L14" s="66">
        <v>526.67999999999995</v>
      </c>
      <c r="M14" s="66">
        <v>39.700000000000003</v>
      </c>
      <c r="N14" s="107">
        <f t="shared" si="1"/>
        <v>1.8789815748268001E-2</v>
      </c>
      <c r="O14" s="107">
        <f t="shared" si="2"/>
        <v>2.3535531198387E-2</v>
      </c>
      <c r="P14" s="107">
        <f t="shared" si="3"/>
        <v>1.7740574705247E-3</v>
      </c>
      <c r="Q14" s="108">
        <v>4.9753003421204997E-3</v>
      </c>
      <c r="R14" s="109"/>
    </row>
    <row r="15" spans="1:18" ht="67.900000000000006" customHeight="1" x14ac:dyDescent="0.25">
      <c r="A15" s="422">
        <v>4</v>
      </c>
      <c r="B15" s="423"/>
      <c r="C15" s="446" t="s">
        <v>421</v>
      </c>
      <c r="D15" s="111" t="s">
        <v>465</v>
      </c>
      <c r="E15" s="106">
        <v>725870.83</v>
      </c>
      <c r="F15" s="106">
        <v>551588.679</v>
      </c>
      <c r="G15" s="106">
        <v>319494.33</v>
      </c>
      <c r="H15" s="106">
        <v>231687.44</v>
      </c>
      <c r="I15" s="106">
        <v>406.85</v>
      </c>
      <c r="J15" s="106"/>
      <c r="K15" s="106">
        <v>12415.71</v>
      </c>
      <c r="L15" s="106">
        <v>14808.286339</v>
      </c>
      <c r="M15" s="106">
        <v>3822.96</v>
      </c>
      <c r="N15" s="107">
        <f t="shared" si="1"/>
        <v>2.2525618000755001E-2</v>
      </c>
      <c r="O15" s="107">
        <f t="shared" si="2"/>
        <v>2.6866429814977E-2</v>
      </c>
      <c r="P15" s="107">
        <f t="shared" si="3"/>
        <v>6.9359333128888E-3</v>
      </c>
      <c r="Q15" s="108">
        <v>3.5515340532281999E-3</v>
      </c>
      <c r="R15" s="109">
        <f>N15+O15+P15+Q15</f>
        <v>5.9879515181849002E-2</v>
      </c>
    </row>
    <row r="16" spans="1:18" ht="67.900000000000006" hidden="1" customHeight="1" x14ac:dyDescent="0.25">
      <c r="A16" s="424"/>
      <c r="B16" s="424"/>
      <c r="C16" s="447"/>
      <c r="D16" s="111" t="s">
        <v>463</v>
      </c>
      <c r="E16" s="106">
        <v>125177.97</v>
      </c>
      <c r="F16" s="106">
        <v>95613.7</v>
      </c>
      <c r="G16" s="106">
        <v>55371.64</v>
      </c>
      <c r="H16" s="106">
        <v>40153.81</v>
      </c>
      <c r="I16" s="106">
        <v>88.25</v>
      </c>
      <c r="J16" s="106"/>
      <c r="K16" s="106">
        <v>2724.12</v>
      </c>
      <c r="L16" s="106">
        <v>3249.07</v>
      </c>
      <c r="M16" s="106">
        <v>772.31</v>
      </c>
      <c r="N16" s="107">
        <f t="shared" si="1"/>
        <v>2.8517217139516E-2</v>
      </c>
      <c r="O16" s="107">
        <f t="shared" si="2"/>
        <v>3.4012611298874E-2</v>
      </c>
      <c r="P16" s="107">
        <f t="shared" si="3"/>
        <v>8.0848611548021993E-3</v>
      </c>
      <c r="Q16" s="108">
        <v>3.8737899135989E-3</v>
      </c>
      <c r="R16" s="109"/>
    </row>
    <row r="17" spans="1:18" ht="67.900000000000006" customHeight="1" x14ac:dyDescent="0.25">
      <c r="A17" s="422">
        <v>5</v>
      </c>
      <c r="B17" s="437" t="s">
        <v>422</v>
      </c>
      <c r="C17" s="442" t="s">
        <v>466</v>
      </c>
      <c r="D17" s="105" t="s">
        <v>467</v>
      </c>
      <c r="E17" s="106">
        <v>561932.85</v>
      </c>
      <c r="F17" s="106">
        <f>G17+H17+I17</f>
        <v>399667.21620000002</v>
      </c>
      <c r="G17" s="106">
        <f>G18*I28</f>
        <v>163785.296</v>
      </c>
      <c r="H17" s="106">
        <f>H18*I28</f>
        <v>147763.611</v>
      </c>
      <c r="I17" s="106">
        <f>I18*I30</f>
        <v>88118.309200000003</v>
      </c>
      <c r="J17" s="106"/>
      <c r="K17" s="106">
        <f>K18*1.19*I33</f>
        <v>19215.596995</v>
      </c>
      <c r="L17" s="106">
        <f>L18*1.19*I33</f>
        <v>0</v>
      </c>
      <c r="M17" s="106">
        <f>M18*1.266*I34</f>
        <v>1734.8322095999999</v>
      </c>
      <c r="N17" s="107">
        <f t="shared" si="1"/>
        <v>6.1677626090981999E-2</v>
      </c>
      <c r="O17" s="107">
        <f t="shared" si="2"/>
        <v>0</v>
      </c>
      <c r="P17" s="107">
        <f t="shared" si="3"/>
        <v>5.5684105147574998E-3</v>
      </c>
      <c r="Q17" s="108">
        <v>5.5643872525604002E-3</v>
      </c>
      <c r="R17" s="109">
        <f>N17+O17+P17+Q17</f>
        <v>7.2810423858299E-2</v>
      </c>
    </row>
    <row r="18" spans="1:18" ht="67.900000000000006" hidden="1" customHeight="1" x14ac:dyDescent="0.25">
      <c r="A18" s="424"/>
      <c r="B18" s="437"/>
      <c r="C18" s="443"/>
      <c r="D18" s="105" t="s">
        <v>463</v>
      </c>
      <c r="E18" s="106">
        <v>94393.09</v>
      </c>
      <c r="F18" s="106">
        <f>G18+H18+I18</f>
        <v>69651.210000000006</v>
      </c>
      <c r="G18" s="106">
        <v>25792.959999999999</v>
      </c>
      <c r="H18" s="106">
        <v>23269.86</v>
      </c>
      <c r="I18" s="106">
        <v>20588.39</v>
      </c>
      <c r="J18" s="106"/>
      <c r="K18" s="106">
        <v>4087.99</v>
      </c>
      <c r="L18" s="106">
        <v>0</v>
      </c>
      <c r="M18" s="106">
        <v>343.44</v>
      </c>
      <c r="N18" s="107">
        <f t="shared" si="1"/>
        <v>8.3321545724441004E-2</v>
      </c>
      <c r="O18" s="107">
        <f t="shared" si="2"/>
        <v>0</v>
      </c>
      <c r="P18" s="107">
        <f t="shared" si="3"/>
        <v>7.0000052993284996E-3</v>
      </c>
      <c r="Q18" s="108">
        <v>9.4728844648146997E-3</v>
      </c>
      <c r="R18" s="109"/>
    </row>
    <row r="19" spans="1:18" ht="67.900000000000006" customHeight="1" x14ac:dyDescent="0.25">
      <c r="A19" s="422">
        <v>6</v>
      </c>
      <c r="B19" s="437"/>
      <c r="C19" s="442" t="s">
        <v>424</v>
      </c>
      <c r="D19" s="111" t="s">
        <v>465</v>
      </c>
      <c r="E19" s="106">
        <v>738823.57</v>
      </c>
      <c r="F19" s="106">
        <v>511472.86</v>
      </c>
      <c r="G19" s="106">
        <v>257334.67</v>
      </c>
      <c r="H19" s="106">
        <v>230898.09</v>
      </c>
      <c r="I19" s="106">
        <v>23240.1</v>
      </c>
      <c r="J19" s="106"/>
      <c r="K19" s="106">
        <v>19584.188309000001</v>
      </c>
      <c r="L19" s="106">
        <v>0</v>
      </c>
      <c r="M19" s="106">
        <v>2539.5687809999999</v>
      </c>
      <c r="N19" s="107">
        <f t="shared" si="1"/>
        <v>4.0112401119907999E-2</v>
      </c>
      <c r="O19" s="107">
        <f t="shared" si="2"/>
        <v>0</v>
      </c>
      <c r="P19" s="107">
        <f t="shared" si="3"/>
        <v>5.2015534168579998E-3</v>
      </c>
      <c r="Q19" s="108">
        <v>5.1286902198045999E-3</v>
      </c>
      <c r="R19" s="109">
        <f>N19+O19+P19+Q19</f>
        <v>5.0442644756571002E-2</v>
      </c>
    </row>
    <row r="20" spans="1:18" ht="67.900000000000006" hidden="1" customHeight="1" x14ac:dyDescent="0.25">
      <c r="A20" s="424"/>
      <c r="B20" s="437"/>
      <c r="C20" s="443"/>
      <c r="D20" s="111" t="s">
        <v>463</v>
      </c>
      <c r="E20" s="106">
        <v>128717.35</v>
      </c>
      <c r="F20" s="106">
        <v>89613.6</v>
      </c>
      <c r="G20" s="106">
        <v>44598.73</v>
      </c>
      <c r="H20" s="106">
        <v>40017</v>
      </c>
      <c r="I20" s="106">
        <v>4997.87</v>
      </c>
      <c r="J20" s="106"/>
      <c r="K20" s="106">
        <v>4023.79</v>
      </c>
      <c r="L20" s="106">
        <v>0</v>
      </c>
      <c r="M20" s="106">
        <v>481.05</v>
      </c>
      <c r="N20" s="107">
        <f t="shared" si="1"/>
        <v>4.7553687712675E-2</v>
      </c>
      <c r="O20" s="107">
        <f t="shared" si="2"/>
        <v>0</v>
      </c>
      <c r="P20" s="107">
        <f t="shared" si="3"/>
        <v>5.6851131580381003E-3</v>
      </c>
      <c r="Q20" s="108">
        <v>5.5940533914911996E-3</v>
      </c>
      <c r="R20" s="109"/>
    </row>
    <row r="21" spans="1:18" ht="67.900000000000006" customHeight="1" x14ac:dyDescent="0.25">
      <c r="A21" s="422">
        <v>7</v>
      </c>
      <c r="B21" s="422" t="s">
        <v>425</v>
      </c>
      <c r="C21" s="442" t="s">
        <v>426</v>
      </c>
      <c r="D21" s="111" t="s">
        <v>468</v>
      </c>
      <c r="E21" s="106">
        <v>16001185.93</v>
      </c>
      <c r="F21" s="106">
        <f>G21+H21+I21+J21</f>
        <v>6269109.2307000002</v>
      </c>
      <c r="G21" s="106">
        <f>123094.59*K28+325303.92*K29</f>
        <v>2908258.6863000002</v>
      </c>
      <c r="H21" s="106">
        <f>110226.08*K28+375865.25*K29</f>
        <v>3158998.0832000002</v>
      </c>
      <c r="I21" s="106">
        <f>I22*K30</f>
        <v>201852.46119999999</v>
      </c>
      <c r="J21" s="106">
        <f>J22*K35</f>
        <v>0</v>
      </c>
      <c r="K21" s="106">
        <f>K22*K33*1.19</f>
        <v>48825.362634999998</v>
      </c>
      <c r="L21" s="106">
        <f>L22*1.19*K33</f>
        <v>73238.020449999996</v>
      </c>
      <c r="M21" s="106">
        <f>M22*K34*1.266</f>
        <v>11514.8831238</v>
      </c>
      <c r="N21" s="107">
        <f t="shared" si="1"/>
        <v>8.0473539343916007E-3</v>
      </c>
      <c r="O21" s="107">
        <f t="shared" si="2"/>
        <v>1.2071027027926E-2</v>
      </c>
      <c r="P21" s="107">
        <f t="shared" si="3"/>
        <v>1.8978730522309999E-3</v>
      </c>
      <c r="Q21" s="108">
        <v>5.9210415358545E-4</v>
      </c>
      <c r="R21" s="109">
        <f>N21+O21+P21+Q21</f>
        <v>2.2608358168133998E-2</v>
      </c>
    </row>
    <row r="22" spans="1:18" ht="67.900000000000006" hidden="1" customHeight="1" x14ac:dyDescent="0.25">
      <c r="A22" s="424"/>
      <c r="B22" s="424"/>
      <c r="C22" s="443"/>
      <c r="D22" s="112" t="s">
        <v>463</v>
      </c>
      <c r="E22" s="113">
        <v>2195184.4700000002</v>
      </c>
      <c r="F22" s="113">
        <f>G22+H22+I22+J22</f>
        <v>981651.63</v>
      </c>
      <c r="G22" s="113">
        <f>123094.59+325303.92</f>
        <v>448398.51</v>
      </c>
      <c r="H22" s="113">
        <f>110226.08+375865.25</f>
        <v>486091.33</v>
      </c>
      <c r="I22" s="113">
        <v>47161.79</v>
      </c>
      <c r="J22" s="113">
        <v>0</v>
      </c>
      <c r="K22" s="113">
        <v>10387.27</v>
      </c>
      <c r="L22" s="113">
        <v>15580.9</v>
      </c>
      <c r="M22" s="113">
        <v>2279.5700000000002</v>
      </c>
      <c r="N22" s="114">
        <f t="shared" si="1"/>
        <v>1.1115444551008E-2</v>
      </c>
      <c r="O22" s="114">
        <f t="shared" si="2"/>
        <v>1.6673161475998E-2</v>
      </c>
      <c r="P22" s="114">
        <f t="shared" si="3"/>
        <v>2.4393737656901999E-3</v>
      </c>
      <c r="Q22" s="115">
        <v>7.7662380726578996E-4</v>
      </c>
      <c r="R22" s="116"/>
    </row>
    <row r="23" spans="1:18" ht="67.900000000000006" customHeight="1" x14ac:dyDescent="0.25">
      <c r="A23" s="117"/>
      <c r="B23" s="117"/>
      <c r="C23" s="118" t="s">
        <v>469</v>
      </c>
      <c r="D23" s="119"/>
      <c r="E23" s="120"/>
      <c r="F23" s="120"/>
      <c r="G23" s="120"/>
      <c r="H23" s="120"/>
      <c r="I23" s="120"/>
      <c r="J23" s="120"/>
      <c r="K23" s="120"/>
      <c r="L23" s="120"/>
      <c r="M23" s="120"/>
      <c r="N23" s="121">
        <f>(N9+N11+N13+N15+N17+N19+N21)/7</f>
        <v>2.9452156597254999E-2</v>
      </c>
      <c r="O23" s="121">
        <f>(O9+O11+O13+O15+O17+O19+O21)/7</f>
        <v>1.3097362959135E-2</v>
      </c>
      <c r="P23" s="121">
        <f>(P9+P11+P13+P15+P17+P19+P21)/7</f>
        <v>6.9829983993947003E-3</v>
      </c>
      <c r="Q23" s="121">
        <f>(Q9+Q11+Q13+Q15+Q17+Q19+Q21)/7</f>
        <v>2.7711608883059999E-3</v>
      </c>
      <c r="R23" s="121">
        <f>N23+O23+P23+Q23</f>
        <v>5.2303678844090998E-2</v>
      </c>
    </row>
    <row r="24" spans="1:18" ht="67.900000000000006" customHeight="1" x14ac:dyDescent="0.25">
      <c r="A24" s="122"/>
      <c r="B24" s="122"/>
      <c r="C24" s="123"/>
      <c r="D24" s="124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6"/>
      <c r="P24" s="126"/>
      <c r="Q24" s="78"/>
    </row>
    <row r="26" spans="1:18" ht="14.45" customHeight="1" outlineLevel="1" x14ac:dyDescent="0.25">
      <c r="D26" s="448" t="s">
        <v>470</v>
      </c>
      <c r="E26" s="448"/>
      <c r="F26" s="448"/>
      <c r="G26" s="448"/>
      <c r="H26" s="448"/>
      <c r="I26" s="448"/>
      <c r="J26" s="448"/>
      <c r="K26" s="448"/>
      <c r="L26" s="127"/>
      <c r="R26" s="128"/>
    </row>
    <row r="27" spans="1:18" outlineLevel="1" x14ac:dyDescent="0.25">
      <c r="D27" s="129"/>
      <c r="E27" s="129" t="s">
        <v>430</v>
      </c>
      <c r="F27" s="129" t="s">
        <v>431</v>
      </c>
      <c r="G27" s="129" t="s">
        <v>432</v>
      </c>
      <c r="H27" s="130" t="s">
        <v>433</v>
      </c>
      <c r="I27" s="130" t="s">
        <v>434</v>
      </c>
      <c r="J27" s="130" t="s">
        <v>435</v>
      </c>
      <c r="K27" s="117" t="s">
        <v>436</v>
      </c>
      <c r="L27" s="58"/>
    </row>
    <row r="28" spans="1:18" outlineLevel="1" x14ac:dyDescent="0.25">
      <c r="D28" s="449" t="s">
        <v>437</v>
      </c>
      <c r="E28" s="451">
        <v>6.09</v>
      </c>
      <c r="F28" s="453">
        <v>6.63</v>
      </c>
      <c r="G28" s="451">
        <v>5.77</v>
      </c>
      <c r="H28" s="455">
        <v>5.77</v>
      </c>
      <c r="I28" s="455">
        <v>6.35</v>
      </c>
      <c r="J28" s="451">
        <v>5.77</v>
      </c>
      <c r="K28" s="131">
        <v>6.29</v>
      </c>
      <c r="L28" s="93" t="s">
        <v>438</v>
      </c>
      <c r="M28" s="58"/>
    </row>
    <row r="29" spans="1:18" outlineLevel="1" x14ac:dyDescent="0.25">
      <c r="D29" s="450"/>
      <c r="E29" s="452"/>
      <c r="F29" s="454"/>
      <c r="G29" s="452"/>
      <c r="H29" s="456"/>
      <c r="I29" s="456"/>
      <c r="J29" s="452"/>
      <c r="K29" s="131">
        <v>6.56</v>
      </c>
      <c r="L29" s="93" t="s">
        <v>439</v>
      </c>
      <c r="M29" s="58"/>
    </row>
    <row r="30" spans="1:18" outlineLevel="1" x14ac:dyDescent="0.25">
      <c r="D30" s="132" t="s">
        <v>440</v>
      </c>
      <c r="E30" s="133">
        <v>4.46</v>
      </c>
      <c r="F30" s="129">
        <v>4.46</v>
      </c>
      <c r="G30" s="134">
        <v>4.6500000000000004</v>
      </c>
      <c r="H30" s="130">
        <v>4.6100000000000003</v>
      </c>
      <c r="I30" s="130">
        <v>4.28</v>
      </c>
      <c r="J30" s="131">
        <v>4.6500000000000004</v>
      </c>
      <c r="K30" s="131">
        <v>4.28</v>
      </c>
      <c r="L30" s="58"/>
    </row>
    <row r="31" spans="1:18" s="93" customFormat="1" outlineLevel="1" x14ac:dyDescent="0.25">
      <c r="D31" s="449" t="s">
        <v>414</v>
      </c>
      <c r="E31" s="451">
        <v>11.37</v>
      </c>
      <c r="F31" s="453">
        <v>13.56</v>
      </c>
      <c r="G31" s="451">
        <v>15.91</v>
      </c>
      <c r="H31" s="455">
        <v>15.91</v>
      </c>
      <c r="I31" s="455">
        <v>14.03</v>
      </c>
      <c r="J31" s="451">
        <v>15.91</v>
      </c>
      <c r="K31" s="131">
        <v>8.2899999999999991</v>
      </c>
      <c r="L31" s="93" t="s">
        <v>438</v>
      </c>
      <c r="R31" s="122"/>
    </row>
    <row r="32" spans="1:18" s="93" customFormat="1" outlineLevel="1" x14ac:dyDescent="0.25">
      <c r="D32" s="450"/>
      <c r="E32" s="452"/>
      <c r="F32" s="454"/>
      <c r="G32" s="452"/>
      <c r="H32" s="456"/>
      <c r="I32" s="456"/>
      <c r="J32" s="452"/>
      <c r="K32" s="131">
        <v>11.84</v>
      </c>
      <c r="L32" s="93" t="s">
        <v>439</v>
      </c>
      <c r="R32" s="122"/>
    </row>
    <row r="33" spans="4:18" s="93" customFormat="1" ht="15" customHeight="1" outlineLevel="1" x14ac:dyDescent="0.25">
      <c r="D33" s="135" t="s">
        <v>441</v>
      </c>
      <c r="E33" s="136">
        <v>3.83</v>
      </c>
      <c r="F33" s="137">
        <v>3.83</v>
      </c>
      <c r="G33" s="138">
        <v>3.99</v>
      </c>
      <c r="H33" s="139">
        <v>3.83</v>
      </c>
      <c r="I33" s="139">
        <v>3.95</v>
      </c>
      <c r="J33" s="140">
        <v>4.09</v>
      </c>
      <c r="K33" s="131">
        <v>3.95</v>
      </c>
      <c r="L33" s="93" t="s">
        <v>471</v>
      </c>
      <c r="R33" s="122"/>
    </row>
    <row r="34" spans="4:18" s="93" customFormat="1" outlineLevel="1" x14ac:dyDescent="0.25">
      <c r="D34" s="135" t="s">
        <v>442</v>
      </c>
      <c r="E34" s="136">
        <v>3.91</v>
      </c>
      <c r="F34" s="137">
        <v>3.91</v>
      </c>
      <c r="G34" s="138">
        <v>3.99</v>
      </c>
      <c r="H34" s="139">
        <v>3.91</v>
      </c>
      <c r="I34" s="139">
        <v>3.99</v>
      </c>
      <c r="J34" s="140">
        <v>4.17</v>
      </c>
      <c r="K34" s="131">
        <v>3.99</v>
      </c>
      <c r="L34" s="93" t="s">
        <v>471</v>
      </c>
      <c r="R34" s="122"/>
    </row>
    <row r="35" spans="4:18" s="93" customFormat="1" outlineLevel="1" x14ac:dyDescent="0.25">
      <c r="D35" s="132" t="s">
        <v>384</v>
      </c>
      <c r="E35" s="133">
        <v>8.7899999999999991</v>
      </c>
      <c r="F35" s="129">
        <v>8.7899999999999991</v>
      </c>
      <c r="G35" s="134">
        <v>9.19</v>
      </c>
      <c r="H35" s="130">
        <v>9.1</v>
      </c>
      <c r="I35" s="130">
        <v>8.42</v>
      </c>
      <c r="J35" s="131">
        <v>9.19</v>
      </c>
      <c r="K35" s="131">
        <v>8.42</v>
      </c>
      <c r="R35" s="122"/>
    </row>
    <row r="36" spans="4:18" s="93" customFormat="1" x14ac:dyDescent="0.25">
      <c r="R36" s="122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57" t="s">
        <v>10</v>
      </c>
      <c r="B2" s="357"/>
      <c r="C2" s="357"/>
      <c r="D2" s="357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6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60"/>
    </row>
    <row r="5" spans="1:4" x14ac:dyDescent="0.25">
      <c r="A5" s="6"/>
      <c r="B5" s="1"/>
      <c r="C5" s="1"/>
    </row>
    <row r="6" spans="1:4" x14ac:dyDescent="0.25">
      <c r="A6" s="357" t="s">
        <v>12</v>
      </c>
      <c r="B6" s="357"/>
      <c r="C6" s="357"/>
      <c r="D6" s="35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>
        <f>'4.5 РМ'!B36/1000</f>
        <v>29.553641298605832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>
        <f>'4.5 РМ'!B32/1000</f>
        <v>0</v>
      </c>
    </row>
    <row r="12" spans="1:4" ht="25.5" hidden="1" customHeight="1" outlineLevel="1" x14ac:dyDescent="0.25">
      <c r="A12" s="8" t="s">
        <v>22</v>
      </c>
      <c r="B12" s="9" t="s">
        <v>23</v>
      </c>
      <c r="C12" s="3">
        <f>'4.5 РМ'!B23/1000</f>
        <v>4.7397299999999998</v>
      </c>
    </row>
    <row r="13" spans="1:4" ht="26.45" hidden="1" customHeight="1" outlineLevel="1" x14ac:dyDescent="0.25">
      <c r="A13" s="8" t="s">
        <v>24</v>
      </c>
      <c r="B13" s="9" t="s">
        <v>25</v>
      </c>
      <c r="C13" s="3">
        <f>'4.5 РМ'!B36/1000</f>
        <v>29.553641298605832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61" t="s">
        <v>5</v>
      </c>
      <c r="B15" s="362" t="s">
        <v>15</v>
      </c>
      <c r="C15" s="362"/>
      <c r="D15" s="362"/>
    </row>
    <row r="16" spans="1:4" x14ac:dyDescent="0.25">
      <c r="A16" s="361"/>
      <c r="B16" s="361" t="s">
        <v>17</v>
      </c>
      <c r="C16" s="362" t="s">
        <v>28</v>
      </c>
      <c r="D16" s="362"/>
    </row>
    <row r="17" spans="1:4" ht="39.200000000000003" customHeight="1" x14ac:dyDescent="0.25">
      <c r="A17" s="361"/>
      <c r="B17" s="361"/>
      <c r="C17" s="10" t="s">
        <v>21</v>
      </c>
      <c r="D17" s="11" t="s">
        <v>23</v>
      </c>
    </row>
    <row r="18" spans="1:4" x14ac:dyDescent="0.25">
      <c r="A18" s="154" t="str">
        <f>B4</f>
        <v>И5-05-02</v>
      </c>
      <c r="B18" s="12">
        <f>C9</f>
        <v>29.553641298605832</v>
      </c>
      <c r="C18" s="12">
        <f>C11</f>
        <v>0</v>
      </c>
      <c r="D18" s="12">
        <f>C12</f>
        <v>4.7397299999999998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63" t="s">
        <v>29</v>
      </c>
      <c r="B2" s="363"/>
      <c r="C2" s="363"/>
      <c r="D2" s="363"/>
    </row>
    <row r="3" spans="1:10" x14ac:dyDescent="0.25">
      <c r="H3" s="158" t="s">
        <v>30</v>
      </c>
      <c r="I3" s="158" t="s">
        <v>31</v>
      </c>
      <c r="J3" s="158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1">
        <v>3985.09</v>
      </c>
      <c r="I4" s="141">
        <v>3153.63</v>
      </c>
      <c r="J4" s="141">
        <v>94532.14</v>
      </c>
    </row>
    <row r="5" spans="1:10" ht="102.2" customHeight="1" x14ac:dyDescent="0.25">
      <c r="A5" s="2">
        <v>1</v>
      </c>
      <c r="B5" s="9" t="s">
        <v>37</v>
      </c>
      <c r="C5" s="164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64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55">
        <v>3</v>
      </c>
      <c r="B7" s="165" t="s">
        <v>41</v>
      </c>
      <c r="C7" s="166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6">
        <v>4</v>
      </c>
      <c r="B8" s="167" t="s">
        <v>43</v>
      </c>
      <c r="C8" s="168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7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4" customWidth="1"/>
    <col min="2" max="2" width="20.5703125" style="14" customWidth="1"/>
    <col min="3" max="3" width="10.5703125" style="14" customWidth="1"/>
    <col min="4" max="4" width="10.85546875" style="14" customWidth="1"/>
    <col min="5" max="5" width="17.42578125" style="14" customWidth="1"/>
    <col min="6" max="8" width="9.140625" style="14"/>
    <col min="9" max="9" width="9.28515625" style="14" customWidth="1"/>
    <col min="10" max="10" width="10.140625" style="14" customWidth="1"/>
    <col min="11" max="11" width="9.140625" style="14"/>
    <col min="12" max="12" width="9.140625" style="5"/>
  </cols>
  <sheetData>
    <row r="1" spans="1:10" s="26" customFormat="1" ht="29.45" customHeight="1" x14ac:dyDescent="0.2">
      <c r="A1" s="363" t="s">
        <v>45</v>
      </c>
      <c r="B1" s="363"/>
      <c r="C1" s="363"/>
      <c r="D1" s="363"/>
    </row>
    <row r="2" spans="1:10" x14ac:dyDescent="0.25">
      <c r="A2" s="364" t="str">
        <f>'4.1 Отдел 1'!A10</f>
        <v>И5-05-02</v>
      </c>
      <c r="B2" s="364"/>
      <c r="C2" s="364"/>
      <c r="D2" s="364"/>
    </row>
    <row r="3" spans="1:10" x14ac:dyDescent="0.25">
      <c r="A3" s="365"/>
      <c r="B3" s="365"/>
      <c r="C3" s="365"/>
      <c r="D3" s="365"/>
    </row>
    <row r="4" spans="1:10" ht="51.75" customHeight="1" x14ac:dyDescent="0.25">
      <c r="A4" s="360" t="e">
        <f>#REF!</f>
        <v>#REF!</v>
      </c>
      <c r="B4" s="360"/>
      <c r="C4" s="360"/>
      <c r="D4" s="360"/>
    </row>
    <row r="5" spans="1:10" ht="15" customHeight="1" x14ac:dyDescent="0.25">
      <c r="A5" s="360"/>
      <c r="B5" s="366"/>
      <c r="C5" s="366"/>
      <c r="D5" s="366"/>
    </row>
    <row r="6" spans="1:10" x14ac:dyDescent="0.25">
      <c r="A6" s="4"/>
      <c r="B6" s="4"/>
      <c r="C6" s="4"/>
      <c r="D6" s="4"/>
    </row>
    <row r="7" spans="1:10" ht="53.1" customHeight="1" x14ac:dyDescent="0.25">
      <c r="A7" s="8" t="s">
        <v>46</v>
      </c>
      <c r="B7" s="2" t="s">
        <v>47</v>
      </c>
      <c r="C7" s="2" t="s">
        <v>48</v>
      </c>
      <c r="D7" s="2" t="s">
        <v>49</v>
      </c>
    </row>
    <row r="8" spans="1:10" x14ac:dyDescent="0.25">
      <c r="A8" s="27" t="s">
        <v>50</v>
      </c>
      <c r="B8" s="28">
        <f>'Прил.5 Расчет СМР и ОБ'!G14</f>
        <v>895.98</v>
      </c>
      <c r="C8" s="29">
        <f t="shared" ref="C8:C15" si="0">B8/$B$21</f>
        <v>5.6647648817201045E-2</v>
      </c>
      <c r="D8" s="29">
        <f t="shared" ref="D8:D15" si="1">B8/$B$35</f>
        <v>3.0317076361154424E-2</v>
      </c>
      <c r="I8" s="30"/>
      <c r="J8" s="30"/>
    </row>
    <row r="9" spans="1:10" x14ac:dyDescent="0.25">
      <c r="A9" s="27" t="s">
        <v>51</v>
      </c>
      <c r="B9" s="28">
        <f>'Прил.5 Расчет СМР и ОБ'!G22</f>
        <v>1104.19</v>
      </c>
      <c r="C9" s="29">
        <f t="shared" si="0"/>
        <v>6.9811566494190957E-2</v>
      </c>
      <c r="D9" s="29">
        <f t="shared" si="1"/>
        <v>3.7362231910559505E-2</v>
      </c>
      <c r="I9" s="30"/>
      <c r="J9" s="30"/>
    </row>
    <row r="10" spans="1:10" x14ac:dyDescent="0.25">
      <c r="A10" s="27" t="s">
        <v>52</v>
      </c>
      <c r="B10" s="28">
        <f>'Прил.5 Расчет СМР и ОБ'!G29</f>
        <v>170.32999999999998</v>
      </c>
      <c r="C10" s="29">
        <f t="shared" si="0"/>
        <v>1.0768983708379486E-2</v>
      </c>
      <c r="D10" s="29">
        <f t="shared" si="1"/>
        <v>5.7634183983966527E-3</v>
      </c>
      <c r="I10" s="30"/>
      <c r="J10" s="30"/>
    </row>
    <row r="11" spans="1:10" x14ac:dyDescent="0.25">
      <c r="A11" s="27" t="s">
        <v>53</v>
      </c>
      <c r="B11" s="28">
        <f>B9+B10</f>
        <v>1274.52</v>
      </c>
      <c r="C11" s="29">
        <f t="shared" si="0"/>
        <v>8.0580550202570447E-2</v>
      </c>
      <c r="D11" s="29">
        <f t="shared" si="1"/>
        <v>4.3125650308956154E-2</v>
      </c>
      <c r="I11" s="30"/>
      <c r="J11" s="30"/>
    </row>
    <row r="12" spans="1:10" x14ac:dyDescent="0.25">
      <c r="A12" s="27" t="s">
        <v>54</v>
      </c>
      <c r="B12" s="28">
        <f>'Прил.5 Расчет СМР и ОБ'!G16</f>
        <v>87.9</v>
      </c>
      <c r="C12" s="29">
        <f t="shared" si="0"/>
        <v>5.5574101330743671E-3</v>
      </c>
      <c r="D12" s="29">
        <f t="shared" si="1"/>
        <v>2.9742527870549279E-3</v>
      </c>
      <c r="I12" s="30"/>
      <c r="J12" s="30"/>
    </row>
    <row r="13" spans="1:10" x14ac:dyDescent="0.25">
      <c r="A13" s="27" t="s">
        <v>55</v>
      </c>
      <c r="B13" s="28">
        <f>'Прил.5 Расчет СМР и ОБ'!G46</f>
        <v>10612.039999999999</v>
      </c>
      <c r="C13" s="29">
        <f t="shared" si="0"/>
        <v>0.67093809588840159</v>
      </c>
      <c r="D13" s="29">
        <f t="shared" si="1"/>
        <v>0.35907724171033412</v>
      </c>
      <c r="I13" s="30"/>
      <c r="J13" s="30"/>
    </row>
    <row r="14" spans="1:10" x14ac:dyDescent="0.25">
      <c r="A14" s="27" t="s">
        <v>56</v>
      </c>
      <c r="B14" s="28">
        <f>'Прил.5 Расчет СМР и ОБ'!G75</f>
        <v>1346.78</v>
      </c>
      <c r="C14" s="29">
        <f t="shared" si="0"/>
        <v>8.5149133322205875E-2</v>
      </c>
      <c r="D14" s="29">
        <f t="shared" si="1"/>
        <v>4.5570695887938967E-2</v>
      </c>
      <c r="I14" s="30"/>
      <c r="J14" s="30"/>
    </row>
    <row r="15" spans="1:10" x14ac:dyDescent="0.25">
      <c r="A15" s="27" t="s">
        <v>57</v>
      </c>
      <c r="B15" s="28">
        <f>B13+B14</f>
        <v>11958.82</v>
      </c>
      <c r="C15" s="29">
        <f t="shared" si="0"/>
        <v>0.75608722921060756</v>
      </c>
      <c r="D15" s="29">
        <f t="shared" si="1"/>
        <v>0.40464793759827311</v>
      </c>
      <c r="I15" s="30"/>
      <c r="J15" s="30"/>
    </row>
    <row r="16" spans="1:10" x14ac:dyDescent="0.25">
      <c r="A16" s="27" t="s">
        <v>58</v>
      </c>
      <c r="B16" s="28">
        <f>B8+B11+B15</f>
        <v>14129.32</v>
      </c>
      <c r="C16" s="29"/>
      <c r="D16" s="29"/>
      <c r="I16" s="30"/>
      <c r="J16" s="30"/>
    </row>
    <row r="17" spans="1:10" x14ac:dyDescent="0.25">
      <c r="A17" s="27" t="s">
        <v>59</v>
      </c>
      <c r="B17" s="28">
        <f>'Прил.5 Расчет СМР и ОБ'!G79</f>
        <v>680.4</v>
      </c>
      <c r="C17" s="29">
        <f>B17/$B$21</f>
        <v>4.3017768538609773E-2</v>
      </c>
      <c r="D17" s="29">
        <f>B17/$B$35</f>
        <v>2.3022543757817662E-2</v>
      </c>
      <c r="I17" s="30"/>
      <c r="J17" s="30"/>
    </row>
    <row r="18" spans="1:10" x14ac:dyDescent="0.25">
      <c r="A18" s="27" t="s">
        <v>60</v>
      </c>
      <c r="B18" s="31">
        <f>B17/(B8+B12)</f>
        <v>0.69154774972557631</v>
      </c>
      <c r="C18" s="29"/>
      <c r="D18" s="29"/>
      <c r="I18" s="30"/>
      <c r="J18" s="30"/>
    </row>
    <row r="19" spans="1:10" x14ac:dyDescent="0.25">
      <c r="A19" s="27" t="s">
        <v>61</v>
      </c>
      <c r="B19" s="28">
        <f>'Прил.5 Расчет СМР и ОБ'!G78</f>
        <v>1007</v>
      </c>
      <c r="C19" s="29">
        <f>B19/$B$21</f>
        <v>6.3666803231011232E-2</v>
      </c>
      <c r="D19" s="29">
        <f>B19/$B$35</f>
        <v>3.407363545579422E-2</v>
      </c>
      <c r="I19" s="30"/>
      <c r="J19" s="30"/>
    </row>
    <row r="20" spans="1:10" x14ac:dyDescent="0.25">
      <c r="A20" s="27" t="s">
        <v>62</v>
      </c>
      <c r="B20" s="31">
        <f>B19/(B8+B12)</f>
        <v>1.023498800666748</v>
      </c>
      <c r="C20" s="29"/>
      <c r="D20" s="29"/>
      <c r="J20" s="30"/>
    </row>
    <row r="21" spans="1:10" x14ac:dyDescent="0.25">
      <c r="A21" s="27" t="s">
        <v>63</v>
      </c>
      <c r="B21" s="28">
        <f>B16+B17+B19</f>
        <v>15816.72</v>
      </c>
      <c r="C21" s="29">
        <f>B21/$B$21</f>
        <v>1</v>
      </c>
      <c r="D21" s="29">
        <f>B21/$B$35</f>
        <v>0.53518684348199552</v>
      </c>
      <c r="J21" s="30"/>
    </row>
    <row r="22" spans="1:10" ht="26.45" customHeight="1" x14ac:dyDescent="0.25">
      <c r="A22" s="27" t="s">
        <v>64</v>
      </c>
      <c r="B22" s="28">
        <f>'Прил.6 Расчет ОБ'!G15</f>
        <v>4739.7299999999996</v>
      </c>
      <c r="C22" s="29"/>
      <c r="D22" s="29">
        <f>B22/$B$35</f>
        <v>0.16037719183603924</v>
      </c>
      <c r="J22" s="30"/>
    </row>
    <row r="23" spans="1:10" ht="26.45" customHeight="1" x14ac:dyDescent="0.25">
      <c r="A23" s="27" t="s">
        <v>65</v>
      </c>
      <c r="B23" s="28">
        <f>'Прил.6 Расчет ОБ'!G14</f>
        <v>4739.7299999999996</v>
      </c>
      <c r="C23" s="29"/>
      <c r="D23" s="29">
        <f>B23/$B$35</f>
        <v>0.16037719183603924</v>
      </c>
      <c r="J23" s="30"/>
    </row>
    <row r="24" spans="1:10" x14ac:dyDescent="0.25">
      <c r="A24" s="27" t="s">
        <v>66</v>
      </c>
      <c r="B24" s="28">
        <f>'Прил.5 Расчет СМР и ОБ'!G81</f>
        <v>20556.449999999997</v>
      </c>
      <c r="C24" s="29"/>
      <c r="D24" s="29">
        <f>B24/$B$35</f>
        <v>0.69556403531803479</v>
      </c>
      <c r="J24" s="30"/>
    </row>
    <row r="25" spans="1:10" ht="26.45" customHeight="1" x14ac:dyDescent="0.25">
      <c r="A25" s="27" t="s">
        <v>67</v>
      </c>
      <c r="B25" s="28"/>
      <c r="C25" s="29"/>
      <c r="D25" s="29"/>
      <c r="J25" s="30"/>
    </row>
    <row r="26" spans="1:10" x14ac:dyDescent="0.25">
      <c r="A26" s="27" t="s">
        <v>68</v>
      </c>
      <c r="B26" s="28">
        <f>'4.7 Прил.6 Расчет Прочие'!I9*1000</f>
        <v>278.41007999999999</v>
      </c>
      <c r="C26" s="29"/>
      <c r="D26" s="29">
        <f>B26/$B$35</f>
        <v>9.4205000726300947E-3</v>
      </c>
      <c r="J26" s="30"/>
    </row>
    <row r="27" spans="1:10" x14ac:dyDescent="0.25">
      <c r="A27" s="27" t="s">
        <v>69</v>
      </c>
      <c r="B27" s="28">
        <f>'4.7 Прил.6 Расчет Прочие'!I11*1000</f>
        <v>86.950678710000005</v>
      </c>
      <c r="C27" s="29"/>
      <c r="D27" s="29">
        <f>B27/$B$35</f>
        <v>2.942130813305291E-3</v>
      </c>
      <c r="J27" s="30"/>
    </row>
    <row r="28" spans="1:10" x14ac:dyDescent="0.25">
      <c r="A28" s="27" t="s">
        <v>70</v>
      </c>
      <c r="B28" s="28">
        <f>'4.7 Прил.6 Расчет Прочие'!I12*1000</f>
        <v>5470.4031199999999</v>
      </c>
      <c r="C28" s="29"/>
      <c r="D28" s="29">
        <f>B28/$B$35</f>
        <v>0.18510081599515324</v>
      </c>
      <c r="J28" s="30"/>
    </row>
    <row r="29" spans="1:10" x14ac:dyDescent="0.25">
      <c r="A29" s="27"/>
      <c r="B29" s="28"/>
      <c r="C29" s="29"/>
      <c r="D29" s="29"/>
      <c r="J29" s="30"/>
    </row>
    <row r="30" spans="1:10" x14ac:dyDescent="0.25">
      <c r="A30" s="27" t="s">
        <v>71</v>
      </c>
      <c r="B30" s="28">
        <f>'4.7 Прил.6 Расчет Прочие'!I14*1000</f>
        <v>2300.6417510043998</v>
      </c>
      <c r="C30" s="29"/>
      <c r="D30" s="29">
        <f>B30/$B$35</f>
        <v>7.784630420864351E-2</v>
      </c>
      <c r="J30" s="30"/>
    </row>
    <row r="31" spans="1:10" x14ac:dyDescent="0.25">
      <c r="A31" s="27"/>
      <c r="B31" s="28"/>
      <c r="C31" s="29"/>
      <c r="D31" s="29"/>
      <c r="J31" s="30"/>
    </row>
    <row r="32" spans="1:10" x14ac:dyDescent="0.25">
      <c r="A32" s="27" t="s">
        <v>72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0" ht="26.45" customHeight="1" x14ac:dyDescent="0.25">
      <c r="A33" s="27" t="s">
        <v>73</v>
      </c>
      <c r="B33" s="28">
        <f>B24+B26+B27+B28+B30+B32</f>
        <v>28692.855629714399</v>
      </c>
      <c r="C33" s="29"/>
      <c r="D33" s="29">
        <f>B33/$B$35</f>
        <v>0.970873786407767</v>
      </c>
      <c r="J33" s="30"/>
    </row>
    <row r="34" spans="1:10" x14ac:dyDescent="0.25">
      <c r="A34" s="27" t="s">
        <v>74</v>
      </c>
      <c r="B34" s="28">
        <f>B33*3%</f>
        <v>860.7856688914319</v>
      </c>
      <c r="C34" s="29"/>
      <c r="D34" s="29">
        <f>B34/$B$35</f>
        <v>2.9126213592233007E-2</v>
      </c>
      <c r="J34" s="30"/>
    </row>
    <row r="35" spans="1:10" x14ac:dyDescent="0.25">
      <c r="A35" s="27" t="s">
        <v>75</v>
      </c>
      <c r="B35" s="28">
        <f>B33+B34</f>
        <v>29553.641298605831</v>
      </c>
      <c r="C35" s="29"/>
      <c r="D35" s="29">
        <f>B35/$B$35</f>
        <v>1</v>
      </c>
      <c r="J35" s="30"/>
    </row>
    <row r="36" spans="1:10" x14ac:dyDescent="0.25">
      <c r="A36" s="27" t="s">
        <v>76</v>
      </c>
      <c r="B36" s="28">
        <f>B35</f>
        <v>29553.641298605831</v>
      </c>
      <c r="C36" s="29"/>
      <c r="D36" s="29"/>
    </row>
    <row r="37" spans="1:10" x14ac:dyDescent="0.25">
      <c r="A37" s="32"/>
      <c r="B37" s="32"/>
      <c r="C37" s="32"/>
      <c r="D37" s="32"/>
    </row>
    <row r="38" spans="1:10" x14ac:dyDescent="0.25">
      <c r="A38" s="4" t="s">
        <v>77</v>
      </c>
      <c r="B38" s="32"/>
      <c r="C38" s="32"/>
      <c r="D38" s="32"/>
    </row>
    <row r="39" spans="1:10" x14ac:dyDescent="0.25">
      <c r="A39" s="33" t="s">
        <v>78</v>
      </c>
      <c r="B39" s="32"/>
      <c r="C39" s="32"/>
      <c r="D39" s="32"/>
    </row>
    <row r="40" spans="1:10" x14ac:dyDescent="0.25">
      <c r="A40" s="4"/>
      <c r="B40" s="32"/>
      <c r="C40" s="32"/>
      <c r="D40" s="32"/>
    </row>
    <row r="41" spans="1:10" x14ac:dyDescent="0.25">
      <c r="A41" s="4" t="s">
        <v>79</v>
      </c>
      <c r="B41" s="32"/>
      <c r="C41" s="32"/>
      <c r="D41" s="32"/>
    </row>
    <row r="42" spans="1:10" x14ac:dyDescent="0.25">
      <c r="A42" s="33" t="s">
        <v>80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1"/>
  <sheetViews>
    <sheetView view="pageBreakPreview" topLeftCell="A22" zoomScaleNormal="70" zoomScaleSheetLayoutView="100" workbookViewId="0">
      <selection activeCell="D28" sqref="D28"/>
    </sheetView>
  </sheetViews>
  <sheetFormatPr defaultColWidth="9.140625" defaultRowHeight="15" x14ac:dyDescent="0.25"/>
  <cols>
    <col min="1" max="2" width="9.140625" style="315"/>
    <col min="3" max="3" width="36.85546875" style="315" customWidth="1"/>
    <col min="4" max="4" width="39.42578125" style="315" customWidth="1"/>
    <col min="5" max="5" width="9.140625" style="315"/>
  </cols>
  <sheetData>
    <row r="3" spans="2:11" ht="15.75" customHeight="1" x14ac:dyDescent="0.25">
      <c r="B3" s="368" t="s">
        <v>81</v>
      </c>
      <c r="C3" s="368"/>
      <c r="D3" s="368"/>
    </row>
    <row r="4" spans="2:11" ht="18.75" customHeight="1" x14ac:dyDescent="0.25">
      <c r="B4" s="369" t="s">
        <v>82</v>
      </c>
      <c r="C4" s="369"/>
      <c r="D4" s="369"/>
    </row>
    <row r="5" spans="2:11" ht="91.5" customHeight="1" x14ac:dyDescent="0.25">
      <c r="B5" s="370" t="s">
        <v>83</v>
      </c>
      <c r="C5" s="370"/>
      <c r="D5" s="370"/>
    </row>
    <row r="6" spans="2:11" ht="18.75" customHeight="1" x14ac:dyDescent="0.25">
      <c r="B6" s="316"/>
      <c r="C6" s="316"/>
      <c r="D6" s="316"/>
    </row>
    <row r="7" spans="2:11" ht="36" customHeight="1" x14ac:dyDescent="0.25">
      <c r="B7" s="367" t="s">
        <v>84</v>
      </c>
      <c r="C7" s="367"/>
      <c r="D7" s="367"/>
    </row>
    <row r="8" spans="2:11" ht="15.75" customHeight="1" x14ac:dyDescent="0.25">
      <c r="B8" s="367" t="s">
        <v>85</v>
      </c>
      <c r="C8" s="367"/>
      <c r="D8" s="367"/>
    </row>
    <row r="9" spans="2:11" ht="15.75" customHeight="1" x14ac:dyDescent="0.25">
      <c r="B9" s="367" t="s">
        <v>86</v>
      </c>
      <c r="C9" s="367"/>
      <c r="D9" s="367"/>
    </row>
    <row r="10" spans="2:11" ht="18.75" customHeight="1" x14ac:dyDescent="0.25">
      <c r="B10" s="317"/>
    </row>
    <row r="11" spans="2:11" ht="15.75" customHeight="1" x14ac:dyDescent="0.25">
      <c r="B11" s="318" t="s">
        <v>33</v>
      </c>
      <c r="C11" s="318" t="s">
        <v>87</v>
      </c>
      <c r="D11" s="318" t="s">
        <v>88</v>
      </c>
    </row>
    <row r="12" spans="2:11" ht="31.5" customHeight="1" x14ac:dyDescent="0.25">
      <c r="B12" s="318">
        <v>1</v>
      </c>
      <c r="C12" s="319" t="s">
        <v>89</v>
      </c>
      <c r="D12" s="345" t="s">
        <v>90</v>
      </c>
      <c r="E12" s="320"/>
      <c r="F12" s="320"/>
      <c r="G12" s="320"/>
      <c r="H12" s="320"/>
      <c r="I12" s="320"/>
      <c r="J12" s="320"/>
      <c r="K12" s="320"/>
    </row>
    <row r="13" spans="2:11" ht="31.5" customHeight="1" x14ac:dyDescent="0.25">
      <c r="B13" s="318">
        <v>2</v>
      </c>
      <c r="C13" s="319" t="s">
        <v>91</v>
      </c>
      <c r="D13" s="345" t="s">
        <v>92</v>
      </c>
    </row>
    <row r="14" spans="2:11" ht="15.75" customHeight="1" x14ac:dyDescent="0.25">
      <c r="B14" s="318">
        <v>3</v>
      </c>
      <c r="C14" s="319" t="s">
        <v>93</v>
      </c>
      <c r="D14" s="345" t="s">
        <v>94</v>
      </c>
    </row>
    <row r="15" spans="2:11" ht="15.75" customHeight="1" x14ac:dyDescent="0.25">
      <c r="B15" s="318">
        <v>4</v>
      </c>
      <c r="C15" s="319" t="s">
        <v>95</v>
      </c>
      <c r="D15" s="345">
        <v>1</v>
      </c>
    </row>
    <row r="16" spans="2:11" ht="94.5" customHeight="1" x14ac:dyDescent="0.25">
      <c r="B16" s="318">
        <v>5</v>
      </c>
      <c r="C16" s="321" t="s">
        <v>96</v>
      </c>
      <c r="D16" s="355" t="s">
        <v>97</v>
      </c>
    </row>
    <row r="17" spans="2:4" ht="78.75" customHeight="1" x14ac:dyDescent="0.25">
      <c r="B17" s="318">
        <v>6</v>
      </c>
      <c r="C17" s="321" t="s">
        <v>98</v>
      </c>
      <c r="D17" s="356">
        <f>D18+D19</f>
        <v>134.1613432</v>
      </c>
    </row>
    <row r="18" spans="2:4" ht="15.75" customHeight="1" x14ac:dyDescent="0.25">
      <c r="B18" s="323" t="s">
        <v>99</v>
      </c>
      <c r="C18" s="319" t="s">
        <v>100</v>
      </c>
      <c r="D18" s="356">
        <f>'Прил.2 Расч стоим'!F12</f>
        <v>111.4524208</v>
      </c>
    </row>
    <row r="19" spans="2:4" ht="15.75" customHeight="1" x14ac:dyDescent="0.25">
      <c r="B19" s="323" t="s">
        <v>101</v>
      </c>
      <c r="C19" s="319" t="s">
        <v>102</v>
      </c>
      <c r="D19" s="356">
        <f>'Прил.2 Расч стоим'!H12</f>
        <v>22.708922399999999</v>
      </c>
    </row>
    <row r="20" spans="2:4" ht="15.75" customHeight="1" x14ac:dyDescent="0.25">
      <c r="B20" s="323" t="s">
        <v>103</v>
      </c>
      <c r="C20" s="319" t="s">
        <v>104</v>
      </c>
      <c r="D20" s="322" t="s">
        <v>105</v>
      </c>
    </row>
    <row r="21" spans="2:4" ht="31.5" customHeight="1" x14ac:dyDescent="0.25">
      <c r="B21" s="323" t="s">
        <v>106</v>
      </c>
      <c r="C21" s="319" t="s">
        <v>107</v>
      </c>
      <c r="D21" s="322" t="s">
        <v>105</v>
      </c>
    </row>
    <row r="22" spans="2:4" ht="15.75" customHeight="1" x14ac:dyDescent="0.25">
      <c r="B22" s="318">
        <v>7</v>
      </c>
      <c r="C22" s="319" t="s">
        <v>108</v>
      </c>
      <c r="D22" s="322" t="s">
        <v>109</v>
      </c>
    </row>
    <row r="23" spans="2:4" ht="110.25" customHeight="1" x14ac:dyDescent="0.25">
      <c r="B23" s="318">
        <v>8</v>
      </c>
      <c r="C23" s="321" t="s">
        <v>110</v>
      </c>
      <c r="D23" s="356">
        <f>D17</f>
        <v>134.1613432</v>
      </c>
    </row>
    <row r="24" spans="2:4" ht="47.25" customHeight="1" x14ac:dyDescent="0.25">
      <c r="B24" s="318">
        <v>9</v>
      </c>
      <c r="C24" s="321" t="s">
        <v>111</v>
      </c>
      <c r="D24" s="322">
        <f>D23/D15</f>
        <v>134.1613432</v>
      </c>
    </row>
    <row r="25" spans="2:4" ht="15.75" customHeight="1" x14ac:dyDescent="0.25">
      <c r="B25" s="324"/>
      <c r="C25" s="325"/>
      <c r="D25" s="325"/>
    </row>
    <row r="26" spans="2:4" x14ac:dyDescent="0.25">
      <c r="B26" s="326" t="s">
        <v>310</v>
      </c>
      <c r="C26" s="327"/>
    </row>
    <row r="27" spans="2:4" x14ac:dyDescent="0.25">
      <c r="B27" s="328" t="s">
        <v>113</v>
      </c>
      <c r="C27" s="327"/>
    </row>
    <row r="28" spans="2:4" x14ac:dyDescent="0.25">
      <c r="B28" s="326"/>
      <c r="C28" s="327"/>
    </row>
    <row r="29" spans="2:4" x14ac:dyDescent="0.25">
      <c r="B29" s="326" t="s">
        <v>114</v>
      </c>
      <c r="C29" s="327"/>
    </row>
    <row r="30" spans="2:4" x14ac:dyDescent="0.25">
      <c r="B30" s="328" t="s">
        <v>115</v>
      </c>
      <c r="C30" s="327"/>
    </row>
    <row r="31" spans="2:4" ht="15.75" customHeight="1" x14ac:dyDescent="0.25">
      <c r="B31" s="325"/>
      <c r="C31" s="325"/>
      <c r="D31" s="325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5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8"/>
  <sheetViews>
    <sheetView view="pageBreakPreview" zoomScale="85" zoomScaleNormal="70" zoomScaleSheetLayoutView="85" workbookViewId="0">
      <selection activeCell="F22" sqref="F22"/>
    </sheetView>
  </sheetViews>
  <sheetFormatPr defaultColWidth="9.140625" defaultRowHeight="15.75" x14ac:dyDescent="0.25"/>
  <cols>
    <col min="1" max="1" width="5.5703125" style="240" customWidth="1"/>
    <col min="2" max="2" width="9.140625" style="240"/>
    <col min="3" max="3" width="35.28515625" style="240" customWidth="1"/>
    <col min="4" max="4" width="13.85546875" style="240" customWidth="1"/>
    <col min="5" max="5" width="24.85546875" style="240" customWidth="1"/>
    <col min="6" max="6" width="15.5703125" style="240" customWidth="1"/>
    <col min="7" max="7" width="14.85546875" style="240" customWidth="1"/>
    <col min="8" max="8" width="16.7109375" style="240" customWidth="1"/>
    <col min="9" max="10" width="13" style="240" customWidth="1"/>
    <col min="11" max="11" width="18" style="240" customWidth="1"/>
    <col min="12" max="12" width="9.140625" style="240"/>
  </cols>
  <sheetData>
    <row r="3" spans="1:12" x14ac:dyDescent="0.25">
      <c r="B3" s="368" t="s">
        <v>116</v>
      </c>
      <c r="C3" s="368"/>
      <c r="D3" s="368"/>
      <c r="E3" s="368"/>
      <c r="F3" s="368"/>
      <c r="G3" s="368"/>
      <c r="H3" s="368"/>
      <c r="I3" s="368"/>
      <c r="J3" s="368"/>
      <c r="K3" s="241"/>
    </row>
    <row r="4" spans="1:12" x14ac:dyDescent="0.25">
      <c r="B4" s="373" t="s">
        <v>117</v>
      </c>
      <c r="C4" s="373"/>
      <c r="D4" s="373"/>
      <c r="E4" s="373"/>
      <c r="F4" s="373"/>
      <c r="G4" s="373"/>
      <c r="H4" s="373"/>
      <c r="I4" s="373"/>
      <c r="J4" s="373"/>
      <c r="K4" s="373"/>
    </row>
    <row r="5" spans="1:12" x14ac:dyDescent="0.25">
      <c r="B5" s="243"/>
      <c r="C5" s="243"/>
      <c r="D5" s="243"/>
      <c r="E5" s="243"/>
      <c r="F5" s="243"/>
      <c r="G5" s="243"/>
      <c r="H5" s="243"/>
      <c r="I5" s="243"/>
      <c r="J5" s="243"/>
      <c r="K5" s="243"/>
    </row>
    <row r="6" spans="1:12" ht="29.25" customHeight="1" x14ac:dyDescent="0.25">
      <c r="B6" s="367" t="s">
        <v>84</v>
      </c>
      <c r="C6" s="367"/>
      <c r="D6" s="367"/>
      <c r="E6" s="367"/>
      <c r="F6" s="367"/>
      <c r="G6" s="367"/>
      <c r="H6" s="367"/>
      <c r="I6" s="367"/>
      <c r="J6" s="367"/>
      <c r="K6" s="367"/>
    </row>
    <row r="7" spans="1:12" x14ac:dyDescent="0.25">
      <c r="B7" s="367" t="s">
        <v>86</v>
      </c>
      <c r="C7" s="367"/>
      <c r="D7" s="367"/>
      <c r="E7" s="367"/>
      <c r="F7" s="367"/>
      <c r="G7" s="367"/>
      <c r="H7" s="367"/>
      <c r="I7" s="367"/>
      <c r="J7" s="367"/>
      <c r="K7" s="367"/>
    </row>
    <row r="8" spans="1:12" ht="18.75" customHeight="1" x14ac:dyDescent="0.25">
      <c r="B8" s="263"/>
    </row>
    <row r="9" spans="1:12" ht="15.75" customHeight="1" x14ac:dyDescent="0.25">
      <c r="B9" s="374" t="s">
        <v>33</v>
      </c>
      <c r="C9" s="374" t="s">
        <v>118</v>
      </c>
      <c r="D9" s="374" t="s">
        <v>119</v>
      </c>
      <c r="E9" s="374"/>
      <c r="F9" s="374"/>
      <c r="G9" s="374"/>
      <c r="H9" s="374"/>
      <c r="I9" s="374"/>
      <c r="J9" s="374"/>
    </row>
    <row r="10" spans="1:12" ht="15.75" customHeight="1" x14ac:dyDescent="0.25">
      <c r="B10" s="374"/>
      <c r="C10" s="374"/>
      <c r="D10" s="374" t="s">
        <v>120</v>
      </c>
      <c r="E10" s="374" t="s">
        <v>121</v>
      </c>
      <c r="F10" s="374" t="s">
        <v>122</v>
      </c>
      <c r="G10" s="374"/>
      <c r="H10" s="374"/>
      <c r="I10" s="374"/>
      <c r="J10" s="374"/>
    </row>
    <row r="11" spans="1:12" ht="31.7" customHeight="1" x14ac:dyDescent="0.25">
      <c r="B11" s="375"/>
      <c r="C11" s="375"/>
      <c r="D11" s="375"/>
      <c r="E11" s="375"/>
      <c r="F11" s="249" t="s">
        <v>123</v>
      </c>
      <c r="G11" s="249" t="s">
        <v>124</v>
      </c>
      <c r="H11" s="249" t="s">
        <v>43</v>
      </c>
      <c r="I11" s="249" t="s">
        <v>125</v>
      </c>
      <c r="J11" s="249" t="s">
        <v>126</v>
      </c>
    </row>
    <row r="12" spans="1:12" s="352" customFormat="1" ht="66" customHeight="1" x14ac:dyDescent="0.25">
      <c r="A12" s="350"/>
      <c r="B12" s="351"/>
      <c r="C12" s="351" t="s">
        <v>127</v>
      </c>
      <c r="D12" s="351"/>
      <c r="E12" s="351"/>
      <c r="F12" s="376">
        <v>111.4524208</v>
      </c>
      <c r="G12" s="377"/>
      <c r="H12" s="353">
        <v>22.708922399999999</v>
      </c>
      <c r="I12" s="353"/>
      <c r="J12" s="353">
        <v>134.1613432</v>
      </c>
      <c r="K12" s="350"/>
      <c r="L12" s="350"/>
    </row>
    <row r="13" spans="1:12" s="352" customFormat="1" ht="15.75" customHeight="1" x14ac:dyDescent="0.25">
      <c r="A13" s="350"/>
      <c r="B13" s="371" t="s">
        <v>128</v>
      </c>
      <c r="C13" s="371"/>
      <c r="D13" s="371"/>
      <c r="E13" s="371"/>
      <c r="F13" s="376"/>
      <c r="G13" s="377"/>
      <c r="H13" s="353"/>
      <c r="I13" s="353"/>
      <c r="J13" s="353"/>
      <c r="K13" s="350"/>
      <c r="L13" s="350"/>
    </row>
    <row r="14" spans="1:12" s="352" customFormat="1" x14ac:dyDescent="0.25">
      <c r="A14" s="350"/>
      <c r="B14" s="372" t="s">
        <v>129</v>
      </c>
      <c r="C14" s="372"/>
      <c r="D14" s="372"/>
      <c r="E14" s="372"/>
      <c r="F14" s="378">
        <v>111.4524208</v>
      </c>
      <c r="G14" s="379"/>
      <c r="H14" s="354">
        <v>22.708922399999999</v>
      </c>
      <c r="I14" s="354"/>
      <c r="J14" s="354">
        <v>134.1613432</v>
      </c>
      <c r="K14" s="350"/>
      <c r="L14" s="350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130</v>
      </c>
      <c r="D18" s="14"/>
      <c r="E18" s="14"/>
    </row>
    <row r="19" spans="3:5" ht="15" customHeight="1" x14ac:dyDescent="0.25">
      <c r="C19" s="35" t="s">
        <v>113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131</v>
      </c>
      <c r="D21" s="14"/>
      <c r="E21" s="14"/>
    </row>
    <row r="22" spans="3:5" ht="15" customHeight="1" x14ac:dyDescent="0.25">
      <c r="C22" s="35" t="s">
        <v>115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  <mergeCell ref="F13:G13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O72"/>
  <sheetViews>
    <sheetView view="pageBreakPreview" topLeftCell="A57" zoomScaleSheetLayoutView="100" workbookViewId="0">
      <selection activeCell="F70" sqref="F70"/>
    </sheetView>
  </sheetViews>
  <sheetFormatPr defaultColWidth="9.140625" defaultRowHeight="15.75" x14ac:dyDescent="0.25"/>
  <cols>
    <col min="1" max="1" width="9.140625" style="240"/>
    <col min="2" max="2" width="12.5703125" style="240" customWidth="1"/>
    <col min="3" max="3" width="22.42578125" style="240" customWidth="1"/>
    <col min="4" max="4" width="49.7109375" style="240" customWidth="1"/>
    <col min="5" max="5" width="10.140625" style="286" customWidth="1"/>
    <col min="6" max="6" width="20.7109375" style="286" customWidth="1"/>
    <col min="7" max="7" width="20" style="240" customWidth="1"/>
    <col min="8" max="8" width="16.7109375" style="241" customWidth="1"/>
    <col min="11" max="11" width="15" customWidth="1"/>
    <col min="15" max="15" width="9.140625" style="240"/>
  </cols>
  <sheetData>
    <row r="2" spans="1:15" x14ac:dyDescent="0.25">
      <c r="A2" s="368" t="s">
        <v>132</v>
      </c>
      <c r="B2" s="368"/>
      <c r="C2" s="368"/>
      <c r="D2" s="368"/>
      <c r="E2" s="368"/>
      <c r="F2" s="368"/>
      <c r="G2" s="368"/>
      <c r="H2" s="368"/>
    </row>
    <row r="3" spans="1:15" x14ac:dyDescent="0.25">
      <c r="A3" s="373" t="s">
        <v>133</v>
      </c>
      <c r="B3" s="373"/>
      <c r="C3" s="373"/>
      <c r="D3" s="373"/>
      <c r="E3" s="373"/>
      <c r="F3" s="373"/>
      <c r="G3" s="373"/>
      <c r="H3" s="373"/>
    </row>
    <row r="4" spans="1:15" ht="18.75" customHeight="1" x14ac:dyDescent="0.25">
      <c r="A4" s="271"/>
      <c r="B4" s="271"/>
      <c r="C4" s="386" t="s">
        <v>134</v>
      </c>
      <c r="D4" s="386"/>
      <c r="E4" s="386"/>
      <c r="F4" s="386"/>
      <c r="G4" s="386"/>
      <c r="H4" s="386"/>
    </row>
    <row r="5" spans="1:15" s="332" customFormat="1" ht="18.75" customHeight="1" x14ac:dyDescent="0.25">
      <c r="A5" s="347"/>
      <c r="B5" s="347"/>
      <c r="C5" s="348"/>
      <c r="D5" s="348"/>
      <c r="E5" s="348"/>
      <c r="F5" s="348"/>
      <c r="G5" s="348"/>
      <c r="H5" s="348"/>
      <c r="O5" s="350"/>
    </row>
    <row r="6" spans="1:15" x14ac:dyDescent="0.25">
      <c r="A6" s="239"/>
    </row>
    <row r="7" spans="1:15" x14ac:dyDescent="0.25">
      <c r="A7" s="385" t="s">
        <v>135</v>
      </c>
      <c r="B7" s="385"/>
      <c r="C7" s="385"/>
      <c r="D7" s="385"/>
      <c r="E7" s="385"/>
      <c r="F7" s="385"/>
      <c r="G7" s="385"/>
      <c r="H7" s="385"/>
    </row>
    <row r="8" spans="1:15" x14ac:dyDescent="0.25">
      <c r="A8" s="244"/>
      <c r="B8" s="244"/>
      <c r="C8" s="244"/>
      <c r="D8" s="244"/>
      <c r="F8" s="243"/>
      <c r="G8" s="244"/>
    </row>
    <row r="9" spans="1:15" ht="38.25" customHeight="1" x14ac:dyDescent="0.25">
      <c r="A9" s="374" t="s">
        <v>136</v>
      </c>
      <c r="B9" s="374" t="s">
        <v>137</v>
      </c>
      <c r="C9" s="374" t="s">
        <v>138</v>
      </c>
      <c r="D9" s="374" t="s">
        <v>139</v>
      </c>
      <c r="E9" s="384" t="s">
        <v>140</v>
      </c>
      <c r="F9" s="374" t="s">
        <v>141</v>
      </c>
      <c r="G9" s="374" t="s">
        <v>47</v>
      </c>
      <c r="H9" s="374"/>
    </row>
    <row r="10" spans="1:15" ht="40.700000000000003" customHeight="1" x14ac:dyDescent="0.25">
      <c r="A10" s="374"/>
      <c r="B10" s="374"/>
      <c r="C10" s="374"/>
      <c r="D10" s="374"/>
      <c r="E10" s="384"/>
      <c r="F10" s="374"/>
      <c r="G10" s="191" t="s">
        <v>142</v>
      </c>
      <c r="H10" s="242" t="s">
        <v>143</v>
      </c>
    </row>
    <row r="11" spans="1:15" x14ac:dyDescent="0.25">
      <c r="A11" s="249">
        <v>1</v>
      </c>
      <c r="B11" s="249"/>
      <c r="C11" s="249">
        <v>2</v>
      </c>
      <c r="D11" s="249" t="s">
        <v>144</v>
      </c>
      <c r="E11" s="293">
        <v>4</v>
      </c>
      <c r="F11" s="249">
        <v>5</v>
      </c>
      <c r="G11" s="249">
        <v>6</v>
      </c>
      <c r="H11" s="288">
        <v>7</v>
      </c>
    </row>
    <row r="12" spans="1:15" s="246" customFormat="1" x14ac:dyDescent="0.25">
      <c r="A12" s="381" t="s">
        <v>145</v>
      </c>
      <c r="B12" s="382"/>
      <c r="C12" s="383"/>
      <c r="D12" s="383"/>
      <c r="E12" s="382"/>
      <c r="F12" s="287">
        <f>SUM(F13:F16)</f>
        <v>92.828999999999994</v>
      </c>
      <c r="G12" s="269"/>
      <c r="H12" s="267">
        <f>SUM(H13:H16)</f>
        <v>895.98</v>
      </c>
    </row>
    <row r="13" spans="1:15" x14ac:dyDescent="0.25">
      <c r="A13" s="270">
        <v>1</v>
      </c>
      <c r="B13" s="248"/>
      <c r="C13" s="278" t="s">
        <v>146</v>
      </c>
      <c r="D13" s="279" t="s">
        <v>147</v>
      </c>
      <c r="E13" s="294" t="s">
        <v>148</v>
      </c>
      <c r="F13" s="278">
        <v>30.536000000000001</v>
      </c>
      <c r="G13" s="283">
        <v>9.4</v>
      </c>
      <c r="H13" s="289">
        <f>ROUND(F13*G13,2)</f>
        <v>287.04000000000002</v>
      </c>
    </row>
    <row r="14" spans="1:15" x14ac:dyDescent="0.25">
      <c r="A14" s="270">
        <v>2</v>
      </c>
      <c r="B14" s="248"/>
      <c r="C14" s="278" t="s">
        <v>149</v>
      </c>
      <c r="D14" s="279" t="s">
        <v>150</v>
      </c>
      <c r="E14" s="294" t="s">
        <v>148</v>
      </c>
      <c r="F14" s="278">
        <v>23.22</v>
      </c>
      <c r="G14" s="283">
        <v>9.92</v>
      </c>
      <c r="H14" s="289">
        <f>ROUND(F14*G14,2)</f>
        <v>230.34</v>
      </c>
    </row>
    <row r="15" spans="1:15" x14ac:dyDescent="0.25">
      <c r="A15" s="270">
        <v>3</v>
      </c>
      <c r="B15" s="248"/>
      <c r="C15" s="278" t="s">
        <v>151</v>
      </c>
      <c r="D15" s="279" t="s">
        <v>152</v>
      </c>
      <c r="E15" s="294" t="s">
        <v>148</v>
      </c>
      <c r="F15" s="278">
        <v>19.402000000000001</v>
      </c>
      <c r="G15" s="283">
        <v>9.76</v>
      </c>
      <c r="H15" s="289">
        <f>ROUND(F15*G15,2)</f>
        <v>189.36</v>
      </c>
    </row>
    <row r="16" spans="1:15" x14ac:dyDescent="0.25">
      <c r="A16" s="270">
        <v>4</v>
      </c>
      <c r="B16" s="248"/>
      <c r="C16" s="278" t="s">
        <v>153</v>
      </c>
      <c r="D16" s="279" t="s">
        <v>154</v>
      </c>
      <c r="E16" s="294" t="s">
        <v>148</v>
      </c>
      <c r="F16" s="278">
        <v>19.670999999999999</v>
      </c>
      <c r="G16" s="283">
        <v>9.6199999999999992</v>
      </c>
      <c r="H16" s="289">
        <f>ROUND(F16*G16,2)</f>
        <v>189.24</v>
      </c>
    </row>
    <row r="17" spans="1:11" x14ac:dyDescent="0.25">
      <c r="A17" s="380" t="s">
        <v>155</v>
      </c>
      <c r="B17" s="380"/>
      <c r="C17" s="380"/>
      <c r="D17" s="380"/>
      <c r="E17" s="380"/>
      <c r="F17" s="297"/>
      <c r="G17" s="247"/>
      <c r="H17" s="267">
        <f>H18</f>
        <v>87.9</v>
      </c>
    </row>
    <row r="18" spans="1:11" x14ac:dyDescent="0.25">
      <c r="A18" s="270">
        <v>5</v>
      </c>
      <c r="B18" s="245"/>
      <c r="C18" s="284">
        <v>2</v>
      </c>
      <c r="D18" s="285" t="s">
        <v>156</v>
      </c>
      <c r="E18" s="294" t="s">
        <v>148</v>
      </c>
      <c r="F18" s="282">
        <v>6.3554000000000004</v>
      </c>
      <c r="G18" s="264"/>
      <c r="H18" s="290">
        <v>87.9</v>
      </c>
    </row>
    <row r="19" spans="1:11" s="246" customFormat="1" x14ac:dyDescent="0.25">
      <c r="A19" s="381" t="s">
        <v>157</v>
      </c>
      <c r="B19" s="382"/>
      <c r="C19" s="383"/>
      <c r="D19" s="383"/>
      <c r="E19" s="382"/>
      <c r="F19" s="297"/>
      <c r="G19" s="247"/>
      <c r="H19" s="267">
        <f>SUM(H20:H28)</f>
        <v>1274.52</v>
      </c>
    </row>
    <row r="20" spans="1:11" ht="25.5" customHeight="1" x14ac:dyDescent="0.25">
      <c r="A20" s="270">
        <v>6</v>
      </c>
      <c r="B20" s="245"/>
      <c r="C20" s="278" t="s">
        <v>158</v>
      </c>
      <c r="D20" s="279" t="s">
        <v>159</v>
      </c>
      <c r="E20" s="295" t="s">
        <v>160</v>
      </c>
      <c r="F20" s="278">
        <v>2.48</v>
      </c>
      <c r="G20" s="281">
        <v>197.01</v>
      </c>
      <c r="H20" s="289">
        <f t="shared" ref="H20:H28" si="0">ROUND(F20*G20,2)</f>
        <v>488.58</v>
      </c>
    </row>
    <row r="21" spans="1:11" s="246" customFormat="1" x14ac:dyDescent="0.25">
      <c r="A21" s="270">
        <v>7</v>
      </c>
      <c r="B21" s="245"/>
      <c r="C21" s="278" t="s">
        <v>161</v>
      </c>
      <c r="D21" s="279" t="s">
        <v>162</v>
      </c>
      <c r="E21" s="295" t="s">
        <v>160</v>
      </c>
      <c r="F21" s="278">
        <v>3.8090999999999999</v>
      </c>
      <c r="G21" s="281">
        <v>111.99</v>
      </c>
      <c r="H21" s="289">
        <f t="shared" si="0"/>
        <v>426.58</v>
      </c>
    </row>
    <row r="22" spans="1:11" x14ac:dyDescent="0.25">
      <c r="A22" s="270">
        <v>8</v>
      </c>
      <c r="B22" s="245"/>
      <c r="C22" s="278" t="s">
        <v>163</v>
      </c>
      <c r="D22" s="279" t="s">
        <v>164</v>
      </c>
      <c r="E22" s="295" t="s">
        <v>160</v>
      </c>
      <c r="F22" s="278">
        <v>2.8767999999999998</v>
      </c>
      <c r="G22" s="281">
        <v>65.709999999999994</v>
      </c>
      <c r="H22" s="289">
        <f t="shared" si="0"/>
        <v>189.03</v>
      </c>
    </row>
    <row r="23" spans="1:11" ht="25.5" customHeight="1" x14ac:dyDescent="0.25">
      <c r="A23" s="270">
        <v>9</v>
      </c>
      <c r="B23" s="245"/>
      <c r="C23" s="278" t="s">
        <v>165</v>
      </c>
      <c r="D23" s="279" t="s">
        <v>166</v>
      </c>
      <c r="E23" s="295" t="s">
        <v>160</v>
      </c>
      <c r="F23" s="278">
        <v>17.000800000000002</v>
      </c>
      <c r="G23" s="281">
        <v>8.1</v>
      </c>
      <c r="H23" s="289">
        <f t="shared" si="0"/>
        <v>137.71</v>
      </c>
    </row>
    <row r="24" spans="1:11" ht="25.5" customHeight="1" x14ac:dyDescent="0.25">
      <c r="A24" s="270">
        <v>10</v>
      </c>
      <c r="B24" s="245"/>
      <c r="C24" s="278" t="s">
        <v>167</v>
      </c>
      <c r="D24" s="279" t="s">
        <v>168</v>
      </c>
      <c r="E24" s="295" t="s">
        <v>160</v>
      </c>
      <c r="F24" s="278">
        <v>4.6440000000000001</v>
      </c>
      <c r="G24" s="281">
        <v>3.28</v>
      </c>
      <c r="H24" s="289">
        <f t="shared" si="0"/>
        <v>15.23</v>
      </c>
    </row>
    <row r="25" spans="1:11" x14ac:dyDescent="0.25">
      <c r="A25" s="270">
        <v>11</v>
      </c>
      <c r="B25" s="245"/>
      <c r="C25" s="278" t="s">
        <v>169</v>
      </c>
      <c r="D25" s="279" t="s">
        <v>170</v>
      </c>
      <c r="E25" s="295" t="s">
        <v>160</v>
      </c>
      <c r="F25" s="278">
        <v>3.9049999999999998</v>
      </c>
      <c r="G25" s="281">
        <v>2.08</v>
      </c>
      <c r="H25" s="289">
        <f t="shared" si="0"/>
        <v>8.1199999999999992</v>
      </c>
    </row>
    <row r="26" spans="1:11" ht="25.5" customHeight="1" x14ac:dyDescent="0.25">
      <c r="A26" s="270">
        <v>12</v>
      </c>
      <c r="B26" s="245"/>
      <c r="C26" s="278" t="s">
        <v>171</v>
      </c>
      <c r="D26" s="279" t="s">
        <v>172</v>
      </c>
      <c r="E26" s="295" t="s">
        <v>160</v>
      </c>
      <c r="F26" s="278">
        <v>6.6299999999999998E-2</v>
      </c>
      <c r="G26" s="281">
        <v>70.010000000000005</v>
      </c>
      <c r="H26" s="289">
        <f t="shared" si="0"/>
        <v>4.6399999999999997</v>
      </c>
      <c r="K26" s="349"/>
    </row>
    <row r="27" spans="1:11" x14ac:dyDescent="0.25">
      <c r="A27" s="270">
        <v>13</v>
      </c>
      <c r="B27" s="245"/>
      <c r="C27" s="278" t="s">
        <v>173</v>
      </c>
      <c r="D27" s="279" t="s">
        <v>174</v>
      </c>
      <c r="E27" s="295" t="s">
        <v>160</v>
      </c>
      <c r="F27" s="278">
        <v>4.6440000000000001</v>
      </c>
      <c r="G27" s="281">
        <v>0.9</v>
      </c>
      <c r="H27" s="289">
        <f t="shared" si="0"/>
        <v>4.18</v>
      </c>
    </row>
    <row r="28" spans="1:11" x14ac:dyDescent="0.25">
      <c r="A28" s="270">
        <v>14</v>
      </c>
      <c r="B28" s="245"/>
      <c r="C28" s="278" t="s">
        <v>175</v>
      </c>
      <c r="D28" s="279" t="s">
        <v>176</v>
      </c>
      <c r="E28" s="295" t="s">
        <v>160</v>
      </c>
      <c r="F28" s="278">
        <v>0.2379</v>
      </c>
      <c r="G28" s="281">
        <v>1.9</v>
      </c>
      <c r="H28" s="289">
        <f t="shared" si="0"/>
        <v>0.45</v>
      </c>
    </row>
    <row r="29" spans="1:11" ht="15" customHeight="1" x14ac:dyDescent="0.25">
      <c r="A29" s="380" t="s">
        <v>43</v>
      </c>
      <c r="B29" s="380"/>
      <c r="C29" s="380"/>
      <c r="D29" s="380"/>
      <c r="E29" s="380"/>
      <c r="F29" s="298"/>
      <c r="G29" s="269"/>
      <c r="H29" s="267">
        <f>SUM(H30:H31)</f>
        <v>4958.28</v>
      </c>
    </row>
    <row r="30" spans="1:11" ht="15" customHeight="1" x14ac:dyDescent="0.25">
      <c r="A30" s="266">
        <v>15</v>
      </c>
      <c r="B30" s="268"/>
      <c r="C30" s="265" t="s">
        <v>177</v>
      </c>
      <c r="D30" s="291" t="s">
        <v>178</v>
      </c>
      <c r="E30" s="296" t="s">
        <v>179</v>
      </c>
      <c r="F30" s="296">
        <v>1</v>
      </c>
      <c r="G30" s="291">
        <v>3861</v>
      </c>
      <c r="H30" s="289">
        <f>ROUND(F30*G30,2)</f>
        <v>3861</v>
      </c>
    </row>
    <row r="31" spans="1:11" ht="18" customHeight="1" x14ac:dyDescent="0.25">
      <c r="A31" s="266">
        <v>16</v>
      </c>
      <c r="B31" s="268"/>
      <c r="C31" s="265" t="s">
        <v>180</v>
      </c>
      <c r="D31" s="292" t="s">
        <v>181</v>
      </c>
      <c r="E31" s="296" t="s">
        <v>182</v>
      </c>
      <c r="F31" s="296">
        <v>1</v>
      </c>
      <c r="G31" s="306">
        <v>1097.28</v>
      </c>
      <c r="H31" s="307">
        <f>ROUND(F31*G31,2)</f>
        <v>1097.28</v>
      </c>
    </row>
    <row r="32" spans="1:11" x14ac:dyDescent="0.25">
      <c r="A32" s="381" t="s">
        <v>183</v>
      </c>
      <c r="B32" s="382"/>
      <c r="C32" s="383"/>
      <c r="D32" s="383"/>
      <c r="E32" s="382"/>
      <c r="F32" s="297"/>
      <c r="G32" s="247"/>
      <c r="H32" s="267">
        <f>SUM(H33:H65)</f>
        <v>11957.47</v>
      </c>
    </row>
    <row r="33" spans="1:8" ht="38.25" customHeight="1" x14ac:dyDescent="0.25">
      <c r="A33" s="266">
        <v>17</v>
      </c>
      <c r="B33" s="245"/>
      <c r="C33" s="278" t="s">
        <v>184</v>
      </c>
      <c r="D33" s="279" t="s">
        <v>185</v>
      </c>
      <c r="E33" s="280" t="s">
        <v>186</v>
      </c>
      <c r="F33" s="278">
        <v>0.61199999999999999</v>
      </c>
      <c r="G33" s="281">
        <v>8128</v>
      </c>
      <c r="H33" s="289">
        <f t="shared" ref="H33:H65" si="1">ROUND(F33*G33,2)</f>
        <v>4974.34</v>
      </c>
    </row>
    <row r="34" spans="1:8" ht="38.25" customHeight="1" x14ac:dyDescent="0.25">
      <c r="A34" s="266">
        <v>18</v>
      </c>
      <c r="B34" s="245"/>
      <c r="C34" s="278" t="s">
        <v>187</v>
      </c>
      <c r="D34" s="279" t="s">
        <v>188</v>
      </c>
      <c r="E34" s="280" t="s">
        <v>186</v>
      </c>
      <c r="F34" s="278">
        <v>0.58799999999999997</v>
      </c>
      <c r="G34" s="281">
        <v>5999.99</v>
      </c>
      <c r="H34" s="289">
        <f t="shared" si="1"/>
        <v>3527.99</v>
      </c>
    </row>
    <row r="35" spans="1:8" ht="38.25" customHeight="1" x14ac:dyDescent="0.25">
      <c r="A35" s="266">
        <v>19</v>
      </c>
      <c r="B35" s="245"/>
      <c r="C35" s="278" t="s">
        <v>189</v>
      </c>
      <c r="D35" s="279" t="s">
        <v>190</v>
      </c>
      <c r="E35" s="280" t="s">
        <v>191</v>
      </c>
      <c r="F35" s="278">
        <v>110</v>
      </c>
      <c r="G35" s="281">
        <v>8.2799999999999994</v>
      </c>
      <c r="H35" s="289">
        <f t="shared" si="1"/>
        <v>910.8</v>
      </c>
    </row>
    <row r="36" spans="1:8" x14ac:dyDescent="0.25">
      <c r="A36" s="266">
        <v>20</v>
      </c>
      <c r="B36" s="245"/>
      <c r="C36" s="278" t="s">
        <v>192</v>
      </c>
      <c r="D36" s="279" t="s">
        <v>193</v>
      </c>
      <c r="E36" s="280" t="s">
        <v>194</v>
      </c>
      <c r="F36" s="278">
        <v>1</v>
      </c>
      <c r="G36" s="281">
        <v>682</v>
      </c>
      <c r="H36" s="289">
        <f t="shared" si="1"/>
        <v>682</v>
      </c>
    </row>
    <row r="37" spans="1:8" ht="25.5" customHeight="1" x14ac:dyDescent="0.25">
      <c r="A37" s="266">
        <v>21</v>
      </c>
      <c r="B37" s="245"/>
      <c r="C37" s="278" t="s">
        <v>195</v>
      </c>
      <c r="D37" s="279" t="s">
        <v>196</v>
      </c>
      <c r="E37" s="280" t="s">
        <v>197</v>
      </c>
      <c r="F37" s="278">
        <v>0.03</v>
      </c>
      <c r="G37" s="281">
        <v>17230.189999999999</v>
      </c>
      <c r="H37" s="289">
        <f t="shared" si="1"/>
        <v>516.91</v>
      </c>
    </row>
    <row r="38" spans="1:8" x14ac:dyDescent="0.25">
      <c r="A38" s="266">
        <v>22</v>
      </c>
      <c r="B38" s="245"/>
      <c r="C38" s="278" t="s">
        <v>198</v>
      </c>
      <c r="D38" s="279" t="s">
        <v>199</v>
      </c>
      <c r="E38" s="280" t="s">
        <v>200</v>
      </c>
      <c r="F38" s="278">
        <v>1.1000000000000001</v>
      </c>
      <c r="G38" s="281">
        <v>277.5</v>
      </c>
      <c r="H38" s="289">
        <f t="shared" si="1"/>
        <v>305.25</v>
      </c>
    </row>
    <row r="39" spans="1:8" ht="25.5" customHeight="1" x14ac:dyDescent="0.25">
      <c r="A39" s="266">
        <v>23</v>
      </c>
      <c r="B39" s="245"/>
      <c r="C39" s="278" t="s">
        <v>201</v>
      </c>
      <c r="D39" s="279" t="s">
        <v>202</v>
      </c>
      <c r="E39" s="280" t="s">
        <v>186</v>
      </c>
      <c r="F39" s="278">
        <v>5.6649999999999999E-2</v>
      </c>
      <c r="G39" s="281">
        <v>5000</v>
      </c>
      <c r="H39" s="289">
        <f t="shared" si="1"/>
        <v>283.25</v>
      </c>
    </row>
    <row r="40" spans="1:8" ht="25.5" customHeight="1" x14ac:dyDescent="0.25">
      <c r="A40" s="266">
        <v>24</v>
      </c>
      <c r="B40" s="245"/>
      <c r="C40" s="278" t="s">
        <v>203</v>
      </c>
      <c r="D40" s="279" t="s">
        <v>204</v>
      </c>
      <c r="E40" s="280" t="s">
        <v>186</v>
      </c>
      <c r="F40" s="278">
        <v>0.02</v>
      </c>
      <c r="G40" s="281">
        <v>11500</v>
      </c>
      <c r="H40" s="289">
        <f t="shared" si="1"/>
        <v>230</v>
      </c>
    </row>
    <row r="41" spans="1:8" ht="25.5" customHeight="1" x14ac:dyDescent="0.25">
      <c r="A41" s="266">
        <v>25</v>
      </c>
      <c r="B41" s="245"/>
      <c r="C41" s="278" t="s">
        <v>205</v>
      </c>
      <c r="D41" s="279" t="s">
        <v>206</v>
      </c>
      <c r="E41" s="280" t="s">
        <v>194</v>
      </c>
      <c r="F41" s="278">
        <v>0.29099999999999998</v>
      </c>
      <c r="G41" s="281">
        <v>600</v>
      </c>
      <c r="H41" s="289">
        <f t="shared" si="1"/>
        <v>174.6</v>
      </c>
    </row>
    <row r="42" spans="1:8" x14ac:dyDescent="0.25">
      <c r="A42" s="266">
        <v>26</v>
      </c>
      <c r="B42" s="245"/>
      <c r="C42" s="278" t="s">
        <v>207</v>
      </c>
      <c r="D42" s="279" t="s">
        <v>208</v>
      </c>
      <c r="E42" s="280" t="s">
        <v>197</v>
      </c>
      <c r="F42" s="278">
        <v>0.1</v>
      </c>
      <c r="G42" s="281">
        <v>887.03</v>
      </c>
      <c r="H42" s="289">
        <f t="shared" si="1"/>
        <v>88.7</v>
      </c>
    </row>
    <row r="43" spans="1:8" ht="25.5" customHeight="1" x14ac:dyDescent="0.25">
      <c r="A43" s="266">
        <v>27</v>
      </c>
      <c r="B43" s="245"/>
      <c r="C43" s="278" t="s">
        <v>209</v>
      </c>
      <c r="D43" s="279" t="s">
        <v>210</v>
      </c>
      <c r="E43" s="280" t="s">
        <v>186</v>
      </c>
      <c r="F43" s="278">
        <v>6.9999999999999999E-4</v>
      </c>
      <c r="G43" s="281">
        <v>86162.5</v>
      </c>
      <c r="H43" s="289">
        <f t="shared" si="1"/>
        <v>60.31</v>
      </c>
    </row>
    <row r="44" spans="1:8" ht="25.5" customHeight="1" x14ac:dyDescent="0.25">
      <c r="A44" s="266">
        <v>28</v>
      </c>
      <c r="B44" s="245"/>
      <c r="C44" s="278" t="s">
        <v>211</v>
      </c>
      <c r="D44" s="279" t="s">
        <v>212</v>
      </c>
      <c r="E44" s="280" t="s">
        <v>197</v>
      </c>
      <c r="F44" s="278">
        <v>0.03</v>
      </c>
      <c r="G44" s="281">
        <v>1335.52</v>
      </c>
      <c r="H44" s="289">
        <f t="shared" si="1"/>
        <v>40.07</v>
      </c>
    </row>
    <row r="45" spans="1:8" x14ac:dyDescent="0.25">
      <c r="A45" s="266">
        <v>29</v>
      </c>
      <c r="B45" s="245"/>
      <c r="C45" s="278" t="s">
        <v>213</v>
      </c>
      <c r="D45" s="279" t="s">
        <v>214</v>
      </c>
      <c r="E45" s="280" t="s">
        <v>186</v>
      </c>
      <c r="F45" s="278">
        <v>2.398E-3</v>
      </c>
      <c r="G45" s="281">
        <v>12430</v>
      </c>
      <c r="H45" s="289">
        <f t="shared" si="1"/>
        <v>29.81</v>
      </c>
    </row>
    <row r="46" spans="1:8" s="246" customFormat="1" x14ac:dyDescent="0.25">
      <c r="A46" s="266">
        <v>30</v>
      </c>
      <c r="B46" s="245"/>
      <c r="C46" s="278" t="s">
        <v>215</v>
      </c>
      <c r="D46" s="279" t="s">
        <v>216</v>
      </c>
      <c r="E46" s="280" t="s">
        <v>200</v>
      </c>
      <c r="F46" s="278">
        <v>0.55000000000000004</v>
      </c>
      <c r="G46" s="281">
        <v>39</v>
      </c>
      <c r="H46" s="289">
        <f t="shared" si="1"/>
        <v>21.45</v>
      </c>
    </row>
    <row r="47" spans="1:8" ht="25.5" customHeight="1" x14ac:dyDescent="0.25">
      <c r="A47" s="266">
        <v>31</v>
      </c>
      <c r="B47" s="245"/>
      <c r="C47" s="278" t="s">
        <v>217</v>
      </c>
      <c r="D47" s="279" t="s">
        <v>218</v>
      </c>
      <c r="E47" s="280" t="s">
        <v>194</v>
      </c>
      <c r="F47" s="278">
        <v>3.1E-2</v>
      </c>
      <c r="G47" s="281">
        <v>684</v>
      </c>
      <c r="H47" s="289">
        <f t="shared" si="1"/>
        <v>21.2</v>
      </c>
    </row>
    <row r="48" spans="1:8" x14ac:dyDescent="0.25">
      <c r="A48" s="266">
        <v>32</v>
      </c>
      <c r="B48" s="245"/>
      <c r="C48" s="278" t="s">
        <v>219</v>
      </c>
      <c r="D48" s="279" t="s">
        <v>220</v>
      </c>
      <c r="E48" s="280" t="s">
        <v>221</v>
      </c>
      <c r="F48" s="278">
        <v>1.905</v>
      </c>
      <c r="G48" s="281">
        <v>9.0399999999999991</v>
      </c>
      <c r="H48" s="289">
        <f t="shared" si="1"/>
        <v>17.22</v>
      </c>
    </row>
    <row r="49" spans="1:8" ht="25.5" customHeight="1" x14ac:dyDescent="0.25">
      <c r="A49" s="266">
        <v>33</v>
      </c>
      <c r="B49" s="245"/>
      <c r="C49" s="278" t="s">
        <v>222</v>
      </c>
      <c r="D49" s="279" t="s">
        <v>223</v>
      </c>
      <c r="E49" s="280" t="s">
        <v>224</v>
      </c>
      <c r="F49" s="278">
        <v>14.13885</v>
      </c>
      <c r="G49" s="281">
        <v>1</v>
      </c>
      <c r="H49" s="289">
        <f t="shared" si="1"/>
        <v>14.14</v>
      </c>
    </row>
    <row r="50" spans="1:8" x14ac:dyDescent="0.25">
      <c r="A50" s="266">
        <v>34</v>
      </c>
      <c r="B50" s="245"/>
      <c r="C50" s="278" t="s">
        <v>225</v>
      </c>
      <c r="D50" s="279" t="s">
        <v>226</v>
      </c>
      <c r="E50" s="280" t="s">
        <v>221</v>
      </c>
      <c r="F50" s="278">
        <v>1.3260000000000001</v>
      </c>
      <c r="G50" s="281">
        <v>10.57</v>
      </c>
      <c r="H50" s="289">
        <f t="shared" si="1"/>
        <v>14.02</v>
      </c>
    </row>
    <row r="51" spans="1:8" x14ac:dyDescent="0.25">
      <c r="A51" s="266">
        <v>35</v>
      </c>
      <c r="B51" s="245"/>
      <c r="C51" s="278" t="s">
        <v>227</v>
      </c>
      <c r="D51" s="279" t="s">
        <v>228</v>
      </c>
      <c r="E51" s="280" t="s">
        <v>179</v>
      </c>
      <c r="F51" s="278">
        <v>0.05</v>
      </c>
      <c r="G51" s="281">
        <v>266.67</v>
      </c>
      <c r="H51" s="289">
        <f t="shared" si="1"/>
        <v>13.33</v>
      </c>
    </row>
    <row r="52" spans="1:8" x14ac:dyDescent="0.25">
      <c r="A52" s="266">
        <v>36</v>
      </c>
      <c r="B52" s="245"/>
      <c r="C52" s="278" t="s">
        <v>229</v>
      </c>
      <c r="D52" s="279" t="s">
        <v>230</v>
      </c>
      <c r="E52" s="280" t="s">
        <v>179</v>
      </c>
      <c r="F52" s="278">
        <v>11</v>
      </c>
      <c r="G52" s="281">
        <v>0.71</v>
      </c>
      <c r="H52" s="289">
        <f t="shared" si="1"/>
        <v>7.81</v>
      </c>
    </row>
    <row r="53" spans="1:8" x14ac:dyDescent="0.25">
      <c r="A53" s="266">
        <v>37</v>
      </c>
      <c r="B53" s="245"/>
      <c r="C53" s="278" t="s">
        <v>231</v>
      </c>
      <c r="D53" s="279" t="s">
        <v>232</v>
      </c>
      <c r="E53" s="280" t="s">
        <v>186</v>
      </c>
      <c r="F53" s="278">
        <v>3.7199999999999999E-4</v>
      </c>
      <c r="G53" s="281">
        <v>12430</v>
      </c>
      <c r="H53" s="289">
        <f t="shared" si="1"/>
        <v>4.62</v>
      </c>
    </row>
    <row r="54" spans="1:8" x14ac:dyDescent="0.25">
      <c r="A54" s="266">
        <v>38</v>
      </c>
      <c r="B54" s="245"/>
      <c r="C54" s="278" t="s">
        <v>233</v>
      </c>
      <c r="D54" s="279" t="s">
        <v>234</v>
      </c>
      <c r="E54" s="280" t="s">
        <v>186</v>
      </c>
      <c r="F54" s="278">
        <v>4.9799999999999996E-4</v>
      </c>
      <c r="G54" s="281">
        <v>7826.9</v>
      </c>
      <c r="H54" s="289">
        <f t="shared" si="1"/>
        <v>3.9</v>
      </c>
    </row>
    <row r="55" spans="1:8" x14ac:dyDescent="0.25">
      <c r="A55" s="266">
        <v>39</v>
      </c>
      <c r="B55" s="245"/>
      <c r="C55" s="278" t="s">
        <v>235</v>
      </c>
      <c r="D55" s="279" t="s">
        <v>236</v>
      </c>
      <c r="E55" s="280" t="s">
        <v>237</v>
      </c>
      <c r="F55" s="278">
        <v>2.5260000000000001E-2</v>
      </c>
      <c r="G55" s="281">
        <v>120</v>
      </c>
      <c r="H55" s="289">
        <f t="shared" si="1"/>
        <v>3.03</v>
      </c>
    </row>
    <row r="56" spans="1:8" x14ac:dyDescent="0.25">
      <c r="A56" s="266">
        <v>40</v>
      </c>
      <c r="B56" s="245"/>
      <c r="C56" s="278" t="s">
        <v>238</v>
      </c>
      <c r="D56" s="279" t="s">
        <v>239</v>
      </c>
      <c r="E56" s="280" t="s">
        <v>240</v>
      </c>
      <c r="F56" s="278">
        <v>1.0999999999999999E-2</v>
      </c>
      <c r="G56" s="281">
        <v>270</v>
      </c>
      <c r="H56" s="289">
        <f t="shared" si="1"/>
        <v>2.97</v>
      </c>
    </row>
    <row r="57" spans="1:8" x14ac:dyDescent="0.25">
      <c r="A57" s="266">
        <v>41</v>
      </c>
      <c r="B57" s="245"/>
      <c r="C57" s="278" t="s">
        <v>241</v>
      </c>
      <c r="D57" s="279" t="s">
        <v>242</v>
      </c>
      <c r="E57" s="280" t="s">
        <v>186</v>
      </c>
      <c r="F57" s="278">
        <v>2.9999999999999997E-4</v>
      </c>
      <c r="G57" s="281">
        <v>9424</v>
      </c>
      <c r="H57" s="289">
        <f t="shared" si="1"/>
        <v>2.83</v>
      </c>
    </row>
    <row r="58" spans="1:8" ht="25.5" customHeight="1" x14ac:dyDescent="0.25">
      <c r="A58" s="266">
        <v>42</v>
      </c>
      <c r="B58" s="245"/>
      <c r="C58" s="278" t="s">
        <v>243</v>
      </c>
      <c r="D58" s="279" t="s">
        <v>244</v>
      </c>
      <c r="E58" s="280" t="s">
        <v>194</v>
      </c>
      <c r="F58" s="278">
        <v>5.0000000000000001E-3</v>
      </c>
      <c r="G58" s="281">
        <v>558.33000000000004</v>
      </c>
      <c r="H58" s="289">
        <f t="shared" si="1"/>
        <v>2.79</v>
      </c>
    </row>
    <row r="59" spans="1:8" ht="25.5" customHeight="1" x14ac:dyDescent="0.25">
      <c r="A59" s="266">
        <v>43</v>
      </c>
      <c r="B59" s="245"/>
      <c r="C59" s="278" t="s">
        <v>245</v>
      </c>
      <c r="D59" s="279" t="s">
        <v>246</v>
      </c>
      <c r="E59" s="280" t="s">
        <v>240</v>
      </c>
      <c r="F59" s="278">
        <v>1.06E-3</v>
      </c>
      <c r="G59" s="281">
        <v>1740.2</v>
      </c>
      <c r="H59" s="289">
        <f t="shared" si="1"/>
        <v>1.84</v>
      </c>
    </row>
    <row r="60" spans="1:8" x14ac:dyDescent="0.25">
      <c r="A60" s="266">
        <v>44</v>
      </c>
      <c r="B60" s="245"/>
      <c r="C60" s="278" t="s">
        <v>247</v>
      </c>
      <c r="D60" s="279" t="s">
        <v>248</v>
      </c>
      <c r="E60" s="280" t="s">
        <v>221</v>
      </c>
      <c r="F60" s="278">
        <v>0.03</v>
      </c>
      <c r="G60" s="281">
        <v>28.6</v>
      </c>
      <c r="H60" s="289">
        <f t="shared" si="1"/>
        <v>0.86</v>
      </c>
    </row>
    <row r="61" spans="1:8" s="246" customFormat="1" x14ac:dyDescent="0.25">
      <c r="A61" s="266">
        <v>45</v>
      </c>
      <c r="B61" s="245"/>
      <c r="C61" s="278" t="s">
        <v>249</v>
      </c>
      <c r="D61" s="279" t="s">
        <v>250</v>
      </c>
      <c r="E61" s="280" t="s">
        <v>251</v>
      </c>
      <c r="F61" s="278">
        <v>4.0000000000000001E-3</v>
      </c>
      <c r="G61" s="281">
        <v>110</v>
      </c>
      <c r="H61" s="289">
        <f t="shared" si="1"/>
        <v>0.44</v>
      </c>
    </row>
    <row r="62" spans="1:8" ht="25.5" customHeight="1" x14ac:dyDescent="0.25">
      <c r="A62" s="266">
        <v>46</v>
      </c>
      <c r="B62" s="245"/>
      <c r="C62" s="278" t="s">
        <v>252</v>
      </c>
      <c r="D62" s="279" t="s">
        <v>253</v>
      </c>
      <c r="E62" s="280" t="s">
        <v>186</v>
      </c>
      <c r="F62" s="278">
        <v>8.9999999999999998E-4</v>
      </c>
      <c r="G62" s="281">
        <v>480</v>
      </c>
      <c r="H62" s="289">
        <f t="shared" si="1"/>
        <v>0.43</v>
      </c>
    </row>
    <row r="63" spans="1:8" x14ac:dyDescent="0.25">
      <c r="A63" s="266">
        <v>47</v>
      </c>
      <c r="B63" s="245"/>
      <c r="C63" s="278" t="s">
        <v>254</v>
      </c>
      <c r="D63" s="279" t="s">
        <v>255</v>
      </c>
      <c r="E63" s="280" t="s">
        <v>221</v>
      </c>
      <c r="F63" s="278">
        <v>0.06</v>
      </c>
      <c r="G63" s="281">
        <v>6.4</v>
      </c>
      <c r="H63" s="289">
        <f t="shared" si="1"/>
        <v>0.38</v>
      </c>
    </row>
    <row r="64" spans="1:8" x14ac:dyDescent="0.25">
      <c r="A64" s="266">
        <v>48</v>
      </c>
      <c r="B64" s="245"/>
      <c r="C64" s="278" t="s">
        <v>256</v>
      </c>
      <c r="D64" s="279" t="s">
        <v>257</v>
      </c>
      <c r="E64" s="280" t="s">
        <v>194</v>
      </c>
      <c r="F64" s="278">
        <v>3.1E-4</v>
      </c>
      <c r="G64" s="281">
        <v>463.3</v>
      </c>
      <c r="H64" s="289">
        <f t="shared" si="1"/>
        <v>0.14000000000000001</v>
      </c>
    </row>
    <row r="65" spans="1:8" ht="38.25" customHeight="1" x14ac:dyDescent="0.25">
      <c r="A65" s="266">
        <v>49</v>
      </c>
      <c r="B65" s="245"/>
      <c r="C65" s="278" t="s">
        <v>258</v>
      </c>
      <c r="D65" s="279" t="s">
        <v>259</v>
      </c>
      <c r="E65" s="280" t="s">
        <v>194</v>
      </c>
      <c r="F65" s="278">
        <v>7.5000000000000002E-4</v>
      </c>
      <c r="G65" s="281">
        <v>55.26</v>
      </c>
      <c r="H65" s="289">
        <f t="shared" si="1"/>
        <v>0.04</v>
      </c>
    </row>
    <row r="68" spans="1:8" x14ac:dyDescent="0.25">
      <c r="B68" s="240" t="s">
        <v>130</v>
      </c>
    </row>
    <row r="69" spans="1:8" x14ac:dyDescent="0.25">
      <c r="B69" s="241" t="s">
        <v>113</v>
      </c>
    </row>
    <row r="71" spans="1:8" x14ac:dyDescent="0.25">
      <c r="B71" s="240" t="s">
        <v>131</v>
      </c>
    </row>
    <row r="72" spans="1:8" x14ac:dyDescent="0.25">
      <c r="B72" s="241" t="s">
        <v>115</v>
      </c>
    </row>
  </sheetData>
  <mergeCells count="16">
    <mergeCell ref="A2:H2"/>
    <mergeCell ref="A3:H3"/>
    <mergeCell ref="A7:H7"/>
    <mergeCell ref="A9:A10"/>
    <mergeCell ref="B9:B10"/>
    <mergeCell ref="C9:C10"/>
    <mergeCell ref="C4:H4"/>
    <mergeCell ref="F9:F10"/>
    <mergeCell ref="G9:H9"/>
    <mergeCell ref="A17:E17"/>
    <mergeCell ref="A32:E32"/>
    <mergeCell ref="A12:E12"/>
    <mergeCell ref="A19:E19"/>
    <mergeCell ref="D9:D10"/>
    <mergeCell ref="E9:E10"/>
    <mergeCell ref="A29:E29"/>
  </mergeCells>
  <conditionalFormatting sqref="C20:C28">
    <cfRule type="duplicateValues" dxfId="5" priority="1"/>
  </conditionalFormatting>
  <conditionalFormatting sqref="C33:C65">
    <cfRule type="duplicateValues" dxfId="4" priority="2"/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0"/>
  <sheetViews>
    <sheetView tabSelected="1" view="pageBreakPreview" workbookViewId="0">
      <selection activeCell="G10" sqref="G10"/>
    </sheetView>
  </sheetViews>
  <sheetFormatPr defaultColWidth="9.140625" defaultRowHeight="15" x14ac:dyDescent="0.25"/>
  <cols>
    <col min="1" max="1" width="4.140625" style="58" customWidth="1"/>
    <col min="2" max="2" width="36.28515625" style="58" customWidth="1"/>
    <col min="3" max="3" width="18.85546875" style="58" customWidth="1"/>
    <col min="4" max="4" width="18.28515625" style="58" customWidth="1"/>
    <col min="5" max="5" width="18.85546875" style="58" customWidth="1"/>
    <col min="6" max="6" width="11.42578125" style="58" customWidth="1"/>
    <col min="7" max="7" width="14.42578125" customWidth="1"/>
    <col min="8" max="11" width="9.140625" style="58"/>
    <col min="12" max="12" width="13.5703125" style="58" customWidth="1"/>
    <col min="13" max="13" width="9.140625" style="58"/>
  </cols>
  <sheetData>
    <row r="1" spans="2:36" x14ac:dyDescent="0.25">
      <c r="B1" s="250"/>
      <c r="C1" s="250"/>
      <c r="D1" s="250"/>
      <c r="E1" s="250"/>
    </row>
    <row r="2" spans="2:36" x14ac:dyDescent="0.25">
      <c r="B2" s="250"/>
      <c r="C2" s="250"/>
      <c r="D2" s="250"/>
      <c r="E2" s="260" t="s">
        <v>260</v>
      </c>
    </row>
    <row r="3" spans="2:36" x14ac:dyDescent="0.25">
      <c r="B3" s="250"/>
      <c r="C3" s="250"/>
      <c r="D3" s="250"/>
      <c r="E3" s="250"/>
    </row>
    <row r="4" spans="2:36" x14ac:dyDescent="0.25">
      <c r="B4" s="250"/>
      <c r="C4" s="250"/>
      <c r="D4" s="250"/>
      <c r="E4" s="250"/>
    </row>
    <row r="5" spans="2:36" x14ac:dyDescent="0.25">
      <c r="B5" s="357" t="s">
        <v>45</v>
      </c>
      <c r="C5" s="357"/>
      <c r="D5" s="357"/>
      <c r="E5" s="357"/>
    </row>
    <row r="6" spans="2:36" x14ac:dyDescent="0.25">
      <c r="B6" s="259"/>
      <c r="C6" s="250"/>
      <c r="D6" s="250"/>
      <c r="E6" s="250"/>
    </row>
    <row r="7" spans="2:36" ht="25.5" customHeight="1" x14ac:dyDescent="0.25">
      <c r="B7" s="366" t="s">
        <v>84</v>
      </c>
      <c r="C7" s="366"/>
      <c r="D7" s="366"/>
      <c r="E7" s="366"/>
    </row>
    <row r="8" spans="2:36" x14ac:dyDescent="0.25">
      <c r="B8" s="387" t="s">
        <v>86</v>
      </c>
      <c r="C8" s="387"/>
      <c r="D8" s="387"/>
      <c r="E8" s="387"/>
    </row>
    <row r="9" spans="2:36" x14ac:dyDescent="0.25">
      <c r="B9" s="259"/>
      <c r="C9" s="250"/>
      <c r="D9" s="250"/>
      <c r="E9" s="250"/>
    </row>
    <row r="10" spans="2:36" ht="51" customHeight="1" x14ac:dyDescent="0.25">
      <c r="B10" s="258" t="s">
        <v>46</v>
      </c>
      <c r="C10" s="258" t="s">
        <v>261</v>
      </c>
      <c r="D10" s="258" t="s">
        <v>262</v>
      </c>
      <c r="E10" s="258" t="s">
        <v>263</v>
      </c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255"/>
      <c r="X10" s="332"/>
      <c r="Y10" s="255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</row>
    <row r="11" spans="2:36" x14ac:dyDescent="0.25">
      <c r="B11" s="252" t="s">
        <v>50</v>
      </c>
      <c r="C11" s="253">
        <f>'Прил.5 Расчет СМР и ОБ'!J14</f>
        <v>41390.06</v>
      </c>
      <c r="D11" s="254">
        <f t="shared" ref="D11:D18" si="0">C11/$C$24</f>
        <v>0.17829692352313692</v>
      </c>
      <c r="E11" s="254">
        <f t="shared" ref="E11:E18" si="1">C11/$C$40</f>
        <v>0.14230288294427298</v>
      </c>
    </row>
    <row r="12" spans="2:36" x14ac:dyDescent="0.25">
      <c r="B12" s="252" t="s">
        <v>51</v>
      </c>
      <c r="C12" s="253">
        <f>'Прил.5 Расчет СМР и ОБ'!J22</f>
        <v>14873.58</v>
      </c>
      <c r="D12" s="254">
        <f t="shared" si="0"/>
        <v>6.4071266284109252E-2</v>
      </c>
      <c r="E12" s="254">
        <f t="shared" si="1"/>
        <v>5.1136753938077886E-2</v>
      </c>
    </row>
    <row r="13" spans="2:36" x14ac:dyDescent="0.25">
      <c r="B13" s="252" t="s">
        <v>52</v>
      </c>
      <c r="C13" s="253">
        <f>'Прил.5 Расчет СМР и ОБ'!J29</f>
        <v>2294.4500000000003</v>
      </c>
      <c r="D13" s="254">
        <f t="shared" si="0"/>
        <v>9.8838555966737317E-3</v>
      </c>
      <c r="E13" s="254">
        <f t="shared" si="1"/>
        <v>7.8885328934407729E-3</v>
      </c>
    </row>
    <row r="14" spans="2:36" x14ac:dyDescent="0.25">
      <c r="B14" s="252" t="s">
        <v>53</v>
      </c>
      <c r="C14" s="253">
        <f>C13+C12</f>
        <v>17168.03</v>
      </c>
      <c r="D14" s="254">
        <f t="shared" si="0"/>
        <v>7.3955121880782973E-2</v>
      </c>
      <c r="E14" s="254">
        <f t="shared" si="1"/>
        <v>5.9025286831518656E-2</v>
      </c>
    </row>
    <row r="15" spans="2:36" x14ac:dyDescent="0.25">
      <c r="B15" s="252" t="s">
        <v>54</v>
      </c>
      <c r="C15" s="253">
        <f>'Прил.5 Расчет СМР и ОБ'!J16</f>
        <v>3893.06</v>
      </c>
      <c r="D15" s="254">
        <f t="shared" si="0"/>
        <v>1.6770225051400831E-2</v>
      </c>
      <c r="E15" s="254">
        <f t="shared" si="1"/>
        <v>1.3384703029544568E-2</v>
      </c>
    </row>
    <row r="16" spans="2:36" x14ac:dyDescent="0.25">
      <c r="B16" s="252" t="s">
        <v>55</v>
      </c>
      <c r="C16" s="253">
        <f>'Прил.5 Расчет СМР и ОБ'!J46</f>
        <v>85320.63</v>
      </c>
      <c r="D16" s="254">
        <f t="shared" si="0"/>
        <v>0.36753766102431029</v>
      </c>
      <c r="E16" s="254">
        <f t="shared" si="1"/>
        <v>0.29334027598949186</v>
      </c>
    </row>
    <row r="17" spans="2:6" x14ac:dyDescent="0.25">
      <c r="B17" s="252" t="s">
        <v>56</v>
      </c>
      <c r="C17" s="253">
        <f>'Прил.5 Расчет СМР и ОБ'!J75</f>
        <v>10828.339999999998</v>
      </c>
      <c r="D17" s="254">
        <f t="shared" si="0"/>
        <v>4.6645491909471121E-2</v>
      </c>
      <c r="E17" s="254">
        <f t="shared" si="1"/>
        <v>3.7228841888627094E-2</v>
      </c>
    </row>
    <row r="18" spans="2:6" x14ac:dyDescent="0.25">
      <c r="B18" s="252" t="s">
        <v>57</v>
      </c>
      <c r="C18" s="253">
        <f>C17+C16</f>
        <v>96148.97</v>
      </c>
      <c r="D18" s="254">
        <f t="shared" si="0"/>
        <v>0.41418315293378138</v>
      </c>
      <c r="E18" s="254">
        <f t="shared" si="1"/>
        <v>0.33056911787811893</v>
      </c>
    </row>
    <row r="19" spans="2:6" x14ac:dyDescent="0.25">
      <c r="B19" s="252" t="s">
        <v>58</v>
      </c>
      <c r="C19" s="253">
        <f>C18+C14+C11</f>
        <v>154707.06</v>
      </c>
      <c r="D19" s="254"/>
      <c r="E19" s="252"/>
    </row>
    <row r="20" spans="2:6" x14ac:dyDescent="0.25">
      <c r="B20" s="252" t="s">
        <v>59</v>
      </c>
      <c r="C20" s="253">
        <f>ROUND(C21*(C11+C15),2)</f>
        <v>31245.35</v>
      </c>
      <c r="D20" s="254">
        <f>C20/$C$24</f>
        <v>0.13459632045480596</v>
      </c>
      <c r="E20" s="254">
        <f>C20/$C$40</f>
        <v>0.10742442469527322</v>
      </c>
    </row>
    <row r="21" spans="2:6" x14ac:dyDescent="0.25">
      <c r="B21" s="252" t="s">
        <v>60</v>
      </c>
      <c r="C21" s="257">
        <f>'Прил.5 Расчет СМР и ОБ'!D79</f>
        <v>0.69</v>
      </c>
      <c r="D21" s="254"/>
      <c r="E21" s="252"/>
    </row>
    <row r="22" spans="2:6" x14ac:dyDescent="0.25">
      <c r="B22" s="252" t="s">
        <v>61</v>
      </c>
      <c r="C22" s="253">
        <f>ROUND(C23*(C11+C15),2)</f>
        <v>46188.78</v>
      </c>
      <c r="D22" s="254">
        <f>C22/$C$24</f>
        <v>0.19896848120749272</v>
      </c>
      <c r="E22" s="254">
        <f>C22/$C$40</f>
        <v>0.15880132944187028</v>
      </c>
    </row>
    <row r="23" spans="2:6" x14ac:dyDescent="0.25">
      <c r="B23" s="252" t="s">
        <v>62</v>
      </c>
      <c r="C23" s="257">
        <f>'Прил.5 Расчет СМР и ОБ'!D78</f>
        <v>1.02</v>
      </c>
      <c r="D23" s="254"/>
      <c r="E23" s="252"/>
    </row>
    <row r="24" spans="2:6" x14ac:dyDescent="0.25">
      <c r="B24" s="252" t="s">
        <v>63</v>
      </c>
      <c r="C24" s="253">
        <f>C19+C20+C22</f>
        <v>232141.19</v>
      </c>
      <c r="D24" s="254">
        <f>C24/$C$24</f>
        <v>1</v>
      </c>
      <c r="E24" s="254">
        <f>C24/$C$40</f>
        <v>0.79812304179105409</v>
      </c>
    </row>
    <row r="25" spans="2:6" ht="25.5" customHeight="1" x14ac:dyDescent="0.25">
      <c r="B25" s="252" t="s">
        <v>64</v>
      </c>
      <c r="C25" s="253">
        <f>'Прил.5 Расчет СМР и ОБ'!J37</f>
        <v>29670.720000000001</v>
      </c>
      <c r="D25" s="254"/>
      <c r="E25" s="254">
        <f>C25/$C$40</f>
        <v>0.10201070003359018</v>
      </c>
    </row>
    <row r="26" spans="2:6" ht="25.5" customHeight="1" x14ac:dyDescent="0.25">
      <c r="B26" s="252" t="s">
        <v>65</v>
      </c>
      <c r="C26" s="253">
        <f>'Прил.5 Расчет СМР и ОБ'!J38</f>
        <v>29670.720000000001</v>
      </c>
      <c r="D26" s="254"/>
      <c r="E26" s="254">
        <f>C26/$C$40</f>
        <v>0.10201070003359018</v>
      </c>
    </row>
    <row r="27" spans="2:6" x14ac:dyDescent="0.25">
      <c r="B27" s="252" t="s">
        <v>66</v>
      </c>
      <c r="C27" s="256">
        <f>C24+C25</f>
        <v>261811.91</v>
      </c>
      <c r="D27" s="254"/>
      <c r="E27" s="254">
        <f>C27/$C$40</f>
        <v>0.90013374182464434</v>
      </c>
    </row>
    <row r="28" spans="2:6" ht="33" customHeight="1" x14ac:dyDescent="0.25">
      <c r="B28" s="252" t="s">
        <v>67</v>
      </c>
      <c r="C28" s="252"/>
      <c r="D28" s="252"/>
      <c r="E28" s="252"/>
      <c r="F28" s="255"/>
    </row>
    <row r="29" spans="2:6" ht="25.5" customHeight="1" x14ac:dyDescent="0.25">
      <c r="B29" s="252" t="s">
        <v>264</v>
      </c>
      <c r="C29" s="256">
        <f>ROUND(C24*3.9%,2)</f>
        <v>9053.51</v>
      </c>
      <c r="D29" s="252"/>
      <c r="E29" s="254">
        <f t="shared" ref="E29:E38" si="2">C29/$C$40</f>
        <v>3.1126810972605622E-2</v>
      </c>
    </row>
    <row r="30" spans="2:6" ht="38.25" customHeight="1" x14ac:dyDescent="0.25">
      <c r="B30" s="252" t="s">
        <v>265</v>
      </c>
      <c r="C30" s="256">
        <f>ROUND((C24+C29)*2.1%,2)</f>
        <v>5065.09</v>
      </c>
      <c r="D30" s="252"/>
      <c r="E30" s="254">
        <f t="shared" si="2"/>
        <v>1.7414251377557987E-2</v>
      </c>
      <c r="F30" s="255"/>
    </row>
    <row r="31" spans="2:6" x14ac:dyDescent="0.25">
      <c r="B31" s="252" t="s">
        <v>266</v>
      </c>
      <c r="C31" s="313">
        <v>0</v>
      </c>
      <c r="D31" s="252"/>
      <c r="E31" s="254">
        <f t="shared" si="2"/>
        <v>0</v>
      </c>
    </row>
    <row r="32" spans="2:6" ht="25.5" customHeight="1" x14ac:dyDescent="0.25">
      <c r="B32" s="252" t="s">
        <v>267</v>
      </c>
      <c r="C32" s="256">
        <f>ROUND(C27*0%,2)</f>
        <v>0</v>
      </c>
      <c r="D32" s="252"/>
      <c r="E32" s="254">
        <f t="shared" si="2"/>
        <v>0</v>
      </c>
    </row>
    <row r="33" spans="2:12" ht="25.5" customHeight="1" x14ac:dyDescent="0.25">
      <c r="B33" s="252" t="s">
        <v>268</v>
      </c>
      <c r="C33" s="256">
        <f>ROUND(C28*0%,2)</f>
        <v>0</v>
      </c>
      <c r="D33" s="252"/>
      <c r="E33" s="254">
        <f t="shared" si="2"/>
        <v>0</v>
      </c>
    </row>
    <row r="34" spans="2:12" ht="51" customHeight="1" x14ac:dyDescent="0.25">
      <c r="B34" s="252" t="s">
        <v>269</v>
      </c>
      <c r="C34" s="256">
        <f>ROUND(C29*0%,2)</f>
        <v>0</v>
      </c>
      <c r="D34" s="252"/>
      <c r="E34" s="254">
        <f t="shared" si="2"/>
        <v>0</v>
      </c>
      <c r="H34" s="262"/>
    </row>
    <row r="35" spans="2:12" ht="76.7" customHeight="1" x14ac:dyDescent="0.25">
      <c r="B35" s="252" t="s">
        <v>270</v>
      </c>
      <c r="C35" s="256">
        <f>ROUND(C30*0%,2)</f>
        <v>0</v>
      </c>
      <c r="D35" s="252"/>
      <c r="E35" s="254">
        <f t="shared" si="2"/>
        <v>0</v>
      </c>
    </row>
    <row r="36" spans="2:12" ht="25.5" customHeight="1" x14ac:dyDescent="0.25">
      <c r="B36" s="252" t="s">
        <v>271</v>
      </c>
      <c r="C36" s="256">
        <f>ROUND((C27+C32+C33+C34+C35+C29+C31+C30)*2.14%,2)</f>
        <v>5904.91</v>
      </c>
      <c r="D36" s="252"/>
      <c r="E36" s="254">
        <f t="shared" si="2"/>
        <v>2.0301630790737366E-2</v>
      </c>
      <c r="L36" s="255"/>
    </row>
    <row r="37" spans="2:12" x14ac:dyDescent="0.25">
      <c r="B37" s="252" t="s">
        <v>272</v>
      </c>
      <c r="C37" s="256">
        <f>ROUND((C27+C32+C33+C34+C35+C29+C31+C30)*0.2%,2)</f>
        <v>551.86</v>
      </c>
      <c r="D37" s="252"/>
      <c r="E37" s="254">
        <f t="shared" si="2"/>
        <v>1.8973461014945737E-3</v>
      </c>
      <c r="L37" s="255"/>
    </row>
    <row r="38" spans="2:12" ht="38.25" customHeight="1" x14ac:dyDescent="0.25">
      <c r="B38" s="252" t="s">
        <v>73</v>
      </c>
      <c r="C38" s="253">
        <f>C27+C32+C33+C34+C35+C29+C31+C30+C36+C37</f>
        <v>282387.27999999997</v>
      </c>
      <c r="D38" s="252"/>
      <c r="E38" s="254">
        <f t="shared" si="2"/>
        <v>0.9708737810670397</v>
      </c>
    </row>
    <row r="39" spans="2:12" ht="13.7" customHeight="1" x14ac:dyDescent="0.25">
      <c r="B39" s="252" t="s">
        <v>74</v>
      </c>
      <c r="C39" s="253">
        <f>ROUND(C38*3%,2)</f>
        <v>8471.6200000000008</v>
      </c>
      <c r="D39" s="252"/>
      <c r="E39" s="254">
        <f>C39/$C$38</f>
        <v>3.0000005665977596E-2</v>
      </c>
    </row>
    <row r="40" spans="2:12" x14ac:dyDescent="0.25">
      <c r="B40" s="252" t="s">
        <v>75</v>
      </c>
      <c r="C40" s="253">
        <f>C39+C38</f>
        <v>290858.89999999997</v>
      </c>
      <c r="D40" s="252"/>
      <c r="E40" s="254">
        <f>C40/$C$40</f>
        <v>1</v>
      </c>
    </row>
    <row r="41" spans="2:12" x14ac:dyDescent="0.25">
      <c r="B41" s="252" t="s">
        <v>76</v>
      </c>
      <c r="C41" s="253">
        <f>C40/'Прил.5 Расчет СМР и ОБ'!E82</f>
        <v>290858.89999999997</v>
      </c>
      <c r="D41" s="252"/>
      <c r="E41" s="252"/>
    </row>
    <row r="42" spans="2:12" x14ac:dyDescent="0.25">
      <c r="B42" s="251"/>
      <c r="C42" s="250"/>
      <c r="D42" s="250"/>
      <c r="E42" s="250"/>
    </row>
    <row r="43" spans="2:12" x14ac:dyDescent="0.25">
      <c r="B43" s="251" t="s">
        <v>273</v>
      </c>
      <c r="C43" s="250"/>
      <c r="D43" s="250"/>
      <c r="E43" s="250"/>
    </row>
    <row r="44" spans="2:12" x14ac:dyDescent="0.25">
      <c r="B44" s="251" t="s">
        <v>274</v>
      </c>
      <c r="C44" s="250"/>
      <c r="D44" s="250"/>
      <c r="E44" s="250"/>
    </row>
    <row r="45" spans="2:12" x14ac:dyDescent="0.25">
      <c r="B45" s="251"/>
      <c r="C45" s="250"/>
      <c r="D45" s="250"/>
      <c r="E45" s="250"/>
    </row>
    <row r="46" spans="2:12" x14ac:dyDescent="0.25">
      <c r="B46" s="251" t="s">
        <v>275</v>
      </c>
      <c r="C46" s="250"/>
      <c r="D46" s="250"/>
      <c r="E46" s="250"/>
    </row>
    <row r="47" spans="2:12" x14ac:dyDescent="0.25">
      <c r="B47" s="387" t="s">
        <v>276</v>
      </c>
      <c r="C47" s="387"/>
      <c r="D47" s="250"/>
      <c r="E47" s="250"/>
    </row>
    <row r="49" spans="2:5" x14ac:dyDescent="0.25">
      <c r="B49" s="250"/>
      <c r="C49" s="250"/>
      <c r="D49" s="250"/>
      <c r="E49" s="250"/>
    </row>
    <row r="50" spans="2:5" x14ac:dyDescent="0.25">
      <c r="B50" s="250"/>
      <c r="C50" s="250"/>
      <c r="D50" s="250"/>
      <c r="E50" s="250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88"/>
  <sheetViews>
    <sheetView view="pageBreakPreview" topLeftCell="A44" zoomScale="85" zoomScaleSheetLayoutView="85" workbookViewId="0">
      <selection activeCell="F62" sqref="F62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301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4" customFormat="1" x14ac:dyDescent="0.25">
      <c r="A1" s="193"/>
      <c r="B1" s="193"/>
      <c r="C1" s="193"/>
      <c r="D1" s="299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s="194" customFormat="1" ht="15.75" customHeight="1" x14ac:dyDescent="0.25">
      <c r="A2" s="193"/>
      <c r="B2" s="193"/>
      <c r="C2" s="193"/>
      <c r="D2" s="299"/>
      <c r="E2" s="193"/>
      <c r="F2" s="193"/>
      <c r="G2" s="193"/>
      <c r="H2" s="388" t="s">
        <v>277</v>
      </c>
      <c r="I2" s="388"/>
      <c r="J2" s="388"/>
      <c r="K2" s="193"/>
      <c r="L2" s="193"/>
      <c r="M2" s="193"/>
      <c r="N2" s="193"/>
    </row>
    <row r="3" spans="1:14" s="194" customFormat="1" x14ac:dyDescent="0.25">
      <c r="A3" s="193"/>
      <c r="B3" s="193"/>
      <c r="C3" s="193"/>
      <c r="D3" s="299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4" s="196" customFormat="1" ht="12.75" customHeight="1" x14ac:dyDescent="0.2">
      <c r="A4" s="357" t="s">
        <v>278</v>
      </c>
      <c r="B4" s="357"/>
      <c r="C4" s="357"/>
      <c r="D4" s="357"/>
      <c r="E4" s="357"/>
      <c r="F4" s="357"/>
      <c r="G4" s="357"/>
      <c r="H4" s="357"/>
      <c r="I4" s="357"/>
      <c r="J4" s="357"/>
    </row>
    <row r="5" spans="1:14" s="196" customFormat="1" ht="12.75" customHeight="1" x14ac:dyDescent="0.2">
      <c r="A5" s="195"/>
      <c r="B5" s="195"/>
      <c r="C5" s="197"/>
      <c r="D5" s="277"/>
      <c r="E5" s="195"/>
      <c r="F5" s="195"/>
      <c r="G5" s="195"/>
      <c r="H5" s="195"/>
      <c r="I5" s="195"/>
      <c r="J5" s="195"/>
    </row>
    <row r="6" spans="1:14" s="196" customFormat="1" ht="12.75" customHeight="1" x14ac:dyDescent="0.2">
      <c r="A6" s="229" t="s">
        <v>279</v>
      </c>
      <c r="B6" s="228"/>
      <c r="C6" s="228"/>
      <c r="D6" s="394" t="s">
        <v>280</v>
      </c>
      <c r="E6" s="394"/>
      <c r="F6" s="394"/>
      <c r="G6" s="394"/>
      <c r="H6" s="394"/>
      <c r="I6" s="394"/>
      <c r="J6" s="394"/>
    </row>
    <row r="7" spans="1:14" s="196" customFormat="1" ht="12.75" customHeight="1" x14ac:dyDescent="0.2">
      <c r="A7" s="360" t="s">
        <v>86</v>
      </c>
      <c r="B7" s="366"/>
      <c r="C7" s="366"/>
      <c r="D7" s="366"/>
      <c r="E7" s="366"/>
      <c r="F7" s="366"/>
      <c r="G7" s="366"/>
      <c r="H7" s="366"/>
      <c r="I7" s="198"/>
      <c r="J7" s="198"/>
    </row>
    <row r="8" spans="1:14" s="4" customFormat="1" ht="13.7" customHeight="1" x14ac:dyDescent="0.2">
      <c r="A8" s="360"/>
      <c r="B8" s="366"/>
      <c r="C8" s="366"/>
      <c r="D8" s="366"/>
      <c r="E8" s="366"/>
      <c r="F8" s="366"/>
      <c r="G8" s="366"/>
      <c r="H8" s="366"/>
    </row>
    <row r="9" spans="1:14" s="194" customFormat="1" ht="27" customHeight="1" x14ac:dyDescent="0.25">
      <c r="A9" s="391" t="s">
        <v>13</v>
      </c>
      <c r="B9" s="391" t="s">
        <v>138</v>
      </c>
      <c r="C9" s="391" t="s">
        <v>46</v>
      </c>
      <c r="D9" s="391" t="s">
        <v>140</v>
      </c>
      <c r="E9" s="392" t="s">
        <v>281</v>
      </c>
      <c r="F9" s="389" t="s">
        <v>47</v>
      </c>
      <c r="G9" s="390"/>
      <c r="H9" s="392" t="s">
        <v>282</v>
      </c>
      <c r="I9" s="389" t="s">
        <v>283</v>
      </c>
      <c r="J9" s="390"/>
      <c r="K9" s="193"/>
      <c r="L9" s="193"/>
      <c r="M9" s="193"/>
      <c r="N9" s="193"/>
    </row>
    <row r="10" spans="1:14" s="194" customFormat="1" ht="28.5" customHeight="1" x14ac:dyDescent="0.25">
      <c r="A10" s="391"/>
      <c r="B10" s="391"/>
      <c r="C10" s="391"/>
      <c r="D10" s="391"/>
      <c r="E10" s="393"/>
      <c r="F10" s="161" t="s">
        <v>284</v>
      </c>
      <c r="G10" s="161" t="s">
        <v>143</v>
      </c>
      <c r="H10" s="393"/>
      <c r="I10" s="161" t="s">
        <v>284</v>
      </c>
      <c r="J10" s="161" t="s">
        <v>143</v>
      </c>
      <c r="K10" s="193"/>
      <c r="L10" s="193"/>
      <c r="M10" s="193"/>
      <c r="N10" s="193"/>
    </row>
    <row r="11" spans="1:14" s="194" customFormat="1" x14ac:dyDescent="0.25">
      <c r="A11" s="161">
        <v>1</v>
      </c>
      <c r="B11" s="161">
        <v>2</v>
      </c>
      <c r="C11" s="161">
        <v>3</v>
      </c>
      <c r="D11" s="276">
        <v>4</v>
      </c>
      <c r="E11" s="161">
        <v>5</v>
      </c>
      <c r="F11" s="161">
        <v>6</v>
      </c>
      <c r="G11" s="161">
        <v>7</v>
      </c>
      <c r="H11" s="161">
        <v>8</v>
      </c>
      <c r="I11" s="199">
        <v>9</v>
      </c>
      <c r="J11" s="199">
        <v>10</v>
      </c>
      <c r="K11" s="193"/>
      <c r="L11" s="193"/>
      <c r="M11" s="193"/>
      <c r="N11" s="193"/>
    </row>
    <row r="12" spans="1:14" x14ac:dyDescent="0.25">
      <c r="A12" s="2"/>
      <c r="B12" s="380" t="s">
        <v>285</v>
      </c>
      <c r="C12" s="399"/>
      <c r="D12" s="391"/>
      <c r="E12" s="400"/>
      <c r="F12" s="401"/>
      <c r="G12" s="401"/>
      <c r="H12" s="402"/>
      <c r="I12" s="204"/>
      <c r="J12" s="204"/>
    </row>
    <row r="13" spans="1:14" ht="25.5" customHeight="1" x14ac:dyDescent="0.25">
      <c r="A13" s="2">
        <v>1</v>
      </c>
      <c r="B13" s="226" t="s">
        <v>153</v>
      </c>
      <c r="C13" s="227" t="s">
        <v>286</v>
      </c>
      <c r="D13" s="276" t="s">
        <v>287</v>
      </c>
      <c r="E13" s="224">
        <f>G13/F13</f>
        <v>93.137214137214144</v>
      </c>
      <c r="F13" s="207">
        <v>9.6199999999999992</v>
      </c>
      <c r="G13" s="207">
        <f>Прил.3!H12</f>
        <v>895.98</v>
      </c>
      <c r="H13" s="221">
        <f>G13/G14</f>
        <v>1</v>
      </c>
      <c r="I13" s="206">
        <f>ФОТр.тек.!E13</f>
        <v>444.39870291576</v>
      </c>
      <c r="J13" s="206">
        <f>ROUND(I13*E13,2)</f>
        <v>41390.06</v>
      </c>
    </row>
    <row r="14" spans="1:14" s="14" customFormat="1" ht="25.5" customHeight="1" x14ac:dyDescent="0.2">
      <c r="A14" s="2"/>
      <c r="B14" s="2"/>
      <c r="C14" s="200" t="s">
        <v>288</v>
      </c>
      <c r="D14" s="274" t="s">
        <v>287</v>
      </c>
      <c r="E14" s="205">
        <f>SUM(E13:E13)</f>
        <v>93.137214137214144</v>
      </c>
      <c r="F14" s="34"/>
      <c r="G14" s="34">
        <f>SUM(G13:G13)</f>
        <v>895.98</v>
      </c>
      <c r="H14" s="203">
        <v>1</v>
      </c>
      <c r="I14" s="204"/>
      <c r="J14" s="207">
        <f>SUM(J13:J13)</f>
        <v>41390.06</v>
      </c>
    </row>
    <row r="15" spans="1:14" s="14" customFormat="1" ht="14.25" customHeight="1" x14ac:dyDescent="0.2">
      <c r="A15" s="2"/>
      <c r="B15" s="399" t="s">
        <v>155</v>
      </c>
      <c r="C15" s="399"/>
      <c r="D15" s="391"/>
      <c r="E15" s="400"/>
      <c r="F15" s="401"/>
      <c r="G15" s="401"/>
      <c r="H15" s="402"/>
      <c r="I15" s="204"/>
      <c r="J15" s="204"/>
    </row>
    <row r="16" spans="1:14" s="14" customFormat="1" ht="14.25" customHeight="1" x14ac:dyDescent="0.2">
      <c r="A16" s="2">
        <v>2</v>
      </c>
      <c r="B16" s="2">
        <v>2</v>
      </c>
      <c r="C16" s="9" t="s">
        <v>155</v>
      </c>
      <c r="D16" s="274" t="s">
        <v>287</v>
      </c>
      <c r="E16" s="205">
        <v>6.3554000000000004</v>
      </c>
      <c r="F16" s="312">
        <f>G16/E16</f>
        <v>13.830758095477862</v>
      </c>
      <c r="G16" s="34">
        <f>Прил.3!H17</f>
        <v>87.9</v>
      </c>
      <c r="H16" s="203">
        <v>1</v>
      </c>
      <c r="I16" s="206">
        <f>ROUND(F16*Прил.10!D11,2)</f>
        <v>612.55999999999995</v>
      </c>
      <c r="J16" s="206">
        <f>ROUND(I16*E16,2)</f>
        <v>3893.06</v>
      </c>
    </row>
    <row r="17" spans="1:12" s="14" customFormat="1" ht="14.25" customHeight="1" x14ac:dyDescent="0.2">
      <c r="A17" s="2"/>
      <c r="B17" s="380" t="s">
        <v>157</v>
      </c>
      <c r="C17" s="399"/>
      <c r="D17" s="391"/>
      <c r="E17" s="400"/>
      <c r="F17" s="401"/>
      <c r="G17" s="401"/>
      <c r="H17" s="402"/>
      <c r="I17" s="204"/>
      <c r="J17" s="204"/>
    </row>
    <row r="18" spans="1:12" s="14" customFormat="1" ht="14.25" customHeight="1" x14ac:dyDescent="0.2">
      <c r="A18" s="2"/>
      <c r="B18" s="399" t="s">
        <v>289</v>
      </c>
      <c r="C18" s="399"/>
      <c r="D18" s="391"/>
      <c r="E18" s="400"/>
      <c r="F18" s="401"/>
      <c r="G18" s="401"/>
      <c r="H18" s="402"/>
      <c r="I18" s="204"/>
      <c r="J18" s="204"/>
    </row>
    <row r="19" spans="1:12" s="14" customFormat="1" ht="25.5" customHeight="1" x14ac:dyDescent="0.2">
      <c r="A19" s="2">
        <v>3</v>
      </c>
      <c r="B19" s="278" t="s">
        <v>158</v>
      </c>
      <c r="C19" s="279" t="s">
        <v>159</v>
      </c>
      <c r="D19" s="280" t="s">
        <v>160</v>
      </c>
      <c r="E19" s="304">
        <v>2.48</v>
      </c>
      <c r="F19" s="281">
        <v>197.01</v>
      </c>
      <c r="G19" s="223">
        <f>ROUND(E19*F19,2)</f>
        <v>488.58</v>
      </c>
      <c r="H19" s="225">
        <f>G19/$G$30</f>
        <v>0.38334431786084172</v>
      </c>
      <c r="I19" s="207">
        <f>ROUND(F19*Прил.10!$D$12,2)</f>
        <v>2653.72</v>
      </c>
      <c r="J19" s="207">
        <f>ROUND(I19*E19,2)</f>
        <v>6581.23</v>
      </c>
    </row>
    <row r="20" spans="1:12" s="14" customFormat="1" ht="25.5" customHeight="1" x14ac:dyDescent="0.2">
      <c r="A20" s="2">
        <v>4</v>
      </c>
      <c r="B20" s="278" t="s">
        <v>161</v>
      </c>
      <c r="C20" s="279" t="s">
        <v>162</v>
      </c>
      <c r="D20" s="280" t="s">
        <v>160</v>
      </c>
      <c r="E20" s="304">
        <v>3.8090999999999999</v>
      </c>
      <c r="F20" s="281">
        <v>111.99</v>
      </c>
      <c r="G20" s="223">
        <f>ROUND(E20*F20,2)</f>
        <v>426.58</v>
      </c>
      <c r="H20" s="225">
        <f>G20/$G$30</f>
        <v>0.33469855318080532</v>
      </c>
      <c r="I20" s="207">
        <f>ROUND(F20*Прил.10!$D$12,2)</f>
        <v>1508.51</v>
      </c>
      <c r="J20" s="207">
        <f>ROUND(I20*E20,2)</f>
        <v>5746.07</v>
      </c>
    </row>
    <row r="21" spans="1:12" s="14" customFormat="1" ht="25.5" customHeight="1" x14ac:dyDescent="0.2">
      <c r="A21" s="2">
        <v>5</v>
      </c>
      <c r="B21" s="278" t="s">
        <v>163</v>
      </c>
      <c r="C21" s="279" t="s">
        <v>164</v>
      </c>
      <c r="D21" s="280" t="s">
        <v>160</v>
      </c>
      <c r="E21" s="304">
        <v>2.8767999999999998</v>
      </c>
      <c r="F21" s="281">
        <v>65.709999999999994</v>
      </c>
      <c r="G21" s="223">
        <f>ROUND(E21*F21,2)</f>
        <v>189.03</v>
      </c>
      <c r="H21" s="225">
        <f>G21/$G$30</f>
        <v>0.14831465963656906</v>
      </c>
      <c r="I21" s="207">
        <f>ROUND(F21*Прил.10!$D$12,2)</f>
        <v>885.11</v>
      </c>
      <c r="J21" s="207">
        <f>ROUND(I21*E21,2)</f>
        <v>2546.2800000000002</v>
      </c>
    </row>
    <row r="22" spans="1:12" s="14" customFormat="1" ht="14.25" customHeight="1" x14ac:dyDescent="0.2">
      <c r="A22" s="2"/>
      <c r="B22" s="2"/>
      <c r="C22" s="9" t="s">
        <v>290</v>
      </c>
      <c r="D22" s="274"/>
      <c r="E22" s="205"/>
      <c r="F22" s="34"/>
      <c r="G22" s="34">
        <f>SUM(G19:G21)</f>
        <v>1104.19</v>
      </c>
      <c r="H22" s="203">
        <f>G22/G30</f>
        <v>0.86635753067821619</v>
      </c>
      <c r="I22" s="208"/>
      <c r="J22" s="34">
        <f>SUM(J19:J21)</f>
        <v>14873.58</v>
      </c>
    </row>
    <row r="23" spans="1:12" s="14" customFormat="1" ht="25.5" customHeight="1" outlineLevel="1" x14ac:dyDescent="0.2">
      <c r="A23" s="2">
        <v>6</v>
      </c>
      <c r="B23" s="278" t="s">
        <v>165</v>
      </c>
      <c r="C23" s="279" t="s">
        <v>166</v>
      </c>
      <c r="D23" s="280" t="s">
        <v>160</v>
      </c>
      <c r="E23" s="304">
        <v>17.000800000000002</v>
      </c>
      <c r="F23" s="281">
        <v>8.1</v>
      </c>
      <c r="G23" s="223">
        <f t="shared" ref="G23:G28" si="0">ROUND(E23*F23,2)</f>
        <v>137.71</v>
      </c>
      <c r="H23" s="225">
        <f t="shared" ref="H23:H28" si="1">G23/$G$30</f>
        <v>0.10804852022722281</v>
      </c>
      <c r="I23" s="207">
        <f>ROUND(F23*Прил.10!$D$12,2)</f>
        <v>109.11</v>
      </c>
      <c r="J23" s="207">
        <f t="shared" ref="J23:J28" si="2">ROUND(I23*E23,2)</f>
        <v>1854.96</v>
      </c>
    </row>
    <row r="24" spans="1:12" s="14" customFormat="1" ht="25.5" customHeight="1" outlineLevel="1" x14ac:dyDescent="0.2">
      <c r="A24" s="2">
        <v>7</v>
      </c>
      <c r="B24" s="278" t="s">
        <v>167</v>
      </c>
      <c r="C24" s="279" t="s">
        <v>168</v>
      </c>
      <c r="D24" s="280" t="s">
        <v>160</v>
      </c>
      <c r="E24" s="304">
        <v>4.6440000000000001</v>
      </c>
      <c r="F24" s="281">
        <v>3.28</v>
      </c>
      <c r="G24" s="223">
        <f t="shared" si="0"/>
        <v>15.23</v>
      </c>
      <c r="H24" s="225">
        <f t="shared" si="1"/>
        <v>1.1949596710918621E-2</v>
      </c>
      <c r="I24" s="207">
        <f>ROUND(F24*Прил.10!$D$12,2)</f>
        <v>44.18</v>
      </c>
      <c r="J24" s="207">
        <f t="shared" si="2"/>
        <v>205.17</v>
      </c>
    </row>
    <row r="25" spans="1:12" s="14" customFormat="1" ht="14.25" customHeight="1" outlineLevel="1" x14ac:dyDescent="0.2">
      <c r="A25" s="274">
        <v>8</v>
      </c>
      <c r="B25" s="278" t="s">
        <v>169</v>
      </c>
      <c r="C25" s="279" t="s">
        <v>170</v>
      </c>
      <c r="D25" s="280" t="s">
        <v>160</v>
      </c>
      <c r="E25" s="304">
        <v>3.9049999999999998</v>
      </c>
      <c r="F25" s="281">
        <v>2.08</v>
      </c>
      <c r="G25" s="223">
        <f t="shared" si="0"/>
        <v>8.1199999999999992</v>
      </c>
      <c r="H25" s="225">
        <f t="shared" si="1"/>
        <v>6.3710259548692832E-3</v>
      </c>
      <c r="I25" s="207">
        <f>ROUND(F25*Прил.10!$D$12,2)</f>
        <v>28.02</v>
      </c>
      <c r="J25" s="207">
        <f t="shared" si="2"/>
        <v>109.42</v>
      </c>
    </row>
    <row r="26" spans="1:12" s="14" customFormat="1" ht="38.25" customHeight="1" outlineLevel="1" x14ac:dyDescent="0.2">
      <c r="A26" s="274">
        <v>9</v>
      </c>
      <c r="B26" s="278" t="s">
        <v>171</v>
      </c>
      <c r="C26" s="279" t="s">
        <v>172</v>
      </c>
      <c r="D26" s="280" t="s">
        <v>160</v>
      </c>
      <c r="E26" s="304">
        <v>6.6299999999999998E-2</v>
      </c>
      <c r="F26" s="281">
        <v>70.010000000000005</v>
      </c>
      <c r="G26" s="223">
        <f t="shared" si="0"/>
        <v>4.6399999999999997</v>
      </c>
      <c r="H26" s="225">
        <f t="shared" si="1"/>
        <v>3.6405862599253051E-3</v>
      </c>
      <c r="I26" s="207">
        <f>ROUND(F26*Прил.10!$D$12,2)</f>
        <v>943.03</v>
      </c>
      <c r="J26" s="207">
        <f t="shared" si="2"/>
        <v>62.52</v>
      </c>
    </row>
    <row r="27" spans="1:12" s="14" customFormat="1" ht="25.5" customHeight="1" outlineLevel="1" x14ac:dyDescent="0.2">
      <c r="A27" s="274">
        <v>10</v>
      </c>
      <c r="B27" s="278" t="s">
        <v>173</v>
      </c>
      <c r="C27" s="279" t="s">
        <v>174</v>
      </c>
      <c r="D27" s="280" t="s">
        <v>160</v>
      </c>
      <c r="E27" s="304">
        <v>4.6440000000000001</v>
      </c>
      <c r="F27" s="281">
        <v>0.9</v>
      </c>
      <c r="G27" s="223">
        <f t="shared" si="0"/>
        <v>4.18</v>
      </c>
      <c r="H27" s="225">
        <f t="shared" si="1"/>
        <v>3.2796660703637444E-3</v>
      </c>
      <c r="I27" s="207">
        <f>ROUND(F27*Прил.10!$D$12,2)</f>
        <v>12.12</v>
      </c>
      <c r="J27" s="207">
        <f t="shared" si="2"/>
        <v>56.29</v>
      </c>
    </row>
    <row r="28" spans="1:12" s="14" customFormat="1" ht="14.25" customHeight="1" outlineLevel="1" x14ac:dyDescent="0.2">
      <c r="A28" s="274">
        <v>11</v>
      </c>
      <c r="B28" s="278" t="s">
        <v>175</v>
      </c>
      <c r="C28" s="279" t="s">
        <v>176</v>
      </c>
      <c r="D28" s="280" t="s">
        <v>160</v>
      </c>
      <c r="E28" s="304">
        <v>0.2379</v>
      </c>
      <c r="F28" s="281">
        <v>1.9</v>
      </c>
      <c r="G28" s="223">
        <f t="shared" si="0"/>
        <v>0.45</v>
      </c>
      <c r="H28" s="225">
        <f t="shared" si="1"/>
        <v>3.5307409848413522E-4</v>
      </c>
      <c r="I28" s="207">
        <f>ROUND(F28*Прил.10!$D$12,2)</f>
        <v>25.59</v>
      </c>
      <c r="J28" s="207">
        <f t="shared" si="2"/>
        <v>6.09</v>
      </c>
    </row>
    <row r="29" spans="1:12" s="14" customFormat="1" ht="14.25" customHeight="1" x14ac:dyDescent="0.2">
      <c r="A29" s="2"/>
      <c r="B29" s="2"/>
      <c r="C29" s="9" t="s">
        <v>291</v>
      </c>
      <c r="D29" s="274"/>
      <c r="E29" s="201"/>
      <c r="F29" s="34"/>
      <c r="G29" s="208">
        <f>SUM(G23:G28)</f>
        <v>170.32999999999998</v>
      </c>
      <c r="H29" s="209">
        <f>G29/G30</f>
        <v>0.13364246932178386</v>
      </c>
      <c r="I29" s="210"/>
      <c r="J29" s="210">
        <f>SUM(J23:J28)</f>
        <v>2294.4500000000003</v>
      </c>
    </row>
    <row r="30" spans="1:12" s="14" customFormat="1" ht="25.5" customHeight="1" x14ac:dyDescent="0.2">
      <c r="A30" s="2"/>
      <c r="B30" s="2"/>
      <c r="C30" s="200" t="s">
        <v>292</v>
      </c>
      <c r="D30" s="274"/>
      <c r="E30" s="201"/>
      <c r="F30" s="34"/>
      <c r="G30" s="34">
        <f>G29+G22</f>
        <v>1274.52</v>
      </c>
      <c r="H30" s="211">
        <v>1</v>
      </c>
      <c r="I30" s="212"/>
      <c r="J30" s="213">
        <f>J29+J22</f>
        <v>17168.03</v>
      </c>
    </row>
    <row r="31" spans="1:12" s="14" customFormat="1" ht="14.25" customHeight="1" x14ac:dyDescent="0.2">
      <c r="A31" s="2"/>
      <c r="B31" s="380" t="s">
        <v>43</v>
      </c>
      <c r="C31" s="380"/>
      <c r="D31" s="403"/>
      <c r="E31" s="404"/>
      <c r="F31" s="405"/>
      <c r="G31" s="405"/>
      <c r="H31" s="406"/>
      <c r="I31" s="204"/>
      <c r="J31" s="204"/>
    </row>
    <row r="32" spans="1:12" x14ac:dyDescent="0.25">
      <c r="A32" s="142"/>
      <c r="B32" s="399" t="s">
        <v>293</v>
      </c>
      <c r="C32" s="399"/>
      <c r="D32" s="391"/>
      <c r="E32" s="400"/>
      <c r="F32" s="401"/>
      <c r="G32" s="401"/>
      <c r="H32" s="402"/>
      <c r="I32" s="217"/>
      <c r="J32" s="217"/>
      <c r="K32" s="214"/>
      <c r="L32" s="214"/>
    </row>
    <row r="33" spans="1:12" s="14" customFormat="1" ht="25.5" customHeight="1" x14ac:dyDescent="0.2">
      <c r="A33" s="238">
        <v>12</v>
      </c>
      <c r="B33" s="278" t="s">
        <v>294</v>
      </c>
      <c r="C33" s="292" t="s">
        <v>295</v>
      </c>
      <c r="D33" s="302" t="s">
        <v>179</v>
      </c>
      <c r="E33" s="303">
        <v>1</v>
      </c>
      <c r="F33" s="314">
        <f>ROUND(I33/Прил.10!D14,2)</f>
        <v>3642.45</v>
      </c>
      <c r="G33" s="223">
        <f>ROUND(E33*F33,2)</f>
        <v>3642.45</v>
      </c>
      <c r="H33" s="209">
        <f>G33/$G$37</f>
        <v>0.76849314201441854</v>
      </c>
      <c r="I33" s="292">
        <v>22801.75</v>
      </c>
      <c r="J33" s="207">
        <f>ROUND(I33*E33,2)</f>
        <v>22801.75</v>
      </c>
    </row>
    <row r="34" spans="1:12" s="14" customFormat="1" ht="24.75" customHeight="1" x14ac:dyDescent="0.2">
      <c r="A34" s="238">
        <v>13</v>
      </c>
      <c r="B34" s="305" t="s">
        <v>180</v>
      </c>
      <c r="C34" s="292" t="s">
        <v>181</v>
      </c>
      <c r="D34" s="302" t="s">
        <v>182</v>
      </c>
      <c r="E34" s="303">
        <v>1</v>
      </c>
      <c r="F34" s="292">
        <v>1097.28</v>
      </c>
      <c r="G34" s="223">
        <f>ROUND(E34*F34,2)</f>
        <v>1097.28</v>
      </c>
      <c r="H34" s="209">
        <f>G34/$G$37</f>
        <v>0.23150685798558146</v>
      </c>
      <c r="I34" s="292">
        <f>ROUND(F34*Прил.10!$D$14,2)</f>
        <v>6868.97</v>
      </c>
      <c r="J34" s="207">
        <f>ROUND(I34*E34,2)</f>
        <v>6868.97</v>
      </c>
    </row>
    <row r="35" spans="1:12" x14ac:dyDescent="0.25">
      <c r="A35" s="232"/>
      <c r="B35" s="142"/>
      <c r="C35" s="143" t="s">
        <v>296</v>
      </c>
      <c r="D35" s="222"/>
      <c r="E35" s="272"/>
      <c r="F35" s="144"/>
      <c r="G35" s="170">
        <f>G33+G34</f>
        <v>4739.7299999999996</v>
      </c>
      <c r="H35" s="209">
        <f>G35/$G$37</f>
        <v>1</v>
      </c>
      <c r="I35" s="218"/>
      <c r="J35" s="170">
        <f>J33+J34</f>
        <v>29670.720000000001</v>
      </c>
      <c r="K35" s="214"/>
      <c r="L35" s="214"/>
    </row>
    <row r="36" spans="1:12" x14ac:dyDescent="0.25">
      <c r="A36" s="232"/>
      <c r="B36" s="309"/>
      <c r="C36" s="308" t="s">
        <v>297</v>
      </c>
      <c r="D36" s="311"/>
      <c r="E36" s="272"/>
      <c r="F36" s="310"/>
      <c r="G36" s="170">
        <v>0</v>
      </c>
      <c r="H36" s="209">
        <f>G36/$G$37</f>
        <v>0</v>
      </c>
      <c r="I36" s="218"/>
      <c r="J36" s="170">
        <v>0</v>
      </c>
      <c r="K36" s="214"/>
      <c r="L36" s="214"/>
    </row>
    <row r="37" spans="1:12" x14ac:dyDescent="0.25">
      <c r="A37" s="142"/>
      <c r="B37" s="142"/>
      <c r="C37" s="145" t="s">
        <v>298</v>
      </c>
      <c r="D37" s="275"/>
      <c r="E37" s="215"/>
      <c r="F37" s="144"/>
      <c r="G37" s="170">
        <f>G35+G36</f>
        <v>4739.7299999999996</v>
      </c>
      <c r="H37" s="209">
        <f>G37/$G$37</f>
        <v>1</v>
      </c>
      <c r="I37" s="218"/>
      <c r="J37" s="170">
        <f>J35+J36</f>
        <v>29670.720000000001</v>
      </c>
      <c r="K37" s="214"/>
      <c r="L37" s="214"/>
    </row>
    <row r="38" spans="1:12" ht="25.5" customHeight="1" x14ac:dyDescent="0.25">
      <c r="A38" s="142"/>
      <c r="B38" s="142"/>
      <c r="C38" s="143" t="s">
        <v>299</v>
      </c>
      <c r="D38" s="275"/>
      <c r="E38" s="219"/>
      <c r="F38" s="144"/>
      <c r="G38" s="170">
        <f>'Прил.6 Расчет ОБ'!G14</f>
        <v>4739.7299999999996</v>
      </c>
      <c r="H38" s="216"/>
      <c r="I38" s="218"/>
      <c r="J38" s="170">
        <f>J37</f>
        <v>29670.720000000001</v>
      </c>
      <c r="K38" s="214"/>
      <c r="L38" s="214"/>
    </row>
    <row r="39" spans="1:12" s="14" customFormat="1" ht="14.25" customHeight="1" x14ac:dyDescent="0.2">
      <c r="A39" s="2"/>
      <c r="B39" s="380" t="s">
        <v>183</v>
      </c>
      <c r="C39" s="380"/>
      <c r="D39" s="403"/>
      <c r="E39" s="404"/>
      <c r="F39" s="405"/>
      <c r="G39" s="405"/>
      <c r="H39" s="406"/>
      <c r="I39" s="204"/>
      <c r="J39" s="204"/>
    </row>
    <row r="40" spans="1:12" s="14" customFormat="1" ht="14.25" customHeight="1" x14ac:dyDescent="0.2">
      <c r="A40" s="230"/>
      <c r="B40" s="395" t="s">
        <v>300</v>
      </c>
      <c r="C40" s="395"/>
      <c r="D40" s="392"/>
      <c r="E40" s="396"/>
      <c r="F40" s="397"/>
      <c r="G40" s="397"/>
      <c r="H40" s="398"/>
      <c r="I40" s="231"/>
      <c r="J40" s="231"/>
    </row>
    <row r="41" spans="1:12" s="14" customFormat="1" ht="51" customHeight="1" x14ac:dyDescent="0.2">
      <c r="A41" s="238">
        <v>14</v>
      </c>
      <c r="B41" s="278" t="s">
        <v>184</v>
      </c>
      <c r="C41" s="279" t="s">
        <v>185</v>
      </c>
      <c r="D41" s="280" t="s">
        <v>186</v>
      </c>
      <c r="E41" s="304">
        <v>0.61199999999999999</v>
      </c>
      <c r="F41" s="281">
        <v>8128</v>
      </c>
      <c r="G41" s="223">
        <f>ROUND(E41*F41,2)</f>
        <v>4974.34</v>
      </c>
      <c r="H41" s="209">
        <f t="shared" ref="H41:H76" si="3">G41/$G$76</f>
        <v>0.41595575483199848</v>
      </c>
      <c r="I41" s="207">
        <f>ROUND(F41*Прил.10!$D$13,2)</f>
        <v>65349.120000000003</v>
      </c>
      <c r="J41" s="207">
        <f>ROUND(I41*E41,2)</f>
        <v>39993.660000000003</v>
      </c>
    </row>
    <row r="42" spans="1:12" s="14" customFormat="1" ht="38.25" customHeight="1" x14ac:dyDescent="0.2">
      <c r="A42" s="238">
        <v>15</v>
      </c>
      <c r="B42" s="278" t="s">
        <v>187</v>
      </c>
      <c r="C42" s="279" t="s">
        <v>188</v>
      </c>
      <c r="D42" s="280" t="s">
        <v>186</v>
      </c>
      <c r="E42" s="304">
        <v>0.58799999999999997</v>
      </c>
      <c r="F42" s="281">
        <v>5999.99</v>
      </c>
      <c r="G42" s="223">
        <f>ROUND(E42*F42,2)</f>
        <v>3527.99</v>
      </c>
      <c r="H42" s="209">
        <f t="shared" si="3"/>
        <v>0.29501154796208989</v>
      </c>
      <c r="I42" s="207">
        <f>ROUND(F42*Прил.10!$D$13,2)</f>
        <v>48239.92</v>
      </c>
      <c r="J42" s="207">
        <f>ROUND(I42*E42,2)</f>
        <v>28365.07</v>
      </c>
    </row>
    <row r="43" spans="1:12" s="14" customFormat="1" ht="51" customHeight="1" x14ac:dyDescent="0.2">
      <c r="A43" s="238">
        <v>16</v>
      </c>
      <c r="B43" s="278" t="s">
        <v>189</v>
      </c>
      <c r="C43" s="279" t="s">
        <v>190</v>
      </c>
      <c r="D43" s="280" t="s">
        <v>191</v>
      </c>
      <c r="E43" s="304">
        <v>110</v>
      </c>
      <c r="F43" s="281">
        <v>8.2799999999999994</v>
      </c>
      <c r="G43" s="223">
        <f>ROUND(E43*F43,2)</f>
        <v>910.8</v>
      </c>
      <c r="H43" s="209">
        <f t="shared" si="3"/>
        <v>7.6161360401778774E-2</v>
      </c>
      <c r="I43" s="207">
        <f>ROUND(F43*Прил.10!$D$13,2)</f>
        <v>66.569999999999993</v>
      </c>
      <c r="J43" s="207">
        <f>ROUND(I43*E43,2)</f>
        <v>7322.7</v>
      </c>
    </row>
    <row r="44" spans="1:12" s="14" customFormat="1" ht="14.25" customHeight="1" x14ac:dyDescent="0.2">
      <c r="A44" s="238">
        <v>17</v>
      </c>
      <c r="B44" s="278" t="s">
        <v>192</v>
      </c>
      <c r="C44" s="279" t="s">
        <v>193</v>
      </c>
      <c r="D44" s="280" t="s">
        <v>194</v>
      </c>
      <c r="E44" s="304">
        <v>1</v>
      </c>
      <c r="F44" s="281">
        <v>682</v>
      </c>
      <c r="G44" s="223">
        <f>ROUND(E44*F44,2)</f>
        <v>682</v>
      </c>
      <c r="H44" s="209">
        <f t="shared" si="3"/>
        <v>5.7029037982008257E-2</v>
      </c>
      <c r="I44" s="207">
        <f>ROUND(F44*Прил.10!$D$13,2)</f>
        <v>5483.28</v>
      </c>
      <c r="J44" s="207">
        <f>ROUND(I44*E44,2)</f>
        <v>5483.28</v>
      </c>
    </row>
    <row r="45" spans="1:12" s="14" customFormat="1" ht="25.5" customHeight="1" x14ac:dyDescent="0.2">
      <c r="A45" s="238">
        <v>18</v>
      </c>
      <c r="B45" s="278" t="s">
        <v>195</v>
      </c>
      <c r="C45" s="279" t="s">
        <v>196</v>
      </c>
      <c r="D45" s="280" t="s">
        <v>197</v>
      </c>
      <c r="E45" s="304">
        <v>0.03</v>
      </c>
      <c r="F45" s="281">
        <v>17230.189999999999</v>
      </c>
      <c r="G45" s="223">
        <f>ROUND(E45*F45,2)</f>
        <v>516.91</v>
      </c>
      <c r="H45" s="209">
        <f t="shared" si="3"/>
        <v>4.3224164257008632E-2</v>
      </c>
      <c r="I45" s="207">
        <f>ROUND(F45*Прил.10!$D$13,2)</f>
        <v>138530.73000000001</v>
      </c>
      <c r="J45" s="207">
        <f>ROUND(I45*E45,2)</f>
        <v>4155.92</v>
      </c>
    </row>
    <row r="46" spans="1:12" s="14" customFormat="1" ht="14.25" customHeight="1" x14ac:dyDescent="0.2">
      <c r="A46" s="232"/>
      <c r="B46" s="233"/>
      <c r="C46" s="234" t="s">
        <v>301</v>
      </c>
      <c r="D46" s="235"/>
      <c r="E46" s="273"/>
      <c r="F46" s="236"/>
      <c r="G46" s="237">
        <f>SUM(G41:G45)</f>
        <v>10612.039999999999</v>
      </c>
      <c r="H46" s="209">
        <f t="shared" si="3"/>
        <v>0.88738186543488395</v>
      </c>
      <c r="I46" s="207"/>
      <c r="J46" s="237">
        <f>SUM(J41:J45)</f>
        <v>85320.63</v>
      </c>
    </row>
    <row r="47" spans="1:12" s="14" customFormat="1" ht="14.25" customHeight="1" outlineLevel="1" x14ac:dyDescent="0.2">
      <c r="A47" s="238">
        <v>19</v>
      </c>
      <c r="B47" s="278" t="s">
        <v>198</v>
      </c>
      <c r="C47" s="279" t="s">
        <v>199</v>
      </c>
      <c r="D47" s="280" t="s">
        <v>200</v>
      </c>
      <c r="E47" s="304">
        <v>1.1000000000000001</v>
      </c>
      <c r="F47" s="281">
        <v>277.5</v>
      </c>
      <c r="G47" s="223">
        <f t="shared" ref="G47:G74" si="4">ROUND(E47*F47,2)</f>
        <v>305.25</v>
      </c>
      <c r="H47" s="209">
        <f t="shared" si="3"/>
        <v>2.5525093612914988E-2</v>
      </c>
      <c r="I47" s="207">
        <f>ROUND(F47*Прил.10!$D$13,2)</f>
        <v>2231.1</v>
      </c>
      <c r="J47" s="207">
        <f t="shared" ref="J47:J74" si="5">ROUND(I47*E47,2)</f>
        <v>2454.21</v>
      </c>
    </row>
    <row r="48" spans="1:12" s="14" customFormat="1" ht="38.25" customHeight="1" outlineLevel="1" x14ac:dyDescent="0.2">
      <c r="A48" s="238">
        <v>20</v>
      </c>
      <c r="B48" s="278" t="s">
        <v>201</v>
      </c>
      <c r="C48" s="279" t="s">
        <v>202</v>
      </c>
      <c r="D48" s="280" t="s">
        <v>186</v>
      </c>
      <c r="E48" s="304">
        <v>5.6649999999999999E-2</v>
      </c>
      <c r="F48" s="281">
        <v>5000</v>
      </c>
      <c r="G48" s="223">
        <f t="shared" si="4"/>
        <v>283.25</v>
      </c>
      <c r="H48" s="209">
        <f t="shared" si="3"/>
        <v>2.3685447226398593E-2</v>
      </c>
      <c r="I48" s="207">
        <f>ROUND(F48*Прил.10!$D$13,2)</f>
        <v>40200</v>
      </c>
      <c r="J48" s="207">
        <f t="shared" si="5"/>
        <v>2277.33</v>
      </c>
    </row>
    <row r="49" spans="1:10" s="14" customFormat="1" ht="25.5" customHeight="1" outlineLevel="1" x14ac:dyDescent="0.2">
      <c r="A49" s="238">
        <v>21</v>
      </c>
      <c r="B49" s="278" t="s">
        <v>203</v>
      </c>
      <c r="C49" s="279" t="s">
        <v>204</v>
      </c>
      <c r="D49" s="280" t="s">
        <v>186</v>
      </c>
      <c r="E49" s="304">
        <v>0.02</v>
      </c>
      <c r="F49" s="281">
        <v>11500</v>
      </c>
      <c r="G49" s="223">
        <f t="shared" si="4"/>
        <v>230</v>
      </c>
      <c r="H49" s="209">
        <f t="shared" si="3"/>
        <v>1.9232666768125954E-2</v>
      </c>
      <c r="I49" s="207">
        <f>ROUND(F49*Прил.10!$D$13,2)</f>
        <v>92460</v>
      </c>
      <c r="J49" s="207">
        <f t="shared" si="5"/>
        <v>1849.2</v>
      </c>
    </row>
    <row r="50" spans="1:10" s="14" customFormat="1" ht="38.25" customHeight="1" outlineLevel="1" x14ac:dyDescent="0.2">
      <c r="A50" s="238">
        <v>22</v>
      </c>
      <c r="B50" s="278" t="s">
        <v>205</v>
      </c>
      <c r="C50" s="279" t="s">
        <v>206</v>
      </c>
      <c r="D50" s="280" t="s">
        <v>194</v>
      </c>
      <c r="E50" s="304">
        <v>0.29099999999999998</v>
      </c>
      <c r="F50" s="281">
        <v>600</v>
      </c>
      <c r="G50" s="223">
        <f t="shared" si="4"/>
        <v>174.6</v>
      </c>
      <c r="H50" s="209">
        <f t="shared" si="3"/>
        <v>1.4600102685716484E-2</v>
      </c>
      <c r="I50" s="207">
        <f>ROUND(F50*Прил.10!$D$13,2)</f>
        <v>4824</v>
      </c>
      <c r="J50" s="207">
        <f t="shared" si="5"/>
        <v>1403.78</v>
      </c>
    </row>
    <row r="51" spans="1:10" s="14" customFormat="1" ht="25.5" customHeight="1" outlineLevel="1" x14ac:dyDescent="0.2">
      <c r="A51" s="238">
        <v>23</v>
      </c>
      <c r="B51" s="278" t="s">
        <v>207</v>
      </c>
      <c r="C51" s="279" t="s">
        <v>208</v>
      </c>
      <c r="D51" s="280" t="s">
        <v>197</v>
      </c>
      <c r="E51" s="304">
        <v>0.1</v>
      </c>
      <c r="F51" s="281">
        <v>887.03</v>
      </c>
      <c r="G51" s="223">
        <f t="shared" si="4"/>
        <v>88.7</v>
      </c>
      <c r="H51" s="209">
        <f t="shared" si="3"/>
        <v>7.4171197492729221E-3</v>
      </c>
      <c r="I51" s="207">
        <f>ROUND(F51*Прил.10!$D$13,2)</f>
        <v>7131.72</v>
      </c>
      <c r="J51" s="207">
        <f t="shared" si="5"/>
        <v>713.17</v>
      </c>
    </row>
    <row r="52" spans="1:10" s="14" customFormat="1" ht="25.5" customHeight="1" outlineLevel="1" x14ac:dyDescent="0.2">
      <c r="A52" s="238">
        <v>24</v>
      </c>
      <c r="B52" s="278" t="s">
        <v>209</v>
      </c>
      <c r="C52" s="279" t="s">
        <v>210</v>
      </c>
      <c r="D52" s="280" t="s">
        <v>186</v>
      </c>
      <c r="E52" s="304">
        <v>6.9999999999999999E-4</v>
      </c>
      <c r="F52" s="281">
        <v>86162.5</v>
      </c>
      <c r="G52" s="223">
        <f t="shared" si="4"/>
        <v>60.31</v>
      </c>
      <c r="H52" s="209">
        <f t="shared" si="3"/>
        <v>5.0431397077638097E-3</v>
      </c>
      <c r="I52" s="207">
        <f>ROUND(F52*Прил.10!$D$13,2)</f>
        <v>692746.5</v>
      </c>
      <c r="J52" s="207">
        <f t="shared" si="5"/>
        <v>484.92</v>
      </c>
    </row>
    <row r="53" spans="1:10" s="14" customFormat="1" ht="25.5" customHeight="1" outlineLevel="1" x14ac:dyDescent="0.2">
      <c r="A53" s="238">
        <v>25</v>
      </c>
      <c r="B53" s="278" t="s">
        <v>211</v>
      </c>
      <c r="C53" s="279" t="s">
        <v>212</v>
      </c>
      <c r="D53" s="280" t="s">
        <v>197</v>
      </c>
      <c r="E53" s="304">
        <v>3.1E-2</v>
      </c>
      <c r="F53" s="281">
        <v>1335.52</v>
      </c>
      <c r="G53" s="223">
        <f t="shared" si="4"/>
        <v>41.4</v>
      </c>
      <c r="H53" s="209">
        <f t="shared" si="3"/>
        <v>3.4618800182626714E-3</v>
      </c>
      <c r="I53" s="207">
        <f>ROUND(F53*Прил.10!$D$13,2)</f>
        <v>10737.58</v>
      </c>
      <c r="J53" s="207">
        <f t="shared" si="5"/>
        <v>332.86</v>
      </c>
    </row>
    <row r="54" spans="1:10" s="14" customFormat="1" ht="25.5" customHeight="1" outlineLevel="1" x14ac:dyDescent="0.2">
      <c r="A54" s="238">
        <v>26</v>
      </c>
      <c r="B54" s="278" t="s">
        <v>213</v>
      </c>
      <c r="C54" s="279" t="s">
        <v>214</v>
      </c>
      <c r="D54" s="280" t="s">
        <v>186</v>
      </c>
      <c r="E54" s="304">
        <v>2.3999999999999998E-3</v>
      </c>
      <c r="F54" s="281">
        <v>12430</v>
      </c>
      <c r="G54" s="223">
        <f t="shared" si="4"/>
        <v>29.83</v>
      </c>
      <c r="H54" s="209">
        <f t="shared" si="3"/>
        <v>2.4943932595356396E-3</v>
      </c>
      <c r="I54" s="207">
        <f>ROUND(F54*Прил.10!$D$13,2)</f>
        <v>99937.2</v>
      </c>
      <c r="J54" s="207">
        <f t="shared" si="5"/>
        <v>239.85</v>
      </c>
    </row>
    <row r="55" spans="1:10" s="14" customFormat="1" ht="14.25" customHeight="1" outlineLevel="1" x14ac:dyDescent="0.2">
      <c r="A55" s="238">
        <v>27</v>
      </c>
      <c r="B55" s="278" t="s">
        <v>215</v>
      </c>
      <c r="C55" s="279" t="s">
        <v>216</v>
      </c>
      <c r="D55" s="280" t="s">
        <v>200</v>
      </c>
      <c r="E55" s="304">
        <v>0.55000000000000004</v>
      </c>
      <c r="F55" s="281">
        <v>39</v>
      </c>
      <c r="G55" s="223">
        <f t="shared" si="4"/>
        <v>21.45</v>
      </c>
      <c r="H55" s="209">
        <f t="shared" si="3"/>
        <v>1.7936552268534856E-3</v>
      </c>
      <c r="I55" s="207">
        <f>ROUND(F55*Прил.10!$D$13,2)</f>
        <v>313.56</v>
      </c>
      <c r="J55" s="207">
        <f t="shared" si="5"/>
        <v>172.46</v>
      </c>
    </row>
    <row r="56" spans="1:10" s="14" customFormat="1" ht="38.25" customHeight="1" outlineLevel="1" x14ac:dyDescent="0.2">
      <c r="A56" s="238">
        <v>28</v>
      </c>
      <c r="B56" s="278" t="s">
        <v>217</v>
      </c>
      <c r="C56" s="279" t="s">
        <v>218</v>
      </c>
      <c r="D56" s="280" t="s">
        <v>194</v>
      </c>
      <c r="E56" s="304">
        <v>3.1E-2</v>
      </c>
      <c r="F56" s="281">
        <v>684</v>
      </c>
      <c r="G56" s="223">
        <f t="shared" si="4"/>
        <v>21.2</v>
      </c>
      <c r="H56" s="209">
        <f t="shared" si="3"/>
        <v>1.7727501542794356E-3</v>
      </c>
      <c r="I56" s="207">
        <f>ROUND(F56*Прил.10!$D$13,2)</f>
        <v>5499.36</v>
      </c>
      <c r="J56" s="207">
        <f t="shared" si="5"/>
        <v>170.48</v>
      </c>
    </row>
    <row r="57" spans="1:10" s="14" customFormat="1" ht="14.25" customHeight="1" outlineLevel="1" x14ac:dyDescent="0.2">
      <c r="A57" s="238">
        <v>29</v>
      </c>
      <c r="B57" s="278" t="s">
        <v>219</v>
      </c>
      <c r="C57" s="279" t="s">
        <v>220</v>
      </c>
      <c r="D57" s="280" t="s">
        <v>221</v>
      </c>
      <c r="E57" s="304">
        <v>1.905</v>
      </c>
      <c r="F57" s="281">
        <v>9.0399999999999991</v>
      </c>
      <c r="G57" s="223">
        <f t="shared" si="4"/>
        <v>17.22</v>
      </c>
      <c r="H57" s="209">
        <f t="shared" si="3"/>
        <v>1.4399413989005603E-3</v>
      </c>
      <c r="I57" s="207">
        <f>ROUND(F57*Прил.10!$D$13,2)</f>
        <v>72.680000000000007</v>
      </c>
      <c r="J57" s="207">
        <f t="shared" si="5"/>
        <v>138.46</v>
      </c>
    </row>
    <row r="58" spans="1:10" s="14" customFormat="1" ht="25.5" customHeight="1" outlineLevel="1" x14ac:dyDescent="0.2">
      <c r="A58" s="238">
        <v>30</v>
      </c>
      <c r="B58" s="278" t="s">
        <v>222</v>
      </c>
      <c r="C58" s="279" t="s">
        <v>223</v>
      </c>
      <c r="D58" s="280" t="s">
        <v>224</v>
      </c>
      <c r="E58" s="304">
        <v>14.13885</v>
      </c>
      <c r="F58" s="281">
        <v>1</v>
      </c>
      <c r="G58" s="223">
        <f t="shared" si="4"/>
        <v>14.14</v>
      </c>
      <c r="H58" s="209">
        <f t="shared" si="3"/>
        <v>1.1823909047882651E-3</v>
      </c>
      <c r="I58" s="207">
        <f>ROUND(F58*Прил.10!$D$13,2)</f>
        <v>8.0399999999999991</v>
      </c>
      <c r="J58" s="207">
        <f t="shared" si="5"/>
        <v>113.68</v>
      </c>
    </row>
    <row r="59" spans="1:10" s="14" customFormat="1" ht="25.5" customHeight="1" outlineLevel="1" x14ac:dyDescent="0.2">
      <c r="A59" s="238">
        <v>31</v>
      </c>
      <c r="B59" s="278" t="s">
        <v>225</v>
      </c>
      <c r="C59" s="279" t="s">
        <v>226</v>
      </c>
      <c r="D59" s="280" t="s">
        <v>221</v>
      </c>
      <c r="E59" s="304">
        <v>1.3260000000000001</v>
      </c>
      <c r="F59" s="281">
        <v>10.57</v>
      </c>
      <c r="G59" s="223">
        <f t="shared" si="4"/>
        <v>14.02</v>
      </c>
      <c r="H59" s="209">
        <f t="shared" si="3"/>
        <v>1.1723564699527211E-3</v>
      </c>
      <c r="I59" s="207">
        <f>ROUND(F59*Прил.10!$D$13,2)</f>
        <v>84.98</v>
      </c>
      <c r="J59" s="207">
        <f t="shared" si="5"/>
        <v>112.68</v>
      </c>
    </row>
    <row r="60" spans="1:10" s="14" customFormat="1" ht="25.5" customHeight="1" outlineLevel="1" x14ac:dyDescent="0.2">
      <c r="A60" s="238">
        <v>32</v>
      </c>
      <c r="B60" s="278" t="s">
        <v>227</v>
      </c>
      <c r="C60" s="279" t="s">
        <v>228</v>
      </c>
      <c r="D60" s="280" t="s">
        <v>179</v>
      </c>
      <c r="E60" s="304">
        <v>0.05</v>
      </c>
      <c r="F60" s="281">
        <v>266.67</v>
      </c>
      <c r="G60" s="223">
        <f t="shared" si="4"/>
        <v>13.33</v>
      </c>
      <c r="H60" s="209">
        <f t="shared" si="3"/>
        <v>1.1146584696483434E-3</v>
      </c>
      <c r="I60" s="207">
        <f>ROUND(F60*Прил.10!$D$13,2)</f>
        <v>2144.0300000000002</v>
      </c>
      <c r="J60" s="207">
        <f t="shared" si="5"/>
        <v>107.2</v>
      </c>
    </row>
    <row r="61" spans="1:10" s="14" customFormat="1" ht="14.25" customHeight="1" outlineLevel="1" x14ac:dyDescent="0.2">
      <c r="A61" s="238">
        <v>33</v>
      </c>
      <c r="B61" s="278" t="s">
        <v>229</v>
      </c>
      <c r="C61" s="279" t="s">
        <v>230</v>
      </c>
      <c r="D61" s="280" t="s">
        <v>179</v>
      </c>
      <c r="E61" s="304">
        <v>11</v>
      </c>
      <c r="F61" s="281">
        <v>0.71</v>
      </c>
      <c r="G61" s="223">
        <f t="shared" si="4"/>
        <v>7.81</v>
      </c>
      <c r="H61" s="209">
        <f t="shared" si="3"/>
        <v>6.5307446721332035E-4</v>
      </c>
      <c r="I61" s="207">
        <f>ROUND(F61*Прил.10!$D$13,2)</f>
        <v>5.71</v>
      </c>
      <c r="J61" s="207">
        <f t="shared" si="5"/>
        <v>62.81</v>
      </c>
    </row>
    <row r="62" spans="1:10" s="14" customFormat="1" ht="14.25" customHeight="1" outlineLevel="1" x14ac:dyDescent="0.2">
      <c r="A62" s="238">
        <v>34</v>
      </c>
      <c r="B62" s="278" t="s">
        <v>231</v>
      </c>
      <c r="C62" s="279" t="s">
        <v>232</v>
      </c>
      <c r="D62" s="280" t="s">
        <v>186</v>
      </c>
      <c r="E62" s="304">
        <v>3.7199999999999999E-4</v>
      </c>
      <c r="F62" s="281">
        <v>12430</v>
      </c>
      <c r="G62" s="223">
        <f t="shared" si="4"/>
        <v>4.62</v>
      </c>
      <c r="H62" s="209">
        <f t="shared" si="3"/>
        <v>3.8632574116844305E-4</v>
      </c>
      <c r="I62" s="207">
        <f>ROUND(F62*Прил.10!$D$13,2)</f>
        <v>99937.2</v>
      </c>
      <c r="J62" s="207">
        <f t="shared" si="5"/>
        <v>37.18</v>
      </c>
    </row>
    <row r="63" spans="1:10" s="14" customFormat="1" ht="14.25" customHeight="1" outlineLevel="1" x14ac:dyDescent="0.2">
      <c r="A63" s="238">
        <v>35</v>
      </c>
      <c r="B63" s="278" t="s">
        <v>233</v>
      </c>
      <c r="C63" s="279" t="s">
        <v>234</v>
      </c>
      <c r="D63" s="280" t="s">
        <v>186</v>
      </c>
      <c r="E63" s="304">
        <v>4.9799999999999996E-4</v>
      </c>
      <c r="F63" s="281">
        <v>7826.9</v>
      </c>
      <c r="G63" s="223">
        <f t="shared" si="4"/>
        <v>3.9</v>
      </c>
      <c r="H63" s="209">
        <f t="shared" si="3"/>
        <v>3.261191321551792E-4</v>
      </c>
      <c r="I63" s="207">
        <f>ROUND(F63*Прил.10!$D$13,2)</f>
        <v>62928.28</v>
      </c>
      <c r="J63" s="207">
        <f t="shared" si="5"/>
        <v>31.34</v>
      </c>
    </row>
    <row r="64" spans="1:10" s="14" customFormat="1" ht="14.25" customHeight="1" outlineLevel="1" x14ac:dyDescent="0.2">
      <c r="A64" s="238">
        <v>36</v>
      </c>
      <c r="B64" s="278" t="s">
        <v>235</v>
      </c>
      <c r="C64" s="279" t="s">
        <v>236</v>
      </c>
      <c r="D64" s="280" t="s">
        <v>237</v>
      </c>
      <c r="E64" s="304">
        <v>2.5260000000000001E-2</v>
      </c>
      <c r="F64" s="281">
        <v>120</v>
      </c>
      <c r="G64" s="223">
        <f t="shared" si="4"/>
        <v>3.03</v>
      </c>
      <c r="H64" s="209">
        <f t="shared" si="3"/>
        <v>2.5336947959748535E-4</v>
      </c>
      <c r="I64" s="207">
        <f>ROUND(F64*Прил.10!$D$13,2)</f>
        <v>964.8</v>
      </c>
      <c r="J64" s="207">
        <f t="shared" si="5"/>
        <v>24.37</v>
      </c>
    </row>
    <row r="65" spans="1:10" s="14" customFormat="1" ht="14.25" customHeight="1" outlineLevel="1" x14ac:dyDescent="0.2">
      <c r="A65" s="238">
        <v>37</v>
      </c>
      <c r="B65" s="278" t="s">
        <v>238</v>
      </c>
      <c r="C65" s="279" t="s">
        <v>239</v>
      </c>
      <c r="D65" s="280" t="s">
        <v>240</v>
      </c>
      <c r="E65" s="304">
        <v>1.0999999999999999E-2</v>
      </c>
      <c r="F65" s="281">
        <v>270</v>
      </c>
      <c r="G65" s="223">
        <f t="shared" si="4"/>
        <v>2.97</v>
      </c>
      <c r="H65" s="209">
        <f t="shared" si="3"/>
        <v>2.483522621797134E-4</v>
      </c>
      <c r="I65" s="207">
        <f>ROUND(F65*Прил.10!$D$13,2)</f>
        <v>2170.8000000000002</v>
      </c>
      <c r="J65" s="207">
        <f t="shared" si="5"/>
        <v>23.88</v>
      </c>
    </row>
    <row r="66" spans="1:10" s="14" customFormat="1" ht="14.25" customHeight="1" outlineLevel="1" x14ac:dyDescent="0.2">
      <c r="A66" s="238">
        <v>38</v>
      </c>
      <c r="B66" s="278" t="s">
        <v>241</v>
      </c>
      <c r="C66" s="279" t="s">
        <v>242</v>
      </c>
      <c r="D66" s="280" t="s">
        <v>186</v>
      </c>
      <c r="E66" s="304">
        <v>2.9999999999999997E-4</v>
      </c>
      <c r="F66" s="281">
        <v>9424</v>
      </c>
      <c r="G66" s="223">
        <f t="shared" si="4"/>
        <v>2.83</v>
      </c>
      <c r="H66" s="209">
        <f t="shared" si="3"/>
        <v>2.3664542153824543E-4</v>
      </c>
      <c r="I66" s="207">
        <f>ROUND(F66*Прил.10!$D$13,2)</f>
        <v>75768.960000000006</v>
      </c>
      <c r="J66" s="207">
        <f t="shared" si="5"/>
        <v>22.73</v>
      </c>
    </row>
    <row r="67" spans="1:10" s="14" customFormat="1" ht="38.25" customHeight="1" outlineLevel="1" x14ac:dyDescent="0.2">
      <c r="A67" s="238">
        <v>39</v>
      </c>
      <c r="B67" s="278" t="s">
        <v>243</v>
      </c>
      <c r="C67" s="279" t="s">
        <v>244</v>
      </c>
      <c r="D67" s="280" t="s">
        <v>194</v>
      </c>
      <c r="E67" s="304">
        <v>5.0000000000000001E-3</v>
      </c>
      <c r="F67" s="281">
        <v>558.33000000000004</v>
      </c>
      <c r="G67" s="223">
        <f t="shared" si="4"/>
        <v>2.79</v>
      </c>
      <c r="H67" s="209">
        <f t="shared" si="3"/>
        <v>2.3330060992639743E-4</v>
      </c>
      <c r="I67" s="207">
        <f>ROUND(F67*Прил.10!$D$13,2)</f>
        <v>4488.97</v>
      </c>
      <c r="J67" s="207">
        <f t="shared" si="5"/>
        <v>22.44</v>
      </c>
    </row>
    <row r="68" spans="1:10" s="14" customFormat="1" ht="25.5" customHeight="1" outlineLevel="1" x14ac:dyDescent="0.2">
      <c r="A68" s="238">
        <v>40</v>
      </c>
      <c r="B68" s="278" t="s">
        <v>245</v>
      </c>
      <c r="C68" s="279" t="s">
        <v>246</v>
      </c>
      <c r="D68" s="280" t="s">
        <v>240</v>
      </c>
      <c r="E68" s="304">
        <v>1.06E-3</v>
      </c>
      <c r="F68" s="281">
        <v>1740.2</v>
      </c>
      <c r="G68" s="223">
        <f t="shared" si="4"/>
        <v>1.84</v>
      </c>
      <c r="H68" s="209">
        <f t="shared" si="3"/>
        <v>1.5386133414500763E-4</v>
      </c>
      <c r="I68" s="207">
        <f>ROUND(F68*Прил.10!$D$13,2)</f>
        <v>13991.21</v>
      </c>
      <c r="J68" s="207">
        <f t="shared" si="5"/>
        <v>14.83</v>
      </c>
    </row>
    <row r="69" spans="1:10" s="14" customFormat="1" ht="14.25" customHeight="1" outlineLevel="1" x14ac:dyDescent="0.2">
      <c r="A69" s="238">
        <v>41</v>
      </c>
      <c r="B69" s="278" t="s">
        <v>247</v>
      </c>
      <c r="C69" s="279" t="s">
        <v>248</v>
      </c>
      <c r="D69" s="280" t="s">
        <v>221</v>
      </c>
      <c r="E69" s="304">
        <v>0.03</v>
      </c>
      <c r="F69" s="281">
        <v>28.6</v>
      </c>
      <c r="G69" s="223">
        <f t="shared" si="4"/>
        <v>0.86</v>
      </c>
      <c r="H69" s="209">
        <f t="shared" si="3"/>
        <v>7.1913449654731825E-5</v>
      </c>
      <c r="I69" s="207">
        <f>ROUND(F69*Прил.10!$D$13,2)</f>
        <v>229.94</v>
      </c>
      <c r="J69" s="207">
        <f t="shared" si="5"/>
        <v>6.9</v>
      </c>
    </row>
    <row r="70" spans="1:10" s="14" customFormat="1" ht="14.25" customHeight="1" outlineLevel="1" x14ac:dyDescent="0.2">
      <c r="A70" s="238">
        <v>42</v>
      </c>
      <c r="B70" s="278" t="s">
        <v>249</v>
      </c>
      <c r="C70" s="279" t="s">
        <v>250</v>
      </c>
      <c r="D70" s="280" t="s">
        <v>251</v>
      </c>
      <c r="E70" s="304">
        <v>4.0000000000000001E-3</v>
      </c>
      <c r="F70" s="281">
        <v>110</v>
      </c>
      <c r="G70" s="223">
        <f t="shared" si="4"/>
        <v>0.44</v>
      </c>
      <c r="H70" s="209">
        <f t="shared" si="3"/>
        <v>3.6792927730327913E-5</v>
      </c>
      <c r="I70" s="207">
        <f>ROUND(F70*Прил.10!$D$13,2)</f>
        <v>884.4</v>
      </c>
      <c r="J70" s="207">
        <f t="shared" si="5"/>
        <v>3.54</v>
      </c>
    </row>
    <row r="71" spans="1:10" s="14" customFormat="1" ht="38.25" customHeight="1" outlineLevel="1" x14ac:dyDescent="0.2">
      <c r="A71" s="238">
        <v>43</v>
      </c>
      <c r="B71" s="278" t="s">
        <v>252</v>
      </c>
      <c r="C71" s="279" t="s">
        <v>253</v>
      </c>
      <c r="D71" s="280" t="s">
        <v>186</v>
      </c>
      <c r="E71" s="304">
        <v>8.9999999999999998E-4</v>
      </c>
      <c r="F71" s="281">
        <v>480</v>
      </c>
      <c r="G71" s="223">
        <f t="shared" si="4"/>
        <v>0.43</v>
      </c>
      <c r="H71" s="209">
        <f t="shared" si="3"/>
        <v>3.5956724827365913E-5</v>
      </c>
      <c r="I71" s="207">
        <f>ROUND(F71*Прил.10!$D$13,2)</f>
        <v>3859.2</v>
      </c>
      <c r="J71" s="207">
        <f t="shared" si="5"/>
        <v>3.47</v>
      </c>
    </row>
    <row r="72" spans="1:10" s="14" customFormat="1" ht="14.25" customHeight="1" outlineLevel="1" x14ac:dyDescent="0.2">
      <c r="A72" s="238">
        <v>44</v>
      </c>
      <c r="B72" s="278" t="s">
        <v>254</v>
      </c>
      <c r="C72" s="279" t="s">
        <v>255</v>
      </c>
      <c r="D72" s="280" t="s">
        <v>221</v>
      </c>
      <c r="E72" s="304">
        <v>0.06</v>
      </c>
      <c r="F72" s="281">
        <v>6.4</v>
      </c>
      <c r="G72" s="223">
        <f t="shared" si="4"/>
        <v>0.38</v>
      </c>
      <c r="H72" s="209">
        <f t="shared" si="3"/>
        <v>3.1775710312555925E-5</v>
      </c>
      <c r="I72" s="207">
        <f>ROUND(F72*Прил.10!$D$13,2)</f>
        <v>51.46</v>
      </c>
      <c r="J72" s="207">
        <f t="shared" si="5"/>
        <v>3.09</v>
      </c>
    </row>
    <row r="73" spans="1:10" s="14" customFormat="1" ht="25.5" customHeight="1" outlineLevel="1" x14ac:dyDescent="0.2">
      <c r="A73" s="238">
        <v>45</v>
      </c>
      <c r="B73" s="278" t="s">
        <v>256</v>
      </c>
      <c r="C73" s="279" t="s">
        <v>257</v>
      </c>
      <c r="D73" s="280" t="s">
        <v>194</v>
      </c>
      <c r="E73" s="304">
        <v>3.1E-4</v>
      </c>
      <c r="F73" s="281">
        <v>463.3</v>
      </c>
      <c r="G73" s="223">
        <f t="shared" si="4"/>
        <v>0.14000000000000001</v>
      </c>
      <c r="H73" s="209">
        <f t="shared" si="3"/>
        <v>1.1706840641467972E-5</v>
      </c>
      <c r="I73" s="207">
        <f>ROUND(F73*Прил.10!$D$13,2)</f>
        <v>3724.93</v>
      </c>
      <c r="J73" s="207">
        <f t="shared" si="5"/>
        <v>1.1499999999999999</v>
      </c>
    </row>
    <row r="74" spans="1:10" s="14" customFormat="1" ht="38.25" customHeight="1" outlineLevel="1" x14ac:dyDescent="0.2">
      <c r="A74" s="238">
        <v>46</v>
      </c>
      <c r="B74" s="278" t="s">
        <v>258</v>
      </c>
      <c r="C74" s="279" t="s">
        <v>259</v>
      </c>
      <c r="D74" s="280" t="s">
        <v>194</v>
      </c>
      <c r="E74" s="304">
        <v>7.5000000000000002E-4</v>
      </c>
      <c r="F74" s="281">
        <v>55.26</v>
      </c>
      <c r="G74" s="223">
        <f t="shared" si="4"/>
        <v>0.04</v>
      </c>
      <c r="H74" s="209">
        <f t="shared" si="3"/>
        <v>3.3448116118479918E-6</v>
      </c>
      <c r="I74" s="207">
        <f>ROUND(F74*Прил.10!$D$13,2)</f>
        <v>444.29</v>
      </c>
      <c r="J74" s="207">
        <f t="shared" si="5"/>
        <v>0.33</v>
      </c>
    </row>
    <row r="75" spans="1:10" s="14" customFormat="1" ht="14.25" customHeight="1" x14ac:dyDescent="0.2">
      <c r="A75" s="2"/>
      <c r="B75" s="2"/>
      <c r="C75" s="9" t="s">
        <v>302</v>
      </c>
      <c r="D75" s="274"/>
      <c r="E75" s="272"/>
      <c r="F75" s="202"/>
      <c r="G75" s="34">
        <f>SUM(G47:G74)</f>
        <v>1346.78</v>
      </c>
      <c r="H75" s="209">
        <f t="shared" si="3"/>
        <v>0.11261813456511596</v>
      </c>
      <c r="I75" s="34"/>
      <c r="J75" s="34">
        <f>SUM(J47:J74)</f>
        <v>10828.339999999998</v>
      </c>
    </row>
    <row r="76" spans="1:10" s="14" customFormat="1" ht="14.25" customHeight="1" x14ac:dyDescent="0.2">
      <c r="A76" s="2"/>
      <c r="B76" s="2"/>
      <c r="C76" s="200" t="s">
        <v>303</v>
      </c>
      <c r="D76" s="274"/>
      <c r="E76" s="201"/>
      <c r="F76" s="202"/>
      <c r="G76" s="34">
        <f>G46+G75</f>
        <v>11958.82</v>
      </c>
      <c r="H76" s="203">
        <f t="shared" si="3"/>
        <v>1</v>
      </c>
      <c r="I76" s="34"/>
      <c r="J76" s="34">
        <f>J46+J75</f>
        <v>96148.97</v>
      </c>
    </row>
    <row r="77" spans="1:10" s="14" customFormat="1" ht="14.25" customHeight="1" x14ac:dyDescent="0.2">
      <c r="A77" s="2"/>
      <c r="B77" s="2"/>
      <c r="C77" s="9" t="s">
        <v>304</v>
      </c>
      <c r="D77" s="274"/>
      <c r="E77" s="201"/>
      <c r="F77" s="202"/>
      <c r="G77" s="34">
        <f>G14+G30+G76</f>
        <v>14129.32</v>
      </c>
      <c r="H77" s="203"/>
      <c r="I77" s="34"/>
      <c r="J77" s="34">
        <f>J14+J30+J76</f>
        <v>154707.06</v>
      </c>
    </row>
    <row r="78" spans="1:10" s="14" customFormat="1" ht="14.25" customHeight="1" x14ac:dyDescent="0.2">
      <c r="A78" s="2"/>
      <c r="B78" s="2"/>
      <c r="C78" s="9" t="s">
        <v>305</v>
      </c>
      <c r="D78" s="300">
        <f>ROUND(G78/(G$16+$G$14),2)</f>
        <v>1.02</v>
      </c>
      <c r="E78" s="201"/>
      <c r="F78" s="202"/>
      <c r="G78" s="34">
        <v>1007</v>
      </c>
      <c r="H78" s="203"/>
      <c r="I78" s="34"/>
      <c r="J78" s="207">
        <f>ROUND(D78*(J14+J16),2)</f>
        <v>46188.78</v>
      </c>
    </row>
    <row r="79" spans="1:10" s="14" customFormat="1" ht="14.25" customHeight="1" x14ac:dyDescent="0.2">
      <c r="A79" s="2"/>
      <c r="B79" s="2"/>
      <c r="C79" s="9" t="s">
        <v>306</v>
      </c>
      <c r="D79" s="300">
        <f>ROUND(G79/(G$14+G$16),2)</f>
        <v>0.69</v>
      </c>
      <c r="E79" s="201"/>
      <c r="F79" s="202"/>
      <c r="G79" s="34">
        <v>680.4</v>
      </c>
      <c r="H79" s="203"/>
      <c r="I79" s="34"/>
      <c r="J79" s="207">
        <f>ROUND(D79*(J14+J16),2)</f>
        <v>31245.35</v>
      </c>
    </row>
    <row r="80" spans="1:10" s="14" customFormat="1" ht="14.25" customHeight="1" x14ac:dyDescent="0.2">
      <c r="A80" s="2"/>
      <c r="B80" s="2"/>
      <c r="C80" s="9" t="s">
        <v>307</v>
      </c>
      <c r="D80" s="274"/>
      <c r="E80" s="201"/>
      <c r="F80" s="202"/>
      <c r="G80" s="34">
        <f>G14+G30+G76+G78+G79</f>
        <v>15816.72</v>
      </c>
      <c r="H80" s="203"/>
      <c r="I80" s="34"/>
      <c r="J80" s="34">
        <f>J14+J30+J76+J78+J79</f>
        <v>232141.19</v>
      </c>
    </row>
    <row r="81" spans="1:10" s="14" customFormat="1" ht="14.25" customHeight="1" x14ac:dyDescent="0.2">
      <c r="A81" s="2"/>
      <c r="B81" s="2"/>
      <c r="C81" s="9" t="s">
        <v>308</v>
      </c>
      <c r="D81" s="274"/>
      <c r="E81" s="201"/>
      <c r="F81" s="202"/>
      <c r="G81" s="34">
        <f>G80+G37</f>
        <v>20556.449999999997</v>
      </c>
      <c r="H81" s="203"/>
      <c r="I81" s="34"/>
      <c r="J81" s="34">
        <f>J80+J37</f>
        <v>261811.91</v>
      </c>
    </row>
    <row r="82" spans="1:10" s="14" customFormat="1" ht="34.5" customHeight="1" x14ac:dyDescent="0.2">
      <c r="A82" s="2"/>
      <c r="B82" s="2"/>
      <c r="C82" s="9" t="s">
        <v>76</v>
      </c>
      <c r="D82" s="343" t="s">
        <v>309</v>
      </c>
      <c r="E82" s="201">
        <v>1</v>
      </c>
      <c r="F82" s="202"/>
      <c r="G82" s="34">
        <f>G81/E82</f>
        <v>20556.449999999997</v>
      </c>
      <c r="H82" s="203"/>
      <c r="I82" s="34"/>
      <c r="J82" s="34">
        <f>J81/E82</f>
        <v>261811.91</v>
      </c>
    </row>
    <row r="84" spans="1:10" s="14" customFormat="1" ht="14.25" customHeight="1" x14ac:dyDescent="0.2">
      <c r="A84" s="4" t="s">
        <v>310</v>
      </c>
      <c r="D84" s="301"/>
    </row>
    <row r="85" spans="1:10" s="14" customFormat="1" ht="14.25" customHeight="1" x14ac:dyDescent="0.2">
      <c r="A85" s="35" t="s">
        <v>113</v>
      </c>
      <c r="D85" s="301"/>
    </row>
    <row r="86" spans="1:10" s="14" customFormat="1" ht="14.25" customHeight="1" x14ac:dyDescent="0.2">
      <c r="A86" s="4"/>
      <c r="D86" s="301"/>
    </row>
    <row r="87" spans="1:10" s="14" customFormat="1" ht="14.25" customHeight="1" x14ac:dyDescent="0.2">
      <c r="A87" s="4" t="s">
        <v>114</v>
      </c>
      <c r="D87" s="301"/>
    </row>
    <row r="88" spans="1:10" s="14" customFormat="1" ht="14.25" customHeight="1" x14ac:dyDescent="0.2">
      <c r="A88" s="35" t="s">
        <v>115</v>
      </c>
      <c r="D88" s="301"/>
    </row>
  </sheetData>
  <sheetProtection formatCells="0" formatColumns="0" formatRows="0" insertColumns="0" insertRows="0" insertHyperlinks="0" deleteColumns="0" deleteRows="0" sort="0" autoFilter="0" pivotTables="0"/>
  <mergeCells count="21">
    <mergeCell ref="B40:H40"/>
    <mergeCell ref="B12:H12"/>
    <mergeCell ref="B15:H15"/>
    <mergeCell ref="B17:H17"/>
    <mergeCell ref="B18:H18"/>
    <mergeCell ref="B32:H32"/>
    <mergeCell ref="B31:H31"/>
    <mergeCell ref="B39:H39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conditionalFormatting sqref="B19:B21">
    <cfRule type="duplicateValues" dxfId="3" priority="1"/>
  </conditionalFormatting>
  <conditionalFormatting sqref="B23:B28">
    <cfRule type="duplicateValues" dxfId="2" priority="2"/>
  </conditionalFormatting>
  <conditionalFormatting sqref="B41:B45">
    <cfRule type="duplicateValues" dxfId="1" priority="3"/>
  </conditionalFormatting>
  <conditionalFormatting sqref="B47:B74">
    <cfRule type="duplicateValues" dxfId="0" priority="4"/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4.5 РМ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cp:lastPrinted>2023-11-24T12:35:49Z</cp:lastPrinted>
  <dcterms:created xsi:type="dcterms:W3CDTF">2020-09-30T08:50:27Z</dcterms:created>
  <dcterms:modified xsi:type="dcterms:W3CDTF">2024-02-08T10:03:53Z</dcterms:modified>
  <cp:category/>
</cp:coreProperties>
</file>