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57D0AD30-FFA8-426B-8D38-8721B9953093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стоим'!$A$1:$J$22</definedName>
    <definedName name="_xlnm.Print_Area" localSheetId="5">Прил.3!$A$1:$H$48</definedName>
    <definedName name="_xlnm.Print_Area" localSheetId="6">'Прил.4 РМ'!$A$1:$E$48</definedName>
    <definedName name="_xlnm.Print_Area" localSheetId="7">'Прил.5 Расчет СМР и ОБ'!$A$1:$J$63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12" i="9"/>
  <c r="E12" i="9"/>
  <c r="G12" i="9" s="1"/>
  <c r="G13" i="9" s="1"/>
  <c r="D12" i="9"/>
  <c r="C12" i="9"/>
  <c r="B12" i="9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G41" i="8"/>
  <c r="I40" i="8"/>
  <c r="J40" i="8" s="1"/>
  <c r="J48" i="8" s="1"/>
  <c r="C17" i="7" s="1"/>
  <c r="G40" i="8"/>
  <c r="G48" i="8" s="1"/>
  <c r="J38" i="8"/>
  <c r="I38" i="8"/>
  <c r="G38" i="8"/>
  <c r="I37" i="8"/>
  <c r="J37" i="8" s="1"/>
  <c r="G37" i="8"/>
  <c r="J36" i="8"/>
  <c r="I36" i="8"/>
  <c r="G36" i="8"/>
  <c r="J35" i="8"/>
  <c r="I35" i="8"/>
  <c r="G35" i="8"/>
  <c r="J31" i="8"/>
  <c r="J32" i="8" s="1"/>
  <c r="C26" i="7" s="1"/>
  <c r="J29" i="8"/>
  <c r="G29" i="8"/>
  <c r="J28" i="8"/>
  <c r="G28" i="8"/>
  <c r="I23" i="8"/>
  <c r="J23" i="8" s="1"/>
  <c r="G23" i="8"/>
  <c r="J22" i="8"/>
  <c r="I22" i="8"/>
  <c r="G22" i="8"/>
  <c r="J21" i="8"/>
  <c r="I21" i="8"/>
  <c r="G21" i="8"/>
  <c r="G24" i="8" s="1"/>
  <c r="G20" i="8"/>
  <c r="I19" i="8"/>
  <c r="J19" i="8" s="1"/>
  <c r="J20" i="8" s="1"/>
  <c r="C12" i="7" s="1"/>
  <c r="G19" i="8"/>
  <c r="G16" i="8"/>
  <c r="F16" i="8" s="1"/>
  <c r="I16" i="8" s="1"/>
  <c r="J16" i="8" s="1"/>
  <c r="C15" i="7" s="1"/>
  <c r="E16" i="8"/>
  <c r="G14" i="8"/>
  <c r="H13" i="8" s="1"/>
  <c r="E14" i="8"/>
  <c r="I13" i="8"/>
  <c r="J13" i="8" s="1"/>
  <c r="J14" i="8" s="1"/>
  <c r="E13" i="8"/>
  <c r="C25" i="7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8" i="6"/>
  <c r="F18" i="6"/>
  <c r="H17" i="6"/>
  <c r="H16" i="6"/>
  <c r="H15" i="6"/>
  <c r="H14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20" i="8" l="1"/>
  <c r="G25" i="8"/>
  <c r="H24" i="8"/>
  <c r="G32" i="8"/>
  <c r="G14" i="9"/>
  <c r="C11" i="7"/>
  <c r="J24" i="8"/>
  <c r="H19" i="8"/>
  <c r="H22" i="8"/>
  <c r="J39" i="8"/>
  <c r="G31" i="8"/>
  <c r="D52" i="8"/>
  <c r="G39" i="8"/>
  <c r="D51" i="8"/>
  <c r="J52" i="8" l="1"/>
  <c r="C21" i="7"/>
  <c r="C20" i="7" s="1"/>
  <c r="H25" i="8"/>
  <c r="J51" i="8"/>
  <c r="C23" i="7"/>
  <c r="C22" i="7" s="1"/>
  <c r="H30" i="8"/>
  <c r="H28" i="8"/>
  <c r="H23" i="8"/>
  <c r="H21" i="8"/>
  <c r="H29" i="8"/>
  <c r="G49" i="8"/>
  <c r="H39" i="8"/>
  <c r="C16" i="7"/>
  <c r="J49" i="8"/>
  <c r="J25" i="8"/>
  <c r="C13" i="7"/>
  <c r="C18" i="7" l="1"/>
  <c r="C14" i="7"/>
  <c r="H31" i="8"/>
  <c r="J53" i="8"/>
  <c r="J54" i="8" s="1"/>
  <c r="J55" i="8" s="1"/>
  <c r="J50" i="8"/>
  <c r="H37" i="8"/>
  <c r="H49" i="8"/>
  <c r="H38" i="8"/>
  <c r="H35" i="8"/>
  <c r="H43" i="8"/>
  <c r="H41" i="8"/>
  <c r="H36" i="8"/>
  <c r="H42" i="8"/>
  <c r="H47" i="8"/>
  <c r="H44" i="8"/>
  <c r="H45" i="8"/>
  <c r="H46" i="8"/>
  <c r="G50" i="8"/>
  <c r="G53" i="8"/>
  <c r="G54" i="8" s="1"/>
  <c r="G55" i="8" s="1"/>
  <c r="H48" i="8"/>
  <c r="H40" i="8"/>
  <c r="C19" i="7" l="1"/>
  <c r="C24" i="7" s="1"/>
  <c r="D18" i="7" s="1"/>
  <c r="D14" i="7"/>
  <c r="C29" i="7" l="1"/>
  <c r="C27" i="7"/>
  <c r="D24" i="7"/>
  <c r="D12" i="7"/>
  <c r="D17" i="7"/>
  <c r="D15" i="7"/>
  <c r="D11" i="7"/>
  <c r="D20" i="7"/>
  <c r="D22" i="7"/>
  <c r="D13" i="7"/>
  <c r="D16" i="7"/>
  <c r="C30" i="7" l="1"/>
  <c r="C37" i="7" l="1"/>
  <c r="C36" i="7"/>
  <c r="C38" i="7" l="1"/>
  <c r="C39" i="7" l="1"/>
  <c r="C40" i="7" l="1"/>
  <c r="E39" i="7"/>
  <c r="E35" i="7" l="1"/>
  <c r="C41" i="7"/>
  <c r="D11" i="10" s="1"/>
  <c r="E34" i="7"/>
  <c r="E40" i="7"/>
  <c r="E33" i="7"/>
  <c r="E32" i="7"/>
  <c r="E31" i="7"/>
  <c r="E26" i="7"/>
  <c r="E25" i="7"/>
  <c r="E17" i="7"/>
  <c r="E15" i="7"/>
  <c r="E12" i="7"/>
  <c r="E11" i="7"/>
  <c r="E22" i="7"/>
  <c r="E13" i="7"/>
  <c r="E16" i="7"/>
  <c r="E20" i="7"/>
  <c r="E18" i="7"/>
  <c r="E14" i="7"/>
  <c r="E24" i="7"/>
  <c r="E27" i="7"/>
  <c r="E29" i="7"/>
  <c r="E30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<sst xmlns="http://schemas.openxmlformats.org/spreadsheetml/2006/main" count="633" uniqueCount="409">
  <si>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</si>
  <si>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</si>
  <si>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</si>
  <si>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</si>
  <si>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</si>
  <si>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</si>
  <si>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</si>
  <si>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</si>
  <si>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</si>
  <si>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</si>
  <si>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</si>
  <si>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</si>
  <si>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</si>
  <si>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</si>
  <si>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</si>
  <si>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</si>
  <si>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</si>
  <si>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</si>
  <si>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</si>
  <si>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</si>
  <si>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</si>
  <si>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</si>
  <si>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</si>
  <si>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</si>
  <si>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</si>
  <si>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</si>
  <si>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</si>
  <si>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</si>
  <si>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</si>
  <si>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</si>
  <si>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</si>
  <si>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</si>
  <si>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</si>
  <si>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</si>
  <si>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</si>
  <si>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</si>
  <si>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</si>
  <si>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</si>
  <si>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</si>
  <si>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</si>
  <si>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</si>
  <si>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</si>
  <si>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</si>
  <si>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</si>
  <si>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</si>
  <si>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</si>
  <si>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</si>
  <si>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регистратор записи диспетчерских переговоров ПС 220 кВ</t>
  </si>
  <si>
    <t>Сопоставимый уровень цен: 3 квартал 2021г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</si>
  <si>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</si>
  <si>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</si>
  <si>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</si>
  <si>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</si>
  <si>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</si>
  <si>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</si>
  <si>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</si>
  <si>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</si>
  <si>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</si>
  <si>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</si>
  <si>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</si>
  <si>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Cистема записи диспетчерских переговоров СЗП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</si>
  <si>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</si>
  <si>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</si>
  <si>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</si>
  <si>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</si>
  <si>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</si>
  <si>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</si>
  <si>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</si>
  <si>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</si>
  <si>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</si>
  <si>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</si>
  <si>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</si>
  <si>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</si>
  <si>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 xml:space="preserve"> 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</si>
  <si>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</si>
  <si>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</si>
  <si>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</si>
  <si>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</si>
  <si>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</si>
  <si>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</si>
  <si>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</si>
  <si>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</si>
  <si>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</si>
  <si>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</si>
  <si>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</si>
  <si>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</si>
  <si>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</si>
  <si>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</si>
  <si>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</si>
  <si>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</si>
  <si>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</si>
  <si>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>Регистратор записи диспетчерских переговоров ПС 220 кВ</t>
  </si>
  <si>
    <t>Всего по объекту:</t>
  </si>
  <si>
    <t>Всего по объекту в сопоставимом уровне цен 3 кв. 2021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</si>
  <si>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</si>
  <si>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</si>
  <si>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регистратор записи диспетчерских переговоров 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</si>
  <si>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</si>
  <si>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</si>
  <si>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</si>
  <si>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</si>
  <si>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</si>
  <si>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</si>
  <si>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</si>
  <si>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</si>
  <si>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</si>
  <si>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</si>
  <si>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</si>
  <si>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</si>
  <si>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</si>
  <si>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</si>
  <si>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1-3-0</t>
  </si>
  <si>
    <t>Затраты труда рабочих (ср 3)</t>
  </si>
  <si>
    <t>1-4-2</t>
  </si>
  <si>
    <t>Затраты труда рабочих (ср 4,2)</t>
  </si>
  <si>
    <t>1-4-0</t>
  </si>
  <si>
    <t>Затраты труда рабочих (ср 4)</t>
  </si>
  <si>
    <t>1-3-1</t>
  </si>
  <si>
    <t>Затраты труда рабочих (ср 3,1)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</si>
  <si>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</si>
  <si>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</si>
  <si>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</si>
  <si>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</si>
  <si>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</si>
  <si>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</si>
  <si>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</si>
  <si>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91.06.03-060</t>
  </si>
  <si>
    <t>Лебедки электрические тяговым усилием до 5,79 кН (0,59 т)</t>
  </si>
  <si>
    <t>91.14.02-001</t>
  </si>
  <si>
    <t>Автомобили бортовые, грузоподъемность до 5 т</t>
  </si>
  <si>
    <t>Прайс из СД ОП</t>
  </si>
  <si>
    <t>Шкаф  CЗП  разм. 2200х800х800</t>
  </si>
  <si>
    <t>шт</t>
  </si>
  <si>
    <t>Материалы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</si>
  <si>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</si>
  <si>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</si>
  <si>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</si>
  <si>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</si>
  <si>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</si>
  <si>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</si>
  <si>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08.3.08.02-0022</t>
  </si>
  <si>
    <t>Уголок горячекатаный, размер 50х50 мм</t>
  </si>
  <si>
    <t>т</t>
  </si>
  <si>
    <t>01.7.15.03-0031</t>
  </si>
  <si>
    <t>Болты с гайками и шайбами оцинкованные, диаметр 6 мм</t>
  </si>
  <si>
    <t>кг</t>
  </si>
  <si>
    <t>01.7.20.03-0012</t>
  </si>
  <si>
    <t>Мешковина джутовая</t>
  </si>
  <si>
    <t>м2</t>
  </si>
  <si>
    <t>14.4.02.04-0221</t>
  </si>
  <si>
    <t>Краска масляная готовая к применению для наружных и внутренних работ МА-15, белила цинковые</t>
  </si>
  <si>
    <t>01.7.15.04-0056</t>
  </si>
  <si>
    <t>Винты самонарезающие, с уплотнительной прокладкой, размер 4,8х35 мм</t>
  </si>
  <si>
    <t>100 шт</t>
  </si>
  <si>
    <t>14.5.05.02-0001</t>
  </si>
  <si>
    <t>Олифа натуральная</t>
  </si>
  <si>
    <t>01.7.11.07-0032</t>
  </si>
  <si>
    <t>Электроды сварочные Э42, диаметр 4 мм</t>
  </si>
  <si>
    <t>01.7.02.07-0011</t>
  </si>
  <si>
    <t>Прессшпан листовой, марка А</t>
  </si>
  <si>
    <t>14.1.01.01-0003</t>
  </si>
  <si>
    <t>Клей столярный сухой</t>
  </si>
  <si>
    <t>08.1.02.04-0012</t>
  </si>
  <si>
    <t>Жесть белая, толщина 0,25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</si>
  <si>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</si>
  <si>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</si>
  <si>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</si>
  <si>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</si>
  <si>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</si>
  <si>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</si>
  <si>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</si>
  <si>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</si>
  <si>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</si>
  <si>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</si>
  <si>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</si>
  <si>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</si>
  <si>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</si>
  <si>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</si>
  <si>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</si>
  <si>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</si>
  <si>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</si>
  <si>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</si>
  <si>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</si>
  <si>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</si>
  <si>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</si>
  <si>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</si>
  <si>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</si>
  <si>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</si>
  <si>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</si>
  <si>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</si>
  <si>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</si>
  <si>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</si>
  <si>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</si>
  <si>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</si>
  <si>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</si>
  <si>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</si>
  <si>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</si>
  <si>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</si>
  <si>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</si>
  <si>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</si>
  <si>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</si>
  <si>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</si>
  <si>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</si>
  <si>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</si>
  <si>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</si>
  <si>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</si>
  <si>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</si>
  <si>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</si>
  <si>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регистратор записи диспетчерских переговоров 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</si>
  <si>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</si>
  <si>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</si>
  <si>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</si>
  <si>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</si>
  <si>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</si>
  <si>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1-5-5</t>
  </si>
  <si>
    <t>Затраты труда рабочих-строителей среднего разряда (5,5)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</si>
  <si>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</si>
  <si>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</si>
  <si>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</si>
  <si>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</si>
  <si>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</si>
  <si>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</si>
  <si>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</si>
  <si>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БЦ.36.14</t>
  </si>
  <si>
    <t>Регистратор записи диспетчерских переговоров
- Интерфейсная плата для записи не менее 8 аналоговых
двухпроводных линий;
- Интерфейсная плата для записи не менее 30 SIP телефонов, 20 базовых станций DECT (SIP), 10 мобильных радиотерминалов DECT;
- Лицензия для работы с сервером СЗП не менее пяти единовременных пользователей;
- Cетевая карта;
- В состав комплекса записи непосредственно или в виде автономных модулей, сопрягаемых с ним, должны входить следующие интерфейсы: FXO, FXS, E&amp;M, E1 (Q.SIG, EDSS1), SIP, SIP Trunk.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</si>
  <si>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</si>
  <si>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</si>
  <si>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</si>
  <si>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</si>
  <si>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</si>
  <si>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</si>
  <si>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</si>
  <si>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</si>
  <si>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</si>
  <si>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</si>
  <si>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</si>
  <si>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</si>
  <si>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</si>
  <si>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</si>
  <si>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</si>
  <si>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</si>
  <si>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</si>
  <si>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</si>
  <si>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</si>
  <si>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</si>
  <si>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</si>
  <si>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</si>
  <si>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</si>
  <si>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</si>
  <si>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</si>
  <si>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</si>
  <si>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</si>
  <si>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</si>
  <si>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</si>
  <si>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</si>
  <si>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З1_ПС_дисп.переговоры_220_кВ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</si>
  <si>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</si>
  <si>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</si>
  <si>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</si>
  <si>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</si>
  <si>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</si>
  <si>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</si>
  <si>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</si>
  <si>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</si>
  <si>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</si>
  <si>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</si>
  <si>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</si>
  <si>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</si>
  <si>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</si>
  <si>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</si>
  <si>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</si>
  <si>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</si>
  <si>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</si>
  <si>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</si>
  <si>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</si>
  <si>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</si>
  <si>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</si>
  <si>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</si>
  <si>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</si>
  <si>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</si>
  <si>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</si>
  <si>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</si>
  <si>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</si>
  <si>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</si>
  <si>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</si>
  <si>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</si>
  <si>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</si>
  <si>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</si>
  <si>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</si>
  <si>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</si>
  <si>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</si>
  <si>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</si>
  <si>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</si>
  <si>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</si>
  <si>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</si>
  <si>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</si>
  <si>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</si>
  <si>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</si>
  <si>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</si>
  <si>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</si>
  <si>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</si>
  <si>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</si>
  <si>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</si>
  <si>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</si>
  <si>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</si>
  <si>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</si>
  <si>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</si>
  <si>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</si>
  <si>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</si>
  <si>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</si>
  <si>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</si>
  <si>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</si>
  <si>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</si>
  <si>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</si>
  <si>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</si>
  <si>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</si>
  <si>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</si>
  <si>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</si>
  <si>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</si>
  <si>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</si>
  <si>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</si>
  <si>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</si>
  <si>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</si>
  <si>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</si>
  <si>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</si>
  <si>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</si>
  <si>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</si>
  <si>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</si>
  <si>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</si>
  <si>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</si>
  <si>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</si>
  <si>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</si>
  <si>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</si>
  <si>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</si>
  <si>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</si>
  <si>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</si>
  <si>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</si>
  <si>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</si>
  <si>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</si>
  <si>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</si>
  <si>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</si>
  <si>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</si>
  <si>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</si>
  <si>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</si>
  <si>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</si>
  <si>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</si>
  <si>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</si>
  <si>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</si>
  <si>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</si>
  <si>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</si>
  <si>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</si>
  <si>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</si>
  <si>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</si>
  <si>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</si>
  <si>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</si>
  <si>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</si>
  <si>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</si>
  <si>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</si>
  <si>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</si>
  <si>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</si>
  <si>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</si>
  <si>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</si>
  <si>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</si>
  <si>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</si>
  <si>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</si>
  <si>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</si>
  <si>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</si>
  <si>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</si>
  <si>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</si>
  <si>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</si>
  <si>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</si>
  <si>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</si>
  <si>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</si>
  <si>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</si>
  <si>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</si>
  <si>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</si>
  <si>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</si>
  <si>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</si>
  <si>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</si>
  <si>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</si>
  <si>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</si>
  <si>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</si>
  <si>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</si>
  <si>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</si>
  <si>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</si>
  <si>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</si>
  <si>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</si>
  <si>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</si>
  <si>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</si>
  <si>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</si>
  <si>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</si>
  <si>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</si>
  <si>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</si>
  <si>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</si>
  <si>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</si>
  <si>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</si>
  <si>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</si>
  <si>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</si>
  <si>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</si>
  <si>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</si>
  <si>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</si>
  <si>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</si>
  <si>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</si>
  <si>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</si>
  <si>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</si>
  <si>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</si>
  <si>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</si>
  <si>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</si>
  <si>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Составил ______________________       Д.Ю. Нефедова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</si>
</sst>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0.0000"/>
    <numFmt numFmtId="168" formatCode="#,##0.0000"/>
    <numFmt numFmtId="169" formatCode="0.0"/>
    <numFmt numFmtId="170" formatCode="#,##0.0"/>
    <numFmt numFmtId="171" formatCode="#,##0.000"/>
    <numFmt numFmtId="172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sz val="12"/>
      <color rgb="FF00FF99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169" fontId="16" fillId="0" borderId="0" xfId="0" applyNumberFormat="1" applyFont="1"/>
    <xf numFmtId="0" fontId="21" fillId="0" borderId="0" xfId="0" applyFont="1"/>
    <xf numFmtId="167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165" fontId="20" fillId="0" borderId="0" xfId="0" applyNumberFormat="1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/>
    <xf numFmtId="170" fontId="16" fillId="0" borderId="1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top"/>
    </xf>
    <xf numFmtId="0" fontId="18" fillId="0" borderId="6" xfId="0" applyFont="1" applyBorder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334309</xdr:colOff>
      <xdr:row>28</xdr:row>
      <xdr:rowOff>118648</xdr:rowOff>
    </xdr:from>
    <xdr:to>
      <xdr:col>2</xdr:col>
      <xdr:colOff>1279111</xdr:colOff>
      <xdr:row>31</xdr:row>
      <xdr:rowOff>34622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CBDD0AB-3F23-465A-AB2B-9147A6651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544" y="12635619"/>
          <a:ext cx="944802" cy="521091"/>
        </a:xfrm>
        <a:prstGeom prst="rect">
          <a:avLst/>
        </a:prstGeom>
      </xdr:spPr>
    </xdr:pic>
    <xdr:clientData/>
  </xdr:twoCellAnchor>
  <xdr:twoCellAnchor editAs="oneCell">
    <xdr:from>
      <xdr:col>2</xdr:col>
      <xdr:colOff>477185</xdr:colOff>
      <xdr:row>26</xdr:row>
      <xdr:rowOff>340286</xdr:rowOff>
    </xdr:from>
    <xdr:to>
      <xdr:col>2</xdr:col>
      <xdr:colOff>1315384</xdr:colOff>
      <xdr:row>28</xdr:row>
      <xdr:rowOff>107384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39F3FC4-F2A1-4B4E-B847-A19AAE7B2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420" y="12173698"/>
          <a:ext cx="838199" cy="450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591910</xdr:colOff>
      <xdr:row>18</xdr:row>
      <xdr:rowOff>97517</xdr:rowOff>
    </xdr:from>
    <xdr:to>
      <xdr:col>2</xdr:col>
      <xdr:colOff>1536712</xdr:colOff>
      <xdr:row>21</xdr:row>
      <xdr:rowOff>9408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1110768-E393-4E8B-9BC9-788F162D1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4" y="52546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734786</xdr:colOff>
      <xdr:row>16</xdr:row>
      <xdr:rowOff>39007</xdr:rowOff>
    </xdr:from>
    <xdr:to>
      <xdr:col>2</xdr:col>
      <xdr:colOff>1572985</xdr:colOff>
      <xdr:row>18</xdr:row>
      <xdr:rowOff>86253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4834BCA-1AB5-4128-A03C-0B83C356F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4787900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42</xdr:row>
      <xdr:rowOff>94689</xdr:rowOff>
    </xdr:from>
    <xdr:to>
      <xdr:col>2</xdr:col>
      <xdr:colOff>1287702</xdr:colOff>
      <xdr:row>45</xdr:row>
      <xdr:rowOff>24990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2770AA6-EED4-4A16-B683-92870B6AE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8459" y="11300571"/>
          <a:ext cx="944802" cy="535419"/>
        </a:xfrm>
        <a:prstGeom prst="rect">
          <a:avLst/>
        </a:prstGeom>
      </xdr:spPr>
    </xdr:pic>
    <xdr:clientData/>
  </xdr:twoCellAnchor>
  <xdr:twoCellAnchor editAs="oneCell">
    <xdr:from>
      <xdr:col>2</xdr:col>
      <xdr:colOff>463364</xdr:colOff>
      <xdr:row>40</xdr:row>
      <xdr:rowOff>31377</xdr:rowOff>
    </xdr:from>
    <xdr:to>
      <xdr:col>2</xdr:col>
      <xdr:colOff>1306045</xdr:colOff>
      <xdr:row>42</xdr:row>
      <xdr:rowOff>83425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7B0C7B3-17DA-4ADE-9273-191EF2205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8923" y="10833848"/>
          <a:ext cx="842681" cy="4554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952500</xdr:colOff>
      <xdr:row>43</xdr:row>
      <xdr:rowOff>114299</xdr:rowOff>
    </xdr:from>
    <xdr:to>
      <xdr:col>1</xdr:col>
      <xdr:colOff>1897302</xdr:colOff>
      <xdr:row>46</xdr:row>
      <xdr:rowOff>67012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B699307-3599-44D3-AD7A-F5C1050C2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17347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1000126</xdr:colOff>
      <xdr:row>40</xdr:row>
      <xdr:rowOff>180975</xdr:rowOff>
    </xdr:from>
    <xdr:to>
      <xdr:col>1</xdr:col>
      <xdr:colOff>1838325</xdr:colOff>
      <xdr:row>43</xdr:row>
      <xdr:rowOff>64935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996629A-3A25-4317-9937-BD68323E2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1" y="1122997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582706</xdr:colOff>
      <xdr:row>57</xdr:row>
      <xdr:rowOff>98611</xdr:rowOff>
    </xdr:from>
    <xdr:to>
      <xdr:col>2</xdr:col>
      <xdr:colOff>22558</xdr:colOff>
      <xdr:row>60</xdr:row>
      <xdr:rowOff>51324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DA3B4C3-72D9-4924-B6D4-830BEA1F2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706" y="16129186"/>
          <a:ext cx="944802" cy="495638"/>
        </a:xfrm>
        <a:prstGeom prst="rect">
          <a:avLst/>
        </a:prstGeom>
      </xdr:spPr>
    </xdr:pic>
    <xdr:clientData/>
  </xdr:twoCellAnchor>
  <xdr:twoCellAnchor editAs="oneCell">
    <xdr:from>
      <xdr:col>1</xdr:col>
      <xdr:colOff>582707</xdr:colOff>
      <xdr:row>55</xdr:row>
      <xdr:rowOff>12887</xdr:rowOff>
    </xdr:from>
    <xdr:to>
      <xdr:col>1</xdr:col>
      <xdr:colOff>1420906</xdr:colOff>
      <xdr:row>57</xdr:row>
      <xdr:rowOff>77822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F9BC2B6-54C4-4BE0-984C-479F9B9C0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707" y="15671987"/>
          <a:ext cx="838199" cy="4364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16</xdr:row>
      <xdr:rowOff>123824</xdr:rowOff>
    </xdr:from>
    <xdr:to>
      <xdr:col>2</xdr:col>
      <xdr:colOff>373302</xdr:colOff>
      <xdr:row>19</xdr:row>
      <xdr:rowOff>76537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C54DE60-15F2-45E7-88B9-DB585A7DC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68103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571501</xdr:colOff>
      <xdr:row>14</xdr:row>
      <xdr:rowOff>19050</xdr:rowOff>
    </xdr:from>
    <xdr:to>
      <xdr:col>2</xdr:col>
      <xdr:colOff>238125</xdr:colOff>
      <xdr:row>16</xdr:row>
      <xdr:rowOff>93510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3697A61-BEBA-4D82-8498-3909C929D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1" y="63246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66674</xdr:rowOff>
    </xdr:from>
    <xdr:to>
      <xdr:col>1</xdr:col>
      <xdr:colOff>801927</xdr:colOff>
      <xdr:row>16</xdr:row>
      <xdr:rowOff>19387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7A3274D-E165-498D-A760-260879C90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289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781050</xdr:rowOff>
    </xdr:from>
    <xdr:to>
      <xdr:col>1</xdr:col>
      <xdr:colOff>838200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A992CAF-D650-4773-A7FD-5CD7FDFA0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968375</xdr:colOff>
      <xdr:row>27</xdr:row>
      <xdr:rowOff>69849</xdr:rowOff>
    </xdr:from>
    <xdr:to>
      <xdr:col>1</xdr:col>
      <xdr:colOff>1913177</xdr:colOff>
      <xdr:row>30</xdr:row>
      <xdr:rowOff>22562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C5A3B3C-5D64-463E-B81D-7A00C0105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93725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1047751</xdr:colOff>
      <xdr:row>24</xdr:row>
      <xdr:rowOff>47625</xdr:rowOff>
    </xdr:from>
    <xdr:to>
      <xdr:col>1</xdr:col>
      <xdr:colOff>1885950</xdr:colOff>
      <xdr:row>26</xdr:row>
      <xdr:rowOff>122085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57FF92E-0D1E-41A7-9722-FF50ACE50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1" y="877887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5" t="s">
        <v>0</v>
      </c>
      <c r="B2" s="205"/>
      <c r="C2" s="205"/>
    </row>
    <row r="3" spans="1:3" x14ac:dyDescent="0.25">
      <c r="A3" s="1"/>
      <c r="B3" s="1"/>
      <c r="C3" s="1"/>
    </row>
    <row r="4" spans="1:3" x14ac:dyDescent="0.25">
      <c r="A4" s="206" t="s">
        <v>1</v>
      </c>
      <c r="B4" s="206"/>
      <c r="C4" s="20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7" t="s">
        <v>3</v>
      </c>
      <c r="C6" s="207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2" sqref="D12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248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3" t="s">
        <v>249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customHeight="1" x14ac:dyDescent="0.25">
      <c r="A5" s="256" t="s">
        <v>250</v>
      </c>
      <c r="B5" s="256"/>
      <c r="C5" s="256"/>
      <c r="D5" s="202" t="str">
        <f>'Прил.5 Расчет СМР и ОБ'!D6:J6</f>
        <v>Постоянная часть ПС, регистратор записи диспетчерских переговоров ПС 220 кВ</v>
      </c>
    </row>
    <row r="6" spans="1:4" ht="15.75" customHeight="1" x14ac:dyDescent="0.25">
      <c r="A6" s="117" t="s">
        <v>49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17" t="s">
        <v>5</v>
      </c>
      <c r="B8" s="217" t="s">
        <v>6</v>
      </c>
      <c r="C8" s="217" t="s">
        <v>251</v>
      </c>
      <c r="D8" s="217" t="s">
        <v>252</v>
      </c>
    </row>
    <row r="9" spans="1:4" x14ac:dyDescent="0.25">
      <c r="A9" s="217"/>
      <c r="B9" s="217"/>
      <c r="C9" s="217"/>
      <c r="D9" s="217"/>
    </row>
    <row r="10" spans="1:4" ht="15.75" customHeight="1" x14ac:dyDescent="0.25">
      <c r="A10" s="134">
        <v>1</v>
      </c>
      <c r="B10" s="134">
        <v>2</v>
      </c>
      <c r="C10" s="134">
        <v>3</v>
      </c>
      <c r="D10" s="134">
        <v>4</v>
      </c>
    </row>
    <row r="11" spans="1:4" ht="63" customHeight="1" x14ac:dyDescent="0.25">
      <c r="A11" s="204" t="s">
        <v>253</v>
      </c>
      <c r="B11" s="204" t="s">
        <v>254</v>
      </c>
      <c r="C11" s="203" t="s">
        <v>255</v>
      </c>
      <c r="D11" s="135">
        <f>'Прил.4 РМ'!C41/1000</f>
        <v>2163.2248799999998</v>
      </c>
    </row>
    <row r="13" spans="1:4" x14ac:dyDescent="0.25">
      <c r="A13" s="4" t="s">
        <v>408</v>
      </c>
      <c r="B13" s="12"/>
      <c r="C13" s="12"/>
      <c r="D13" s="25"/>
    </row>
    <row r="14" spans="1:4" x14ac:dyDescent="0.25">
      <c r="A14" s="143" t="s">
        <v>77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78</v>
      </c>
      <c r="B16" s="12"/>
      <c r="C16" s="12"/>
      <c r="D16" s="25"/>
    </row>
    <row r="17" spans="1:4" x14ac:dyDescent="0.25">
      <c r="A17" s="143" t="s">
        <v>79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9" zoomScale="60" zoomScaleNormal="85" workbookViewId="0">
      <selection activeCell="D26" sqref="D26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2" t="s">
        <v>256</v>
      </c>
      <c r="C4" s="212"/>
      <c r="D4" s="212"/>
    </row>
    <row r="5" spans="2:5" ht="18.75" customHeight="1" x14ac:dyDescent="0.25">
      <c r="B5" s="140"/>
    </row>
    <row r="6" spans="2:5" ht="15.75" customHeight="1" x14ac:dyDescent="0.25">
      <c r="B6" s="213" t="s">
        <v>257</v>
      </c>
      <c r="C6" s="213"/>
      <c r="D6" s="213"/>
    </row>
    <row r="7" spans="2:5" x14ac:dyDescent="0.25">
      <c r="B7" s="257"/>
      <c r="C7" s="257"/>
      <c r="D7" s="257"/>
      <c r="E7" s="257"/>
    </row>
    <row r="8" spans="2:5" x14ac:dyDescent="0.25">
      <c r="B8" s="192"/>
      <c r="C8" s="192"/>
      <c r="D8" s="192"/>
      <c r="E8" s="192"/>
    </row>
    <row r="9" spans="2:5" ht="47.25" customHeight="1" x14ac:dyDescent="0.25">
      <c r="B9" s="134" t="s">
        <v>258</v>
      </c>
      <c r="C9" s="134" t="s">
        <v>259</v>
      </c>
      <c r="D9" s="134" t="s">
        <v>260</v>
      </c>
    </row>
    <row r="10" spans="2:5" ht="15.75" customHeight="1" x14ac:dyDescent="0.25">
      <c r="B10" s="134">
        <v>1</v>
      </c>
      <c r="C10" s="134">
        <v>2</v>
      </c>
      <c r="D10" s="134">
        <v>3</v>
      </c>
    </row>
    <row r="11" spans="2:5" ht="45" customHeight="1" x14ac:dyDescent="0.25">
      <c r="B11" s="134" t="s">
        <v>261</v>
      </c>
      <c r="C11" s="134" t="s">
        <v>262</v>
      </c>
      <c r="D11" s="134">
        <v>44.29</v>
      </c>
    </row>
    <row r="12" spans="2:5" ht="29.25" customHeight="1" x14ac:dyDescent="0.25">
      <c r="B12" s="134" t="s">
        <v>263</v>
      </c>
      <c r="C12" s="134" t="s">
        <v>262</v>
      </c>
      <c r="D12" s="134">
        <v>13.47</v>
      </c>
    </row>
    <row r="13" spans="2:5" ht="29.25" customHeight="1" x14ac:dyDescent="0.25">
      <c r="B13" s="134" t="s">
        <v>264</v>
      </c>
      <c r="C13" s="134" t="s">
        <v>262</v>
      </c>
      <c r="D13" s="134">
        <v>8.0399999999999991</v>
      </c>
    </row>
    <row r="14" spans="2:5" ht="30.75" customHeight="1" x14ac:dyDescent="0.25">
      <c r="B14" s="134" t="s">
        <v>265</v>
      </c>
      <c r="C14" s="120" t="s">
        <v>266</v>
      </c>
      <c r="D14" s="134">
        <v>6.26</v>
      </c>
    </row>
    <row r="15" spans="2:5" ht="89.25" customHeight="1" x14ac:dyDescent="0.25">
      <c r="B15" s="134" t="s">
        <v>267</v>
      </c>
      <c r="C15" s="134" t="s">
        <v>268</v>
      </c>
      <c r="D15" s="141">
        <v>3.9E-2</v>
      </c>
    </row>
    <row r="16" spans="2:5" ht="78.75" customHeight="1" x14ac:dyDescent="0.25">
      <c r="B16" s="134" t="s">
        <v>269</v>
      </c>
      <c r="C16" s="134" t="s">
        <v>270</v>
      </c>
      <c r="D16" s="141">
        <v>2.1000000000000001E-2</v>
      </c>
    </row>
    <row r="17" spans="2:4" ht="34.5" customHeight="1" x14ac:dyDescent="0.25">
      <c r="B17" s="134"/>
      <c r="C17" s="134"/>
      <c r="D17" s="134"/>
    </row>
    <row r="18" spans="2:4" ht="31.5" customHeight="1" x14ac:dyDescent="0.25">
      <c r="B18" s="134" t="s">
        <v>271</v>
      </c>
      <c r="C18" s="134" t="s">
        <v>272</v>
      </c>
      <c r="D18" s="141">
        <v>2.1399999999999999E-2</v>
      </c>
    </row>
    <row r="19" spans="2:4" ht="31.5" customHeight="1" x14ac:dyDescent="0.25">
      <c r="B19" s="134" t="s">
        <v>196</v>
      </c>
      <c r="C19" s="134" t="s">
        <v>273</v>
      </c>
      <c r="D19" s="141">
        <v>2E-3</v>
      </c>
    </row>
    <row r="20" spans="2:4" ht="24" customHeight="1" x14ac:dyDescent="0.25">
      <c r="B20" s="134" t="s">
        <v>198</v>
      </c>
      <c r="C20" s="134" t="s">
        <v>274</v>
      </c>
      <c r="D20" s="141">
        <v>0.03</v>
      </c>
    </row>
    <row r="21" spans="2:4" ht="18.75" customHeight="1" x14ac:dyDescent="0.25">
      <c r="B21" s="142"/>
    </row>
    <row r="22" spans="2:4" ht="18.75" customHeight="1" x14ac:dyDescent="0.25">
      <c r="B22" s="142"/>
    </row>
    <row r="23" spans="2:4" ht="18.75" customHeight="1" x14ac:dyDescent="0.25">
      <c r="B23" s="142"/>
    </row>
    <row r="24" spans="2:4" ht="18.75" customHeight="1" x14ac:dyDescent="0.25">
      <c r="B24" s="142"/>
    </row>
    <row r="27" spans="2:4" x14ac:dyDescent="0.25">
      <c r="B27" s="4" t="s">
        <v>275</v>
      </c>
      <c r="C27" s="12"/>
    </row>
    <row r="28" spans="2:4" x14ac:dyDescent="0.25">
      <c r="B28" s="143" t="s">
        <v>77</v>
      </c>
      <c r="C28" s="12"/>
    </row>
    <row r="29" spans="2:4" x14ac:dyDescent="0.25">
      <c r="B29" s="4"/>
      <c r="C29" s="12"/>
    </row>
    <row r="30" spans="2:4" x14ac:dyDescent="0.25">
      <c r="B30" s="4" t="s">
        <v>240</v>
      </c>
      <c r="C30" s="12"/>
    </row>
    <row r="31" spans="2:4" x14ac:dyDescent="0.25">
      <c r="B31" s="143" t="s">
        <v>79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2" sqref="G12:H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3" t="s">
        <v>276</v>
      </c>
      <c r="B2" s="213"/>
      <c r="C2" s="213"/>
      <c r="D2" s="213"/>
      <c r="E2" s="213"/>
      <c r="F2" s="213"/>
    </row>
    <row r="4" spans="1:7" ht="18" customHeight="1" x14ac:dyDescent="0.25">
      <c r="A4" s="131" t="s">
        <v>277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2" t="s">
        <v>13</v>
      </c>
      <c r="B5" s="132" t="s">
        <v>278</v>
      </c>
      <c r="C5" s="132" t="s">
        <v>279</v>
      </c>
      <c r="D5" s="132" t="s">
        <v>280</v>
      </c>
      <c r="E5" s="132" t="s">
        <v>281</v>
      </c>
      <c r="F5" s="132" t="s">
        <v>282</v>
      </c>
      <c r="G5" s="117"/>
    </row>
    <row r="6" spans="1:7" ht="15.75" customHeight="1" x14ac:dyDescent="0.25">
      <c r="A6" s="132">
        <v>1</v>
      </c>
      <c r="B6" s="132">
        <v>2</v>
      </c>
      <c r="C6" s="132">
        <v>3</v>
      </c>
      <c r="D6" s="132">
        <v>4</v>
      </c>
      <c r="E6" s="132">
        <v>5</v>
      </c>
      <c r="F6" s="132">
        <v>6</v>
      </c>
      <c r="G6" s="117"/>
    </row>
    <row r="7" spans="1:7" ht="110.25" customHeight="1" x14ac:dyDescent="0.25">
      <c r="A7" s="133" t="s">
        <v>283</v>
      </c>
      <c r="B7" s="115" t="s">
        <v>284</v>
      </c>
      <c r="C7" s="134" t="s">
        <v>285</v>
      </c>
      <c r="D7" s="134" t="s">
        <v>286</v>
      </c>
      <c r="E7" s="135">
        <v>47872.94</v>
      </c>
      <c r="F7" s="115" t="s">
        <v>287</v>
      </c>
      <c r="G7" s="117"/>
    </row>
    <row r="8" spans="1:7" ht="31.5" customHeight="1" x14ac:dyDescent="0.25">
      <c r="A8" s="133" t="s">
        <v>288</v>
      </c>
      <c r="B8" s="115" t="s">
        <v>289</v>
      </c>
      <c r="C8" s="134" t="s">
        <v>290</v>
      </c>
      <c r="D8" s="134" t="s">
        <v>291</v>
      </c>
      <c r="E8" s="135">
        <f>1973/12</f>
        <v>164.41666666667001</v>
      </c>
      <c r="F8" s="115" t="s">
        <v>292</v>
      </c>
      <c r="G8" s="116"/>
    </row>
    <row r="9" spans="1:7" ht="15.75" customHeight="1" x14ac:dyDescent="0.25">
      <c r="A9" s="133" t="s">
        <v>293</v>
      </c>
      <c r="B9" s="115" t="s">
        <v>294</v>
      </c>
      <c r="C9" s="134" t="s">
        <v>295</v>
      </c>
      <c r="D9" s="134" t="s">
        <v>286</v>
      </c>
      <c r="E9" s="135">
        <v>1</v>
      </c>
      <c r="F9" s="115"/>
      <c r="G9" s="116"/>
    </row>
    <row r="10" spans="1:7" ht="15.75" customHeight="1" x14ac:dyDescent="0.25">
      <c r="A10" s="133" t="s">
        <v>296</v>
      </c>
      <c r="B10" s="115" t="s">
        <v>297</v>
      </c>
      <c r="C10" s="134"/>
      <c r="D10" s="134"/>
      <c r="E10" s="194">
        <v>5.5</v>
      </c>
      <c r="F10" s="115" t="s">
        <v>298</v>
      </c>
      <c r="G10" s="116"/>
    </row>
    <row r="11" spans="1:7" ht="78.75" customHeight="1" x14ac:dyDescent="0.25">
      <c r="A11" s="133" t="s">
        <v>299</v>
      </c>
      <c r="B11" s="115" t="s">
        <v>300</v>
      </c>
      <c r="C11" s="134" t="s">
        <v>301</v>
      </c>
      <c r="D11" s="134" t="s">
        <v>286</v>
      </c>
      <c r="E11" s="195">
        <v>1.67</v>
      </c>
      <c r="F11" s="115" t="s">
        <v>302</v>
      </c>
      <c r="G11" s="117"/>
    </row>
    <row r="12" spans="1:7" ht="78.75" customHeight="1" x14ac:dyDescent="0.25">
      <c r="A12" s="133" t="s">
        <v>303</v>
      </c>
      <c r="B12" s="119" t="s">
        <v>304</v>
      </c>
      <c r="C12" s="134" t="s">
        <v>305</v>
      </c>
      <c r="D12" s="134" t="s">
        <v>286</v>
      </c>
      <c r="E12" s="136">
        <v>1.139</v>
      </c>
      <c r="F12" s="137" t="s">
        <v>306</v>
      </c>
      <c r="G12" s="116"/>
    </row>
    <row r="13" spans="1:7" ht="63" customHeight="1" x14ac:dyDescent="0.25">
      <c r="A13" s="133" t="s">
        <v>307</v>
      </c>
      <c r="B13" s="138" t="s">
        <v>308</v>
      </c>
      <c r="C13" s="134" t="s">
        <v>309</v>
      </c>
      <c r="D13" s="134" t="s">
        <v>310</v>
      </c>
      <c r="E13" s="139">
        <f>((E7*E9/E8)*E11)*E12</f>
        <v>553.84017452934995</v>
      </c>
      <c r="F13" s="115" t="s">
        <v>311</v>
      </c>
      <c r="G13" s="11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8" t="s">
        <v>312</v>
      </c>
      <c r="B1" s="258"/>
      <c r="C1" s="258"/>
      <c r="D1" s="258"/>
      <c r="E1" s="258"/>
      <c r="F1" s="258"/>
      <c r="G1" s="258"/>
      <c r="H1" s="258"/>
      <c r="I1" s="258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8" t="e">
        <f>#REF!</f>
        <v>#REF!</v>
      </c>
      <c r="B3" s="208"/>
      <c r="C3" s="208"/>
      <c r="D3" s="208"/>
      <c r="E3" s="208"/>
      <c r="F3" s="208"/>
      <c r="G3" s="208"/>
      <c r="H3" s="208"/>
      <c r="I3" s="208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30" customFormat="1" ht="36.6" customHeight="1" x14ac:dyDescent="0.35">
      <c r="A5" s="260" t="s">
        <v>13</v>
      </c>
      <c r="B5" s="260" t="s">
        <v>313</v>
      </c>
      <c r="C5" s="260" t="s">
        <v>314</v>
      </c>
      <c r="D5" s="260" t="s">
        <v>315</v>
      </c>
      <c r="E5" s="255" t="s">
        <v>316</v>
      </c>
      <c r="F5" s="255"/>
      <c r="G5" s="255"/>
      <c r="H5" s="255"/>
      <c r="I5" s="255"/>
    </row>
    <row r="6" spans="1:13" s="25" customFormat="1" ht="31.5" customHeight="1" x14ac:dyDescent="0.2">
      <c r="A6" s="260"/>
      <c r="B6" s="260"/>
      <c r="C6" s="260"/>
      <c r="D6" s="260"/>
      <c r="E6" s="31" t="s">
        <v>87</v>
      </c>
      <c r="F6" s="31" t="s">
        <v>88</v>
      </c>
      <c r="G6" s="31" t="s">
        <v>43</v>
      </c>
      <c r="H6" s="31" t="s">
        <v>317</v>
      </c>
      <c r="I6" s="31" t="s">
        <v>318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186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319</v>
      </c>
      <c r="C9" s="8" t="s">
        <v>320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321</v>
      </c>
      <c r="C11" s="8" t="s">
        <v>269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73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322</v>
      </c>
      <c r="C12" s="8" t="s">
        <v>323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324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272</v>
      </c>
      <c r="C14" s="8" t="s">
        <v>325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326</v>
      </c>
      <c r="C16" s="8" t="s">
        <v>327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328</v>
      </c>
    </row>
    <row r="17" spans="1:10" s="25" customFormat="1" ht="81.75" customHeight="1" x14ac:dyDescent="0.2">
      <c r="A17" s="32">
        <v>7</v>
      </c>
      <c r="B17" s="8" t="s">
        <v>326</v>
      </c>
      <c r="C17" s="8" t="s">
        <v>329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330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331</v>
      </c>
      <c r="C20" s="8" t="s">
        <v>198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332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333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334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335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336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2" t="s">
        <v>337</v>
      </c>
      <c r="O2" s="262"/>
    </row>
    <row r="3" spans="1:16" x14ac:dyDescent="0.25">
      <c r="A3" s="263" t="s">
        <v>338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</row>
    <row r="5" spans="1:16" ht="37.5" customHeight="1" x14ac:dyDescent="0.25">
      <c r="A5" s="264" t="s">
        <v>339</v>
      </c>
      <c r="B5" s="267" t="s">
        <v>340</v>
      </c>
      <c r="C5" s="270" t="s">
        <v>341</v>
      </c>
      <c r="D5" s="273" t="s">
        <v>342</v>
      </c>
      <c r="E5" s="274"/>
      <c r="F5" s="274"/>
      <c r="G5" s="274"/>
      <c r="H5" s="274"/>
      <c r="I5" s="273" t="s">
        <v>343</v>
      </c>
      <c r="J5" s="274"/>
      <c r="K5" s="274"/>
      <c r="L5" s="274"/>
      <c r="M5" s="274"/>
      <c r="N5" s="274"/>
      <c r="O5" s="48" t="s">
        <v>344</v>
      </c>
    </row>
    <row r="6" spans="1:16" s="51" customFormat="1" ht="150" customHeight="1" x14ac:dyDescent="0.25">
      <c r="A6" s="265"/>
      <c r="B6" s="268"/>
      <c r="C6" s="271"/>
      <c r="D6" s="270" t="s">
        <v>345</v>
      </c>
      <c r="E6" s="275" t="s">
        <v>346</v>
      </c>
      <c r="F6" s="276"/>
      <c r="G6" s="277"/>
      <c r="H6" s="49" t="s">
        <v>347</v>
      </c>
      <c r="I6" s="278" t="s">
        <v>348</v>
      </c>
      <c r="J6" s="278" t="s">
        <v>345</v>
      </c>
      <c r="K6" s="279" t="s">
        <v>346</v>
      </c>
      <c r="L6" s="279"/>
      <c r="M6" s="279"/>
      <c r="N6" s="49" t="s">
        <v>347</v>
      </c>
      <c r="O6" s="50" t="s">
        <v>349</v>
      </c>
    </row>
    <row r="7" spans="1:16" s="51" customFormat="1" ht="30.75" customHeight="1" x14ac:dyDescent="0.25">
      <c r="A7" s="266"/>
      <c r="B7" s="269"/>
      <c r="C7" s="272"/>
      <c r="D7" s="272"/>
      <c r="E7" s="48" t="s">
        <v>87</v>
      </c>
      <c r="F7" s="48" t="s">
        <v>88</v>
      </c>
      <c r="G7" s="48" t="s">
        <v>43</v>
      </c>
      <c r="H7" s="52" t="s">
        <v>350</v>
      </c>
      <c r="I7" s="278"/>
      <c r="J7" s="278"/>
      <c r="K7" s="48" t="s">
        <v>87</v>
      </c>
      <c r="L7" s="48" t="s">
        <v>88</v>
      </c>
      <c r="M7" s="48" t="s">
        <v>43</v>
      </c>
      <c r="N7" s="52" t="s">
        <v>350</v>
      </c>
      <c r="O7" s="48" t="s">
        <v>351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4" t="s">
        <v>352</v>
      </c>
      <c r="C9" s="54" t="s">
        <v>353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66"/>
      <c r="C10" s="57" t="s">
        <v>354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64" t="s">
        <v>355</v>
      </c>
      <c r="C11" s="57" t="s">
        <v>356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66"/>
      <c r="C12" s="57" t="s">
        <v>357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64" t="s">
        <v>358</v>
      </c>
      <c r="C13" s="54" t="s">
        <v>359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66"/>
      <c r="C14" s="57" t="s">
        <v>360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361</v>
      </c>
      <c r="C15" s="57" t="s">
        <v>362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363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364</v>
      </c>
    </row>
    <row r="19" spans="1:15" ht="30.75" customHeight="1" x14ac:dyDescent="0.25">
      <c r="L19" s="69"/>
    </row>
    <row r="20" spans="1:15" ht="15" customHeight="1" outlineLevel="1" x14ac:dyDescent="0.25">
      <c r="G20" s="261" t="s">
        <v>365</v>
      </c>
      <c r="H20" s="261"/>
      <c r="I20" s="261"/>
      <c r="J20" s="261"/>
      <c r="K20" s="261"/>
      <c r="L20" s="261"/>
      <c r="M20" s="261"/>
      <c r="N20" s="261"/>
    </row>
    <row r="21" spans="1:15" ht="15.75" customHeight="1" outlineLevel="1" x14ac:dyDescent="0.25">
      <c r="G21" s="70"/>
      <c r="H21" s="70" t="s">
        <v>366</v>
      </c>
      <c r="I21" s="70" t="s">
        <v>367</v>
      </c>
      <c r="J21" s="70" t="s">
        <v>368</v>
      </c>
      <c r="K21" s="71" t="s">
        <v>369</v>
      </c>
      <c r="L21" s="70" t="s">
        <v>370</v>
      </c>
      <c r="M21" s="70" t="s">
        <v>371</v>
      </c>
      <c r="N21" s="70" t="s">
        <v>372</v>
      </c>
      <c r="O21" s="64"/>
    </row>
    <row r="22" spans="1:15" ht="15.75" customHeight="1" outlineLevel="1" x14ac:dyDescent="0.25">
      <c r="G22" s="281" t="s">
        <v>373</v>
      </c>
      <c r="H22" s="280">
        <v>6.09</v>
      </c>
      <c r="I22" s="282">
        <v>6.44</v>
      </c>
      <c r="J22" s="280">
        <v>5.77</v>
      </c>
      <c r="K22" s="282">
        <v>5.77</v>
      </c>
      <c r="L22" s="280">
        <v>5.23</v>
      </c>
      <c r="M22" s="280">
        <v>5.77</v>
      </c>
      <c r="N22" s="72">
        <v>6.29</v>
      </c>
      <c r="O22" t="s">
        <v>374</v>
      </c>
    </row>
    <row r="23" spans="1:15" ht="15.75" customHeight="1" outlineLevel="1" x14ac:dyDescent="0.25">
      <c r="G23" s="281"/>
      <c r="H23" s="280"/>
      <c r="I23" s="282"/>
      <c r="J23" s="280"/>
      <c r="K23" s="282"/>
      <c r="L23" s="280"/>
      <c r="M23" s="280"/>
      <c r="N23" s="72">
        <v>6.56</v>
      </c>
      <c r="O23" t="s">
        <v>375</v>
      </c>
    </row>
    <row r="24" spans="1:15" ht="15.75" customHeight="1" outlineLevel="1" x14ac:dyDescent="0.25">
      <c r="G24" s="73" t="s">
        <v>376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350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377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378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317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98" t="s">
        <v>379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</row>
    <row r="4" spans="1:18" ht="36.75" customHeight="1" x14ac:dyDescent="0.25">
      <c r="A4" s="264" t="s">
        <v>339</v>
      </c>
      <c r="B4" s="267" t="s">
        <v>340</v>
      </c>
      <c r="C4" s="270" t="s">
        <v>380</v>
      </c>
      <c r="D4" s="270" t="s">
        <v>381</v>
      </c>
      <c r="E4" s="273" t="s">
        <v>382</v>
      </c>
      <c r="F4" s="274"/>
      <c r="G4" s="274"/>
      <c r="H4" s="274"/>
      <c r="I4" s="274"/>
      <c r="J4" s="274"/>
      <c r="K4" s="274"/>
      <c r="L4" s="274"/>
      <c r="M4" s="274"/>
      <c r="N4" s="299" t="s">
        <v>383</v>
      </c>
      <c r="O4" s="300"/>
      <c r="P4" s="300"/>
      <c r="Q4" s="300"/>
      <c r="R4" s="301"/>
    </row>
    <row r="5" spans="1:18" ht="60" customHeight="1" x14ac:dyDescent="0.25">
      <c r="A5" s="265"/>
      <c r="B5" s="268"/>
      <c r="C5" s="271"/>
      <c r="D5" s="271"/>
      <c r="E5" s="278" t="s">
        <v>384</v>
      </c>
      <c r="F5" s="278" t="s">
        <v>385</v>
      </c>
      <c r="G5" s="275" t="s">
        <v>346</v>
      </c>
      <c r="H5" s="276"/>
      <c r="I5" s="276"/>
      <c r="J5" s="277"/>
      <c r="K5" s="278" t="s">
        <v>386</v>
      </c>
      <c r="L5" s="278"/>
      <c r="M5" s="278"/>
      <c r="N5" s="75" t="s">
        <v>387</v>
      </c>
      <c r="O5" s="75" t="s">
        <v>388</v>
      </c>
      <c r="P5" s="75" t="s">
        <v>389</v>
      </c>
      <c r="Q5" s="76" t="s">
        <v>390</v>
      </c>
      <c r="R5" s="75" t="s">
        <v>391</v>
      </c>
    </row>
    <row r="6" spans="1:18" ht="49.5" customHeight="1" x14ac:dyDescent="0.25">
      <c r="A6" s="266"/>
      <c r="B6" s="269"/>
      <c r="C6" s="272"/>
      <c r="D6" s="272"/>
      <c r="E6" s="278"/>
      <c r="F6" s="278"/>
      <c r="G6" s="48" t="s">
        <v>87</v>
      </c>
      <c r="H6" s="48" t="s">
        <v>88</v>
      </c>
      <c r="I6" s="48" t="s">
        <v>43</v>
      </c>
      <c r="J6" s="48" t="s">
        <v>317</v>
      </c>
      <c r="K6" s="48" t="s">
        <v>387</v>
      </c>
      <c r="L6" s="48" t="s">
        <v>388</v>
      </c>
      <c r="M6" s="48" t="s">
        <v>389</v>
      </c>
      <c r="N6" s="48" t="s">
        <v>392</v>
      </c>
      <c r="O6" s="48" t="s">
        <v>393</v>
      </c>
      <c r="P6" s="48" t="s">
        <v>394</v>
      </c>
      <c r="Q6" s="49" t="s">
        <v>395</v>
      </c>
      <c r="R6" s="48" t="s">
        <v>396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4">
        <v>1</v>
      </c>
      <c r="B9" s="264" t="s">
        <v>397</v>
      </c>
      <c r="C9" s="291" t="s">
        <v>353</v>
      </c>
      <c r="D9" s="54" t="s">
        <v>398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599999999999994" hidden="1" customHeight="1" x14ac:dyDescent="0.25">
      <c r="A10" s="266"/>
      <c r="B10" s="265"/>
      <c r="C10" s="292"/>
      <c r="D10" s="54" t="s">
        <v>399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64">
        <v>2</v>
      </c>
      <c r="B11" s="265"/>
      <c r="C11" s="291" t="s">
        <v>400</v>
      </c>
      <c r="D11" s="54" t="s">
        <v>398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66"/>
      <c r="B12" s="266"/>
      <c r="C12" s="292"/>
      <c r="D12" s="54" t="s">
        <v>399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64">
        <v>3</v>
      </c>
      <c r="B13" s="264" t="s">
        <v>355</v>
      </c>
      <c r="C13" s="294" t="s">
        <v>356</v>
      </c>
      <c r="D13" s="54" t="s">
        <v>401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" hidden="1" customHeight="1" x14ac:dyDescent="0.25">
      <c r="A14" s="266"/>
      <c r="B14" s="265"/>
      <c r="C14" s="295"/>
      <c r="D14" s="54" t="s">
        <v>399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64">
        <v>4</v>
      </c>
      <c r="B15" s="265"/>
      <c r="C15" s="296" t="s">
        <v>357</v>
      </c>
      <c r="D15" s="57" t="s">
        <v>401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66"/>
      <c r="B16" s="266"/>
      <c r="C16" s="297"/>
      <c r="D16" s="57" t="s">
        <v>399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64">
        <v>5</v>
      </c>
      <c r="B17" s="279" t="s">
        <v>358</v>
      </c>
      <c r="C17" s="291" t="s">
        <v>402</v>
      </c>
      <c r="D17" s="54" t="s">
        <v>403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66"/>
      <c r="B18" s="279"/>
      <c r="C18" s="292"/>
      <c r="D18" s="54" t="s">
        <v>399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64">
        <v>6</v>
      </c>
      <c r="B19" s="279"/>
      <c r="C19" s="291" t="s">
        <v>360</v>
      </c>
      <c r="D19" s="57" t="s">
        <v>401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66"/>
      <c r="B20" s="279"/>
      <c r="C20" s="292"/>
      <c r="D20" s="57" t="s">
        <v>399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64">
        <v>7</v>
      </c>
      <c r="B21" s="264" t="s">
        <v>361</v>
      </c>
      <c r="C21" s="291" t="s">
        <v>362</v>
      </c>
      <c r="D21" s="57" t="s">
        <v>404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66"/>
      <c r="B22" s="266"/>
      <c r="C22" s="292"/>
      <c r="D22" s="80" t="s">
        <v>399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405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93" t="s">
        <v>406</v>
      </c>
      <c r="E26" s="293"/>
      <c r="F26" s="293"/>
      <c r="G26" s="293"/>
      <c r="H26" s="293"/>
      <c r="I26" s="293"/>
      <c r="J26" s="293"/>
      <c r="K26" s="293"/>
      <c r="L26" s="69"/>
      <c r="R26" s="87"/>
    </row>
    <row r="27" spans="1:18" outlineLevel="1" x14ac:dyDescent="0.25">
      <c r="D27" s="88"/>
      <c r="E27" s="88" t="s">
        <v>366</v>
      </c>
      <c r="F27" s="88" t="s">
        <v>367</v>
      </c>
      <c r="G27" s="88" t="s">
        <v>368</v>
      </c>
      <c r="H27" s="89" t="s">
        <v>369</v>
      </c>
      <c r="I27" s="89" t="s">
        <v>370</v>
      </c>
      <c r="J27" s="89" t="s">
        <v>371</v>
      </c>
      <c r="K27" s="60" t="s">
        <v>372</v>
      </c>
    </row>
    <row r="28" spans="1:18" outlineLevel="1" x14ac:dyDescent="0.25">
      <c r="D28" s="287" t="s">
        <v>373</v>
      </c>
      <c r="E28" s="285">
        <v>6.09</v>
      </c>
      <c r="F28" s="289">
        <v>6.63</v>
      </c>
      <c r="G28" s="285">
        <v>5.77</v>
      </c>
      <c r="H28" s="283">
        <v>5.77</v>
      </c>
      <c r="I28" s="283">
        <v>6.35</v>
      </c>
      <c r="J28" s="285">
        <v>5.77</v>
      </c>
      <c r="K28" s="90">
        <v>6.29</v>
      </c>
      <c r="L28" t="s">
        <v>374</v>
      </c>
    </row>
    <row r="29" spans="1:18" outlineLevel="1" x14ac:dyDescent="0.25">
      <c r="D29" s="288"/>
      <c r="E29" s="286"/>
      <c r="F29" s="290"/>
      <c r="G29" s="286"/>
      <c r="H29" s="284"/>
      <c r="I29" s="284"/>
      <c r="J29" s="286"/>
      <c r="K29" s="90">
        <v>6.56</v>
      </c>
      <c r="L29" t="s">
        <v>375</v>
      </c>
    </row>
    <row r="30" spans="1:18" outlineLevel="1" x14ac:dyDescent="0.25">
      <c r="D30" s="91" t="s">
        <v>376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7" t="s">
        <v>350</v>
      </c>
      <c r="E31" s="285">
        <v>11.37</v>
      </c>
      <c r="F31" s="289">
        <v>13.56</v>
      </c>
      <c r="G31" s="285">
        <v>15.91</v>
      </c>
      <c r="H31" s="283">
        <v>15.91</v>
      </c>
      <c r="I31" s="283">
        <v>14.03</v>
      </c>
      <c r="J31" s="285">
        <v>15.91</v>
      </c>
      <c r="K31" s="90">
        <v>8.2899999999999991</v>
      </c>
      <c r="L31" t="s">
        <v>374</v>
      </c>
    </row>
    <row r="32" spans="1:18" outlineLevel="1" x14ac:dyDescent="0.25">
      <c r="D32" s="288"/>
      <c r="E32" s="286"/>
      <c r="F32" s="290"/>
      <c r="G32" s="286"/>
      <c r="H32" s="284"/>
      <c r="I32" s="284"/>
      <c r="J32" s="286"/>
      <c r="K32" s="90">
        <v>11.84</v>
      </c>
      <c r="L32" t="s">
        <v>375</v>
      </c>
    </row>
    <row r="33" spans="4:12" ht="15" customHeight="1" outlineLevel="1" x14ac:dyDescent="0.25">
      <c r="D33" s="92" t="s">
        <v>377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407</v>
      </c>
    </row>
    <row r="34" spans="4:12" outlineLevel="1" x14ac:dyDescent="0.25">
      <c r="D34" s="92" t="s">
        <v>378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407</v>
      </c>
    </row>
    <row r="35" spans="4:12" outlineLevel="1" x14ac:dyDescent="0.25">
      <c r="D35" s="91" t="s">
        <v>317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5" t="s">
        <v>10</v>
      </c>
      <c r="B2" s="205"/>
      <c r="C2" s="205"/>
      <c r="D2" s="205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8"/>
    </row>
    <row r="5" spans="1:4" x14ac:dyDescent="0.25">
      <c r="A5" s="5"/>
      <c r="B5" s="1"/>
      <c r="C5" s="1"/>
    </row>
    <row r="6" spans="1:4" x14ac:dyDescent="0.25">
      <c r="A6" s="205" t="s">
        <v>12</v>
      </c>
      <c r="B6" s="205"/>
      <c r="C6" s="205"/>
      <c r="D6" s="205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9" t="s">
        <v>5</v>
      </c>
      <c r="B15" s="210" t="s">
        <v>15</v>
      </c>
      <c r="C15" s="210"/>
      <c r="D15" s="210"/>
    </row>
    <row r="16" spans="1:4" x14ac:dyDescent="0.25">
      <c r="A16" s="209"/>
      <c r="B16" s="209" t="s">
        <v>17</v>
      </c>
      <c r="C16" s="210" t="s">
        <v>28</v>
      </c>
      <c r="D16" s="210"/>
    </row>
    <row r="17" spans="1:4" ht="39" customHeight="1" x14ac:dyDescent="0.25">
      <c r="A17" s="209"/>
      <c r="B17" s="209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1" t="s">
        <v>29</v>
      </c>
      <c r="B2" s="211"/>
      <c r="C2" s="211"/>
      <c r="D2" s="211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0" zoomScale="85" zoomScaleNormal="55" zoomScaleSheetLayoutView="85" workbookViewId="0">
      <selection activeCell="D28" sqref="D28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39.4257812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12" t="s">
        <v>45</v>
      </c>
      <c r="C3" s="212"/>
      <c r="D3" s="212"/>
      <c r="E3" s="212"/>
      <c r="F3" s="212"/>
    </row>
    <row r="4" spans="2:6" x14ac:dyDescent="0.25">
      <c r="B4" s="213" t="s">
        <v>46</v>
      </c>
      <c r="C4" s="213"/>
      <c r="D4" s="213"/>
      <c r="E4" s="213"/>
      <c r="F4" s="213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14" t="s">
        <v>47</v>
      </c>
      <c r="C7" s="214"/>
      <c r="D7" s="214"/>
      <c r="E7" s="214"/>
      <c r="F7" s="214"/>
    </row>
    <row r="8" spans="2:6" ht="31.5" customHeight="1" x14ac:dyDescent="0.25">
      <c r="B8" s="214" t="s">
        <v>48</v>
      </c>
      <c r="C8" s="214"/>
      <c r="D8" s="214"/>
      <c r="E8" s="214"/>
      <c r="F8" s="214"/>
    </row>
    <row r="9" spans="2:6" x14ac:dyDescent="0.25">
      <c r="B9" s="214" t="s">
        <v>49</v>
      </c>
      <c r="C9" s="214"/>
      <c r="D9" s="214"/>
      <c r="E9" s="214"/>
      <c r="F9" s="214"/>
    </row>
    <row r="10" spans="2:6" x14ac:dyDescent="0.25">
      <c r="B10" s="179"/>
    </row>
    <row r="11" spans="2:6" x14ac:dyDescent="0.25">
      <c r="B11" s="134" t="s">
        <v>33</v>
      </c>
      <c r="C11" s="134" t="s">
        <v>50</v>
      </c>
      <c r="D11" s="119" t="s">
        <v>51</v>
      </c>
      <c r="E11" s="119"/>
      <c r="F11" s="119"/>
    </row>
    <row r="12" spans="2:6" ht="63" customHeight="1" x14ac:dyDescent="0.25">
      <c r="B12" s="134">
        <v>1</v>
      </c>
      <c r="C12" s="119" t="s">
        <v>52</v>
      </c>
      <c r="D12" s="204" t="s">
        <v>53</v>
      </c>
      <c r="E12" s="119"/>
      <c r="F12" s="119"/>
    </row>
    <row r="13" spans="2:6" ht="31.5" customHeight="1" x14ac:dyDescent="0.25">
      <c r="B13" s="134">
        <v>2</v>
      </c>
      <c r="C13" s="119" t="s">
        <v>54</v>
      </c>
      <c r="D13" s="204" t="s">
        <v>55</v>
      </c>
      <c r="E13" s="119"/>
      <c r="F13" s="119"/>
    </row>
    <row r="14" spans="2:6" x14ac:dyDescent="0.25">
      <c r="B14" s="134">
        <v>3</v>
      </c>
      <c r="C14" s="119" t="s">
        <v>56</v>
      </c>
      <c r="D14" s="204" t="s">
        <v>57</v>
      </c>
      <c r="E14" s="119"/>
      <c r="F14" s="119"/>
    </row>
    <row r="15" spans="2:6" x14ac:dyDescent="0.25">
      <c r="B15" s="134">
        <v>4</v>
      </c>
      <c r="C15" s="119" t="s">
        <v>58</v>
      </c>
      <c r="D15" s="204">
        <v>1</v>
      </c>
      <c r="E15" s="115"/>
      <c r="F15" s="115"/>
    </row>
    <row r="16" spans="2:6" ht="94.5" customHeight="1" x14ac:dyDescent="0.25">
      <c r="B16" s="134">
        <v>5</v>
      </c>
      <c r="C16" s="120" t="s">
        <v>59</v>
      </c>
      <c r="D16" s="115" t="s">
        <v>60</v>
      </c>
      <c r="E16" s="119"/>
      <c r="F16" s="119"/>
    </row>
    <row r="17" spans="2:12" ht="78.75" customHeight="1" x14ac:dyDescent="0.25">
      <c r="B17" s="134">
        <v>6</v>
      </c>
      <c r="C17" s="120" t="s">
        <v>61</v>
      </c>
      <c r="D17" s="121">
        <f>D18+D19</f>
        <v>5005.2794836000003</v>
      </c>
      <c r="E17" s="121"/>
      <c r="F17" s="121"/>
    </row>
    <row r="18" spans="2:12" x14ac:dyDescent="0.25">
      <c r="B18" s="122" t="s">
        <v>62</v>
      </c>
      <c r="C18" s="119" t="s">
        <v>63</v>
      </c>
      <c r="D18" s="121">
        <f>'Прил.2 Расч стоим'!F14</f>
        <v>19.4368312</v>
      </c>
      <c r="E18" s="121"/>
      <c r="F18" s="121"/>
    </row>
    <row r="19" spans="2:12" ht="15.75" customHeight="1" x14ac:dyDescent="0.25">
      <c r="B19" s="122" t="s">
        <v>64</v>
      </c>
      <c r="C19" s="119" t="s">
        <v>65</v>
      </c>
      <c r="D19" s="121">
        <f>'Прил.2 Расч стоим'!H14</f>
        <v>4985.8426523999997</v>
      </c>
      <c r="E19" s="121"/>
      <c r="F19" s="121"/>
    </row>
    <row r="20" spans="2:12" ht="16.5" customHeight="1" x14ac:dyDescent="0.25">
      <c r="B20" s="122" t="s">
        <v>66</v>
      </c>
      <c r="C20" s="119" t="s">
        <v>67</v>
      </c>
      <c r="D20" s="121"/>
      <c r="E20" s="121"/>
      <c r="F20" s="121"/>
      <c r="L20" s="172"/>
    </row>
    <row r="21" spans="2:12" ht="35.25" customHeight="1" x14ac:dyDescent="0.25">
      <c r="B21" s="122" t="s">
        <v>68</v>
      </c>
      <c r="C21" s="123" t="s">
        <v>69</v>
      </c>
      <c r="D21" s="121"/>
      <c r="E21" s="121"/>
      <c r="F21" s="121"/>
    </row>
    <row r="22" spans="2:12" x14ac:dyDescent="0.25">
      <c r="B22" s="134">
        <v>7</v>
      </c>
      <c r="C22" s="123" t="s">
        <v>70</v>
      </c>
      <c r="D22" s="134" t="s">
        <v>71</v>
      </c>
      <c r="E22" s="134"/>
      <c r="F22" s="121"/>
      <c r="G22" s="169"/>
    </row>
    <row r="23" spans="2:12" ht="123" customHeight="1" x14ac:dyDescent="0.25">
      <c r="B23" s="134">
        <v>8</v>
      </c>
      <c r="C23" s="124" t="s">
        <v>72</v>
      </c>
      <c r="D23" s="121">
        <f>D17</f>
        <v>5005.2794836000003</v>
      </c>
      <c r="E23" s="121"/>
      <c r="F23" s="125"/>
      <c r="G23" s="193" t="s">
        <v>73</v>
      </c>
    </row>
    <row r="24" spans="2:12" ht="60.75" customHeight="1" x14ac:dyDescent="0.25">
      <c r="B24" s="134">
        <v>9</v>
      </c>
      <c r="C24" s="120" t="s">
        <v>74</v>
      </c>
      <c r="D24" s="121">
        <f>D17/D15</f>
        <v>5005.2794836000003</v>
      </c>
      <c r="E24" s="121"/>
      <c r="F24" s="121"/>
    </row>
    <row r="25" spans="2:12" ht="110.25" customHeight="1" x14ac:dyDescent="0.25">
      <c r="B25" s="134">
        <v>10</v>
      </c>
      <c r="C25" s="119" t="s">
        <v>75</v>
      </c>
      <c r="D25" s="119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76</v>
      </c>
    </row>
    <row r="29" spans="2:12" x14ac:dyDescent="0.25">
      <c r="B29" s="128" t="s">
        <v>77</v>
      </c>
    </row>
    <row r="31" spans="2:12" x14ac:dyDescent="0.25">
      <c r="B31" s="117" t="s">
        <v>78</v>
      </c>
    </row>
    <row r="32" spans="2:12" x14ac:dyDescent="0.25">
      <c r="B32" s="128" t="s">
        <v>79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37"/>
  <sheetViews>
    <sheetView view="pageBreakPreview" zoomScale="70" zoomScaleNormal="70" workbookViewId="0">
      <selection activeCell="E19" sqref="E19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9.140625" style="117"/>
  </cols>
  <sheetData>
    <row r="3" spans="2:10" x14ac:dyDescent="0.25">
      <c r="B3" s="212" t="s">
        <v>80</v>
      </c>
      <c r="C3" s="212"/>
      <c r="D3" s="212"/>
      <c r="E3" s="212"/>
      <c r="F3" s="212"/>
      <c r="G3" s="212"/>
      <c r="H3" s="212"/>
      <c r="I3" s="212"/>
      <c r="J3" s="212"/>
    </row>
    <row r="4" spans="2:10" x14ac:dyDescent="0.25">
      <c r="B4" s="213" t="s">
        <v>81</v>
      </c>
      <c r="C4" s="213"/>
      <c r="D4" s="213"/>
      <c r="E4" s="213"/>
      <c r="F4" s="213"/>
      <c r="G4" s="213"/>
      <c r="H4" s="213"/>
      <c r="I4" s="213"/>
      <c r="J4" s="213"/>
    </row>
    <row r="5" spans="2:10" x14ac:dyDescent="0.25">
      <c r="B5" s="118"/>
      <c r="C5" s="118"/>
      <c r="D5" s="118"/>
      <c r="E5" s="118"/>
      <c r="F5" s="118"/>
      <c r="G5" s="118"/>
      <c r="H5" s="118"/>
      <c r="I5" s="118"/>
      <c r="J5" s="118"/>
    </row>
    <row r="6" spans="2:10" ht="30" customHeight="1" x14ac:dyDescent="0.25">
      <c r="B6" s="216" t="s">
        <v>47</v>
      </c>
      <c r="C6" s="216"/>
      <c r="D6" s="216"/>
      <c r="E6" s="216"/>
      <c r="F6" s="216"/>
      <c r="G6" s="216"/>
      <c r="H6" s="216"/>
      <c r="I6" s="216"/>
      <c r="J6" s="216"/>
    </row>
    <row r="7" spans="2:10" x14ac:dyDescent="0.25">
      <c r="B7" s="214" t="s">
        <v>49</v>
      </c>
      <c r="C7" s="214"/>
      <c r="D7" s="214"/>
      <c r="E7" s="214"/>
      <c r="F7" s="214"/>
      <c r="G7" s="214"/>
      <c r="H7" s="214"/>
      <c r="I7" s="214"/>
      <c r="J7" s="214"/>
    </row>
    <row r="8" spans="2:10" x14ac:dyDescent="0.25">
      <c r="B8" s="179"/>
    </row>
    <row r="9" spans="2:10" ht="15.75" customHeight="1" x14ac:dyDescent="0.25">
      <c r="B9" s="217" t="s">
        <v>33</v>
      </c>
      <c r="C9" s="217" t="s">
        <v>82</v>
      </c>
      <c r="D9" s="217" t="s">
        <v>83</v>
      </c>
      <c r="E9" s="217"/>
      <c r="F9" s="217"/>
      <c r="G9" s="217"/>
      <c r="H9" s="217"/>
      <c r="I9" s="217"/>
      <c r="J9" s="217"/>
    </row>
    <row r="10" spans="2:10" ht="15.75" customHeight="1" x14ac:dyDescent="0.25">
      <c r="B10" s="217"/>
      <c r="C10" s="217"/>
      <c r="D10" s="217" t="s">
        <v>84</v>
      </c>
      <c r="E10" s="217" t="s">
        <v>85</v>
      </c>
      <c r="F10" s="217" t="s">
        <v>86</v>
      </c>
      <c r="G10" s="217"/>
      <c r="H10" s="217"/>
      <c r="I10" s="217"/>
      <c r="J10" s="217"/>
    </row>
    <row r="11" spans="2:10" ht="31.5" customHeight="1" x14ac:dyDescent="0.25">
      <c r="B11" s="217"/>
      <c r="C11" s="217"/>
      <c r="D11" s="217"/>
      <c r="E11" s="217"/>
      <c r="F11" s="134" t="s">
        <v>87</v>
      </c>
      <c r="G11" s="134" t="s">
        <v>88</v>
      </c>
      <c r="H11" s="134" t="s">
        <v>43</v>
      </c>
      <c r="I11" s="134" t="s">
        <v>89</v>
      </c>
      <c r="J11" s="134" t="s">
        <v>90</v>
      </c>
    </row>
    <row r="12" spans="2:10" ht="91.5" customHeight="1" x14ac:dyDescent="0.25">
      <c r="B12" s="129">
        <v>1</v>
      </c>
      <c r="C12" s="161" t="s">
        <v>91</v>
      </c>
      <c r="D12" s="199"/>
      <c r="E12" s="119"/>
      <c r="F12" s="218">
        <v>19.4368312</v>
      </c>
      <c r="G12" s="219"/>
      <c r="H12" s="181">
        <v>4985.8426523999997</v>
      </c>
      <c r="I12" s="182"/>
      <c r="J12" s="183">
        <v>5005.2794836000003</v>
      </c>
    </row>
    <row r="13" spans="2:10" ht="15.75" customHeight="1" x14ac:dyDescent="0.25">
      <c r="B13" s="215" t="s">
        <v>92</v>
      </c>
      <c r="C13" s="215"/>
      <c r="D13" s="215"/>
      <c r="E13" s="215"/>
      <c r="F13" s="184"/>
      <c r="G13" s="184"/>
      <c r="H13" s="184"/>
      <c r="I13" s="138"/>
      <c r="J13" s="185"/>
    </row>
    <row r="14" spans="2:10" ht="28.5" customHeight="1" x14ac:dyDescent="0.25">
      <c r="B14" s="215" t="s">
        <v>93</v>
      </c>
      <c r="C14" s="215"/>
      <c r="D14" s="215"/>
      <c r="E14" s="215"/>
      <c r="F14" s="220">
        <f>F12</f>
        <v>19.4368312</v>
      </c>
      <c r="G14" s="221"/>
      <c r="H14" s="184">
        <f>H12</f>
        <v>4985.8426523999997</v>
      </c>
      <c r="I14" s="138"/>
      <c r="J14" s="185">
        <f>J12</f>
        <v>5005.2794836000003</v>
      </c>
    </row>
    <row r="18" spans="2:10" x14ac:dyDescent="0.25">
      <c r="B18" s="117" t="s">
        <v>76</v>
      </c>
    </row>
    <row r="19" spans="2:10" x14ac:dyDescent="0.25">
      <c r="B19" s="128" t="s">
        <v>77</v>
      </c>
    </row>
    <row r="21" spans="2:10" x14ac:dyDescent="0.25">
      <c r="B21" s="117" t="s">
        <v>78</v>
      </c>
    </row>
    <row r="22" spans="2:10" x14ac:dyDescent="0.25">
      <c r="B22" s="128" t="s">
        <v>79</v>
      </c>
    </row>
    <row r="24" spans="2:10" x14ac:dyDescent="0.25">
      <c r="G24" s="172"/>
      <c r="H24" s="172"/>
      <c r="I24" s="172"/>
      <c r="J24" s="180"/>
    </row>
    <row r="37" spans="9:9" x14ac:dyDescent="0.25">
      <c r="I37" s="170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L46"/>
  <sheetViews>
    <sheetView view="pageBreakPreview" topLeftCell="A23" zoomScale="85" zoomScaleSheetLayoutView="85" workbookViewId="0">
      <selection activeCell="D45" sqref="D45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59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  <col min="10" max="10" width="10.140625" style="117" customWidth="1"/>
    <col min="11" max="11" width="14" style="117" customWidth="1"/>
    <col min="12" max="12" width="9.140625" style="117"/>
  </cols>
  <sheetData>
    <row r="4" spans="1:12" x14ac:dyDescent="0.25">
      <c r="A4" s="212" t="s">
        <v>94</v>
      </c>
      <c r="B4" s="212"/>
      <c r="C4" s="212"/>
      <c r="D4" s="212"/>
      <c r="E4" s="212"/>
      <c r="F4" s="212"/>
      <c r="G4" s="212"/>
      <c r="H4" s="212"/>
    </row>
    <row r="5" spans="1:12" x14ac:dyDescent="0.25">
      <c r="A5" s="213" t="s">
        <v>95</v>
      </c>
      <c r="B5" s="213"/>
      <c r="C5" s="213"/>
      <c r="D5" s="213"/>
      <c r="E5" s="213"/>
      <c r="F5" s="213"/>
      <c r="G5" s="213"/>
      <c r="H5" s="213"/>
    </row>
    <row r="6" spans="1:12" x14ac:dyDescent="0.25">
      <c r="A6" s="179"/>
    </row>
    <row r="7" spans="1:12" ht="41.25" customHeight="1" x14ac:dyDescent="0.25">
      <c r="A7" s="216" t="s">
        <v>96</v>
      </c>
      <c r="B7" s="216"/>
      <c r="C7" s="216"/>
      <c r="D7" s="216"/>
      <c r="E7" s="216"/>
      <c r="F7" s="216"/>
      <c r="G7" s="216"/>
      <c r="H7" s="216"/>
    </row>
    <row r="8" spans="1:12" x14ac:dyDescent="0.25">
      <c r="A8" s="160"/>
      <c r="B8" s="160"/>
      <c r="C8" s="160"/>
      <c r="D8" s="160"/>
      <c r="E8" s="118"/>
      <c r="F8" s="160"/>
      <c r="G8" s="160"/>
      <c r="H8" s="160"/>
    </row>
    <row r="9" spans="1:12" ht="38.25" customHeight="1" x14ac:dyDescent="0.25">
      <c r="A9" s="217" t="s">
        <v>97</v>
      </c>
      <c r="B9" s="217" t="s">
        <v>98</v>
      </c>
      <c r="C9" s="217" t="s">
        <v>99</v>
      </c>
      <c r="D9" s="217" t="s">
        <v>100</v>
      </c>
      <c r="E9" s="217" t="s">
        <v>101</v>
      </c>
      <c r="F9" s="217" t="s">
        <v>102</v>
      </c>
      <c r="G9" s="217" t="s">
        <v>103</v>
      </c>
      <c r="H9" s="217"/>
    </row>
    <row r="10" spans="1:12" ht="40.5" customHeight="1" x14ac:dyDescent="0.25">
      <c r="A10" s="217"/>
      <c r="B10" s="217"/>
      <c r="C10" s="217"/>
      <c r="D10" s="217"/>
      <c r="E10" s="217"/>
      <c r="F10" s="217"/>
      <c r="G10" s="134" t="s">
        <v>104</v>
      </c>
      <c r="H10" s="134" t="s">
        <v>105</v>
      </c>
    </row>
    <row r="11" spans="1:12" x14ac:dyDescent="0.25">
      <c r="A11" s="161">
        <v>1</v>
      </c>
      <c r="B11" s="161"/>
      <c r="C11" s="161">
        <v>2</v>
      </c>
      <c r="D11" s="161" t="s">
        <v>106</v>
      </c>
      <c r="E11" s="161">
        <v>4</v>
      </c>
      <c r="F11" s="161">
        <v>5</v>
      </c>
      <c r="G11" s="161">
        <v>6</v>
      </c>
      <c r="H11" s="161">
        <v>7</v>
      </c>
    </row>
    <row r="12" spans="1:12" s="163" customFormat="1" x14ac:dyDescent="0.25">
      <c r="A12" s="225" t="s">
        <v>107</v>
      </c>
      <c r="B12" s="226"/>
      <c r="C12" s="227"/>
      <c r="D12" s="227"/>
      <c r="E12" s="226"/>
      <c r="F12" s="162">
        <f>SUM(F13:F17)</f>
        <v>152.96</v>
      </c>
      <c r="G12" s="162"/>
      <c r="H12" s="162">
        <f>SUM(H13:H17)</f>
        <v>1866.57</v>
      </c>
    </row>
    <row r="13" spans="1:12" x14ac:dyDescent="0.25">
      <c r="A13" s="164">
        <v>1</v>
      </c>
      <c r="B13" s="165" t="s">
        <v>73</v>
      </c>
      <c r="C13" s="198" t="s">
        <v>108</v>
      </c>
      <c r="D13" s="166" t="s">
        <v>109</v>
      </c>
      <c r="E13" s="167" t="s">
        <v>110</v>
      </c>
      <c r="F13" s="164">
        <v>124</v>
      </c>
      <c r="G13" s="130">
        <v>12.92</v>
      </c>
      <c r="H13" s="130">
        <f>ROUND(F13*G13,2)</f>
        <v>1602.08</v>
      </c>
      <c r="K13" s="168"/>
      <c r="L13" s="171"/>
    </row>
    <row r="14" spans="1:12" x14ac:dyDescent="0.25">
      <c r="A14" s="164">
        <v>2</v>
      </c>
      <c r="B14" s="165" t="s">
        <v>73</v>
      </c>
      <c r="C14" s="198" t="s">
        <v>111</v>
      </c>
      <c r="D14" s="166" t="s">
        <v>112</v>
      </c>
      <c r="E14" s="167" t="s">
        <v>110</v>
      </c>
      <c r="F14" s="164">
        <v>13.4</v>
      </c>
      <c r="G14" s="130">
        <v>8.5299999999999994</v>
      </c>
      <c r="H14" s="130">
        <f>ROUND(F14*G14,2)</f>
        <v>114.3</v>
      </c>
      <c r="K14" s="168"/>
      <c r="L14" s="171"/>
    </row>
    <row r="15" spans="1:12" x14ac:dyDescent="0.25">
      <c r="A15" s="164">
        <v>3</v>
      </c>
      <c r="B15" s="165" t="s">
        <v>73</v>
      </c>
      <c r="C15" s="198" t="s">
        <v>113</v>
      </c>
      <c r="D15" s="166" t="s">
        <v>114</v>
      </c>
      <c r="E15" s="167" t="s">
        <v>110</v>
      </c>
      <c r="F15" s="164">
        <v>8.4</v>
      </c>
      <c r="G15" s="130">
        <v>9.92</v>
      </c>
      <c r="H15" s="130">
        <f>ROUND(F15*G15,2)</f>
        <v>83.33</v>
      </c>
      <c r="K15" s="168"/>
      <c r="L15" s="171"/>
    </row>
    <row r="16" spans="1:12" x14ac:dyDescent="0.25">
      <c r="A16" s="164">
        <v>4</v>
      </c>
      <c r="B16" s="165" t="s">
        <v>73</v>
      </c>
      <c r="C16" s="198" t="s">
        <v>115</v>
      </c>
      <c r="D16" s="166" t="s">
        <v>116</v>
      </c>
      <c r="E16" s="167" t="s">
        <v>110</v>
      </c>
      <c r="F16" s="164">
        <v>5.0999999999999996</v>
      </c>
      <c r="G16" s="130">
        <v>9.6199999999999992</v>
      </c>
      <c r="H16" s="130">
        <f>ROUND(F16*G16,2)</f>
        <v>49.06</v>
      </c>
      <c r="K16" s="168"/>
      <c r="L16" s="171"/>
    </row>
    <row r="17" spans="1:12" x14ac:dyDescent="0.25">
      <c r="A17" s="164">
        <v>5</v>
      </c>
      <c r="B17" s="165" t="s">
        <v>73</v>
      </c>
      <c r="C17" s="198" t="s">
        <v>117</v>
      </c>
      <c r="D17" s="166" t="s">
        <v>118</v>
      </c>
      <c r="E17" s="167" t="s">
        <v>110</v>
      </c>
      <c r="F17" s="164">
        <v>2.06</v>
      </c>
      <c r="G17" s="130">
        <v>8.64</v>
      </c>
      <c r="H17" s="130">
        <f>ROUND(F17*G17,2)</f>
        <v>17.8</v>
      </c>
      <c r="K17" s="168"/>
      <c r="L17" s="171"/>
    </row>
    <row r="18" spans="1:12" x14ac:dyDescent="0.25">
      <c r="A18" s="225" t="s">
        <v>119</v>
      </c>
      <c r="B18" s="226"/>
      <c r="C18" s="227"/>
      <c r="D18" s="227"/>
      <c r="E18" s="226"/>
      <c r="F18" s="186">
        <f>F19</f>
        <v>2.56</v>
      </c>
      <c r="G18" s="162"/>
      <c r="H18" s="162">
        <f>H19</f>
        <v>25.78</v>
      </c>
    </row>
    <row r="19" spans="1:12" x14ac:dyDescent="0.25">
      <c r="A19" s="164">
        <v>6</v>
      </c>
      <c r="B19" s="164" t="s">
        <v>73</v>
      </c>
      <c r="C19" s="166">
        <v>2</v>
      </c>
      <c r="D19" s="166" t="s">
        <v>119</v>
      </c>
      <c r="E19" s="167" t="s">
        <v>110</v>
      </c>
      <c r="F19" s="164">
        <v>2.56</v>
      </c>
      <c r="G19" s="130"/>
      <c r="H19" s="130">
        <v>25.78</v>
      </c>
    </row>
    <row r="20" spans="1:12" s="163" customFormat="1" x14ac:dyDescent="0.25">
      <c r="A20" s="225" t="s">
        <v>120</v>
      </c>
      <c r="B20" s="226"/>
      <c r="C20" s="227"/>
      <c r="D20" s="227"/>
      <c r="E20" s="226"/>
      <c r="F20" s="186"/>
      <c r="G20" s="162"/>
      <c r="H20" s="162">
        <f>SUM(H21:H24)</f>
        <v>236.81</v>
      </c>
    </row>
    <row r="21" spans="1:12" x14ac:dyDescent="0.25">
      <c r="A21" s="164">
        <v>7</v>
      </c>
      <c r="B21" s="164" t="s">
        <v>73</v>
      </c>
      <c r="C21" s="166" t="s">
        <v>121</v>
      </c>
      <c r="D21" s="166" t="s">
        <v>122</v>
      </c>
      <c r="E21" s="167" t="s">
        <v>123</v>
      </c>
      <c r="F21" s="164">
        <v>2.54</v>
      </c>
      <c r="G21" s="130">
        <v>89.99</v>
      </c>
      <c r="H21" s="130">
        <f>ROUND(F21*G21,2)</f>
        <v>228.57</v>
      </c>
      <c r="J21" s="114"/>
    </row>
    <row r="22" spans="1:12" ht="31.5" customHeight="1" x14ac:dyDescent="0.25">
      <c r="A22" s="164">
        <v>8</v>
      </c>
      <c r="B22" s="164" t="s">
        <v>73</v>
      </c>
      <c r="C22" s="166" t="s">
        <v>124</v>
      </c>
      <c r="D22" s="166" t="s">
        <v>125</v>
      </c>
      <c r="E22" s="167" t="s">
        <v>123</v>
      </c>
      <c r="F22" s="164">
        <v>0.52</v>
      </c>
      <c r="G22" s="130">
        <v>8.1</v>
      </c>
      <c r="H22" s="130">
        <f>ROUND(F22*G22,2)</f>
        <v>4.21</v>
      </c>
      <c r="J22" s="114"/>
    </row>
    <row r="23" spans="1:12" ht="31.5" customHeight="1" x14ac:dyDescent="0.25">
      <c r="A23" s="164">
        <v>9</v>
      </c>
      <c r="B23" s="164" t="s">
        <v>73</v>
      </c>
      <c r="C23" s="166" t="s">
        <v>126</v>
      </c>
      <c r="D23" s="166" t="s">
        <v>127</v>
      </c>
      <c r="E23" s="167" t="s">
        <v>123</v>
      </c>
      <c r="F23" s="164">
        <v>1.6</v>
      </c>
      <c r="G23" s="130">
        <v>1.7</v>
      </c>
      <c r="H23" s="130">
        <f>ROUND(F23*G23,2)</f>
        <v>2.72</v>
      </c>
      <c r="J23" s="114"/>
      <c r="K23" s="114"/>
    </row>
    <row r="24" spans="1:12" ht="31.5" customHeight="1" x14ac:dyDescent="0.25">
      <c r="A24" s="164">
        <v>10</v>
      </c>
      <c r="B24" s="164" t="s">
        <v>73</v>
      </c>
      <c r="C24" s="166" t="s">
        <v>128</v>
      </c>
      <c r="D24" s="166" t="s">
        <v>129</v>
      </c>
      <c r="E24" s="167" t="s">
        <v>123</v>
      </c>
      <c r="F24" s="164">
        <v>0.02</v>
      </c>
      <c r="G24" s="130">
        <v>65.709999999999994</v>
      </c>
      <c r="H24" s="130">
        <f>ROUND(F24*G24,2)</f>
        <v>1.31</v>
      </c>
      <c r="J24" s="114"/>
    </row>
    <row r="25" spans="1:12" x14ac:dyDescent="0.25">
      <c r="A25" s="225" t="s">
        <v>43</v>
      </c>
      <c r="B25" s="226"/>
      <c r="C25" s="227"/>
      <c r="D25" s="227"/>
      <c r="E25" s="226"/>
      <c r="F25" s="186"/>
      <c r="G25" s="162"/>
      <c r="H25" s="162">
        <f>SUM(H26:H26)</f>
        <v>896734.29</v>
      </c>
    </row>
    <row r="26" spans="1:12" s="163" customFormat="1" x14ac:dyDescent="0.25">
      <c r="A26" s="164">
        <v>11</v>
      </c>
      <c r="B26" s="164" t="s">
        <v>73</v>
      </c>
      <c r="C26" s="166" t="s">
        <v>130</v>
      </c>
      <c r="D26" s="166" t="s">
        <v>131</v>
      </c>
      <c r="E26" s="167" t="s">
        <v>132</v>
      </c>
      <c r="F26" s="164">
        <v>1</v>
      </c>
      <c r="G26" s="130">
        <v>896734.29</v>
      </c>
      <c r="H26" s="130">
        <f>ROUND(F26*G26,2)</f>
        <v>896734.29</v>
      </c>
      <c r="J26" s="114"/>
    </row>
    <row r="27" spans="1:12" x14ac:dyDescent="0.25">
      <c r="A27" s="222" t="s">
        <v>133</v>
      </c>
      <c r="B27" s="223"/>
      <c r="C27" s="223"/>
      <c r="D27" s="223"/>
      <c r="E27" s="224"/>
      <c r="F27" s="186"/>
      <c r="G27" s="162"/>
      <c r="H27" s="162">
        <f>SUM(H28:H39)</f>
        <v>123.08</v>
      </c>
    </row>
    <row r="28" spans="1:12" ht="31.5" customHeight="1" x14ac:dyDescent="0.25">
      <c r="A28" s="164">
        <v>12</v>
      </c>
      <c r="B28" s="164" t="s">
        <v>73</v>
      </c>
      <c r="C28" s="166" t="s">
        <v>134</v>
      </c>
      <c r="D28" s="166" t="s">
        <v>135</v>
      </c>
      <c r="E28" s="167" t="s">
        <v>136</v>
      </c>
      <c r="F28" s="164">
        <v>8.0000000000000002E-3</v>
      </c>
      <c r="G28" s="130">
        <v>4949.3999999999996</v>
      </c>
      <c r="H28" s="130">
        <f t="shared" ref="H28:H39" si="0">ROUND(F28*G28,2)</f>
        <v>39.6</v>
      </c>
      <c r="J28" s="114"/>
    </row>
    <row r="29" spans="1:12" ht="31.5" customHeight="1" x14ac:dyDescent="0.25">
      <c r="A29" s="164">
        <v>13</v>
      </c>
      <c r="B29" s="164" t="s">
        <v>73</v>
      </c>
      <c r="C29" s="166" t="s">
        <v>137</v>
      </c>
      <c r="D29" s="166" t="s">
        <v>138</v>
      </c>
      <c r="E29" s="167" t="s">
        <v>139</v>
      </c>
      <c r="F29" s="164">
        <v>36.869999999999997</v>
      </c>
      <c r="G29" s="130">
        <v>1</v>
      </c>
      <c r="H29" s="130">
        <f t="shared" si="0"/>
        <v>36.869999999999997</v>
      </c>
      <c r="J29" s="114"/>
    </row>
    <row r="30" spans="1:12" x14ac:dyDescent="0.25">
      <c r="A30" s="164">
        <v>14</v>
      </c>
      <c r="B30" s="164" t="s">
        <v>73</v>
      </c>
      <c r="C30" s="166" t="s">
        <v>140</v>
      </c>
      <c r="D30" s="166" t="s">
        <v>141</v>
      </c>
      <c r="E30" s="167" t="s">
        <v>142</v>
      </c>
      <c r="F30" s="164">
        <v>3.0999999999999999E-3</v>
      </c>
      <c r="G30" s="130">
        <v>5763</v>
      </c>
      <c r="H30" s="130">
        <f t="shared" si="0"/>
        <v>17.87</v>
      </c>
      <c r="J30" s="114"/>
      <c r="K30" s="114"/>
    </row>
    <row r="31" spans="1:12" ht="31.5" customHeight="1" x14ac:dyDescent="0.25">
      <c r="A31" s="164">
        <v>15</v>
      </c>
      <c r="B31" s="164" t="s">
        <v>73</v>
      </c>
      <c r="C31" s="166" t="s">
        <v>143</v>
      </c>
      <c r="D31" s="166" t="s">
        <v>144</v>
      </c>
      <c r="E31" s="167" t="s">
        <v>145</v>
      </c>
      <c r="F31" s="164">
        <v>0.47399999999999998</v>
      </c>
      <c r="G31" s="130">
        <v>28.22</v>
      </c>
      <c r="H31" s="130">
        <f t="shared" si="0"/>
        <v>13.38</v>
      </c>
      <c r="J31" s="114"/>
      <c r="K31" s="114"/>
    </row>
    <row r="32" spans="1:12" x14ac:dyDescent="0.25">
      <c r="A32" s="164">
        <v>16</v>
      </c>
      <c r="B32" s="164" t="s">
        <v>73</v>
      </c>
      <c r="C32" s="166" t="s">
        <v>146</v>
      </c>
      <c r="D32" s="166" t="s">
        <v>147</v>
      </c>
      <c r="E32" s="167" t="s">
        <v>148</v>
      </c>
      <c r="F32" s="164">
        <v>0.45</v>
      </c>
      <c r="G32" s="130">
        <v>8.33</v>
      </c>
      <c r="H32" s="130">
        <f t="shared" si="0"/>
        <v>3.75</v>
      </c>
      <c r="J32" s="114"/>
    </row>
    <row r="33" spans="1:10" ht="47.25" customHeight="1" x14ac:dyDescent="0.25">
      <c r="A33" s="164">
        <v>17</v>
      </c>
      <c r="B33" s="164" t="s">
        <v>73</v>
      </c>
      <c r="C33" s="166" t="s">
        <v>149</v>
      </c>
      <c r="D33" s="166" t="s">
        <v>150</v>
      </c>
      <c r="E33" s="167" t="s">
        <v>142</v>
      </c>
      <c r="F33" s="164">
        <v>1.2E-4</v>
      </c>
      <c r="G33" s="130">
        <v>26932.42</v>
      </c>
      <c r="H33" s="130">
        <f t="shared" si="0"/>
        <v>3.23</v>
      </c>
      <c r="J33" s="114"/>
    </row>
    <row r="34" spans="1:10" ht="31.5" customHeight="1" x14ac:dyDescent="0.25">
      <c r="A34" s="164">
        <v>18</v>
      </c>
      <c r="B34" s="164" t="s">
        <v>73</v>
      </c>
      <c r="C34" s="166" t="s">
        <v>151</v>
      </c>
      <c r="D34" s="166" t="s">
        <v>152</v>
      </c>
      <c r="E34" s="167" t="s">
        <v>153</v>
      </c>
      <c r="F34" s="164">
        <v>0.16</v>
      </c>
      <c r="G34" s="130">
        <v>20</v>
      </c>
      <c r="H34" s="130">
        <f t="shared" si="0"/>
        <v>3.2</v>
      </c>
      <c r="J34" s="114"/>
    </row>
    <row r="35" spans="1:10" x14ac:dyDescent="0.25">
      <c r="A35" s="164">
        <v>19</v>
      </c>
      <c r="B35" s="164" t="s">
        <v>73</v>
      </c>
      <c r="C35" s="166" t="s">
        <v>154</v>
      </c>
      <c r="D35" s="166" t="s">
        <v>155</v>
      </c>
      <c r="E35" s="167" t="s">
        <v>145</v>
      </c>
      <c r="F35" s="164">
        <v>7.0000000000000007E-2</v>
      </c>
      <c r="G35" s="130">
        <v>32.6</v>
      </c>
      <c r="H35" s="130">
        <f t="shared" si="0"/>
        <v>2.2799999999999998</v>
      </c>
      <c r="J35" s="114"/>
    </row>
    <row r="36" spans="1:10" x14ac:dyDescent="0.25">
      <c r="A36" s="164">
        <v>20</v>
      </c>
      <c r="B36" s="164" t="s">
        <v>73</v>
      </c>
      <c r="C36" s="166" t="s">
        <v>156</v>
      </c>
      <c r="D36" s="166" t="s">
        <v>157</v>
      </c>
      <c r="E36" s="167" t="s">
        <v>142</v>
      </c>
      <c r="F36" s="164">
        <v>1.3999999999999999E-4</v>
      </c>
      <c r="G36" s="130">
        <v>10315.01</v>
      </c>
      <c r="H36" s="130">
        <f t="shared" si="0"/>
        <v>1.44</v>
      </c>
      <c r="J36" s="114"/>
    </row>
    <row r="37" spans="1:10" x14ac:dyDescent="0.25">
      <c r="A37" s="164">
        <v>21</v>
      </c>
      <c r="B37" s="164" t="s">
        <v>73</v>
      </c>
      <c r="C37" s="166" t="s">
        <v>158</v>
      </c>
      <c r="D37" s="166" t="s">
        <v>159</v>
      </c>
      <c r="E37" s="167" t="s">
        <v>145</v>
      </c>
      <c r="F37" s="164">
        <v>1.4999999999999999E-2</v>
      </c>
      <c r="G37" s="130">
        <v>47.57</v>
      </c>
      <c r="H37" s="130">
        <f t="shared" si="0"/>
        <v>0.71</v>
      </c>
      <c r="J37" s="114"/>
    </row>
    <row r="38" spans="1:10" x14ac:dyDescent="0.25">
      <c r="A38" s="164">
        <v>22</v>
      </c>
      <c r="B38" s="164" t="s">
        <v>73</v>
      </c>
      <c r="C38" s="166" t="s">
        <v>160</v>
      </c>
      <c r="D38" s="166" t="s">
        <v>161</v>
      </c>
      <c r="E38" s="167" t="s">
        <v>145</v>
      </c>
      <c r="F38" s="164">
        <v>2.5000000000000001E-2</v>
      </c>
      <c r="G38" s="130">
        <v>16.95</v>
      </c>
      <c r="H38" s="130">
        <f t="shared" si="0"/>
        <v>0.42</v>
      </c>
      <c r="J38" s="114"/>
    </row>
    <row r="39" spans="1:10" x14ac:dyDescent="0.25">
      <c r="A39" s="164">
        <v>23</v>
      </c>
      <c r="B39" s="164" t="s">
        <v>73</v>
      </c>
      <c r="C39" s="166" t="s">
        <v>162</v>
      </c>
      <c r="D39" s="166" t="s">
        <v>163</v>
      </c>
      <c r="E39" s="167" t="s">
        <v>145</v>
      </c>
      <c r="F39" s="164">
        <v>0.03</v>
      </c>
      <c r="G39" s="130">
        <v>10.97</v>
      </c>
      <c r="H39" s="130">
        <f t="shared" si="0"/>
        <v>0.33</v>
      </c>
      <c r="J39" s="114"/>
    </row>
    <row r="42" spans="1:10" x14ac:dyDescent="0.25">
      <c r="B42" s="117" t="s">
        <v>76</v>
      </c>
    </row>
    <row r="43" spans="1:10" x14ac:dyDescent="0.25">
      <c r="B43" s="128" t="s">
        <v>77</v>
      </c>
    </row>
    <row r="45" spans="1:10" x14ac:dyDescent="0.25">
      <c r="B45" s="117" t="s">
        <v>78</v>
      </c>
    </row>
    <row r="46" spans="1:10" x14ac:dyDescent="0.25">
      <c r="B46" s="128" t="s">
        <v>79</v>
      </c>
    </row>
  </sheetData>
  <mergeCells count="15">
    <mergeCell ref="A27:E27"/>
    <mergeCell ref="A18:E18"/>
    <mergeCell ref="A12:E12"/>
    <mergeCell ref="A20:E20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5:E2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4" workbookViewId="0">
      <selection activeCell="E47" sqref="E47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164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5" t="s">
        <v>165</v>
      </c>
      <c r="C5" s="205"/>
      <c r="D5" s="205"/>
      <c r="E5" s="205"/>
    </row>
    <row r="6" spans="2:5" x14ac:dyDescent="0.25">
      <c r="B6" s="177"/>
      <c r="C6" s="4"/>
      <c r="D6" s="4"/>
      <c r="E6" s="4"/>
    </row>
    <row r="7" spans="2:5" ht="25.5" customHeight="1" x14ac:dyDescent="0.25">
      <c r="B7" s="228" t="s">
        <v>47</v>
      </c>
      <c r="C7" s="228"/>
      <c r="D7" s="228"/>
      <c r="E7" s="228"/>
    </row>
    <row r="8" spans="2:5" x14ac:dyDescent="0.25">
      <c r="B8" s="229" t="s">
        <v>49</v>
      </c>
      <c r="C8" s="229"/>
      <c r="D8" s="229"/>
      <c r="E8" s="229"/>
    </row>
    <row r="9" spans="2:5" x14ac:dyDescent="0.25">
      <c r="B9" s="177"/>
      <c r="C9" s="4"/>
      <c r="D9" s="4"/>
      <c r="E9" s="4"/>
    </row>
    <row r="10" spans="2:5" ht="51" customHeight="1" x14ac:dyDescent="0.25">
      <c r="B10" s="2" t="s">
        <v>166</v>
      </c>
      <c r="C10" s="2" t="s">
        <v>167</v>
      </c>
      <c r="D10" s="2" t="s">
        <v>168</v>
      </c>
      <c r="E10" s="2" t="s">
        <v>169</v>
      </c>
    </row>
    <row r="11" spans="2:5" x14ac:dyDescent="0.25">
      <c r="B11" s="106" t="s">
        <v>170</v>
      </c>
      <c r="C11" s="107">
        <f>'Прил.5 Расчет СМР и ОБ'!J14</f>
        <v>86076.72</v>
      </c>
      <c r="D11" s="108">
        <f t="shared" ref="D11:D18" si="0">C11/$C$24</f>
        <v>0.41209984265114386</v>
      </c>
      <c r="E11" s="108">
        <f t="shared" ref="E11:E18" si="1">C11/$C$40</f>
        <v>3.9790925481589322E-2</v>
      </c>
    </row>
    <row r="12" spans="2:5" x14ac:dyDescent="0.25">
      <c r="B12" s="106" t="s">
        <v>171</v>
      </c>
      <c r="C12" s="107">
        <f>'Прил.5 Расчет СМР и ОБ'!J20</f>
        <v>3078.91</v>
      </c>
      <c r="D12" s="108">
        <f t="shared" si="0"/>
        <v>1.4740551528183616E-2</v>
      </c>
      <c r="E12" s="108">
        <f t="shared" si="1"/>
        <v>1.4232963148981535E-3</v>
      </c>
    </row>
    <row r="13" spans="2:5" x14ac:dyDescent="0.25">
      <c r="B13" s="106" t="s">
        <v>172</v>
      </c>
      <c r="C13" s="107">
        <f>'Прил.5 Расчет СМР и ОБ'!J24</f>
        <v>111.08</v>
      </c>
      <c r="D13" s="108">
        <f t="shared" si="0"/>
        <v>5.3180523748684962E-4</v>
      </c>
      <c r="E13" s="108">
        <f t="shared" si="1"/>
        <v>5.1349261478538466E-5</v>
      </c>
    </row>
    <row r="14" spans="2:5" x14ac:dyDescent="0.25">
      <c r="B14" s="106" t="s">
        <v>173</v>
      </c>
      <c r="C14" s="107">
        <f>C13+C12</f>
        <v>3189.99</v>
      </c>
      <c r="D14" s="108">
        <f t="shared" si="0"/>
        <v>1.5272356765670465E-2</v>
      </c>
      <c r="E14" s="108">
        <f t="shared" si="1"/>
        <v>1.4746455763766917E-3</v>
      </c>
    </row>
    <row r="15" spans="2:5" x14ac:dyDescent="0.25">
      <c r="B15" s="106" t="s">
        <v>174</v>
      </c>
      <c r="C15" s="107">
        <f>'Прил.5 Расчет СМР и ОБ'!J16</f>
        <v>1141.79</v>
      </c>
      <c r="D15" s="108">
        <f t="shared" si="0"/>
        <v>5.4664197165116132E-3</v>
      </c>
      <c r="E15" s="108">
        <f t="shared" si="1"/>
        <v>5.2781844853781452E-4</v>
      </c>
    </row>
    <row r="16" spans="2:5" x14ac:dyDescent="0.25">
      <c r="B16" s="106" t="s">
        <v>175</v>
      </c>
      <c r="C16" s="107">
        <f>'Прил.5 Расчет СМР и ОБ'!J39</f>
        <v>865.96999999999991</v>
      </c>
      <c r="D16" s="108">
        <f t="shared" si="0"/>
        <v>4.1459072875989116E-3</v>
      </c>
      <c r="E16" s="108">
        <f t="shared" si="1"/>
        <v>4.003143676860817E-4</v>
      </c>
    </row>
    <row r="17" spans="2:6" x14ac:dyDescent="0.25">
      <c r="B17" s="106" t="s">
        <v>176</v>
      </c>
      <c r="C17" s="107">
        <f>'Прил.5 Расчет СМР и ОБ'!J48</f>
        <v>123.61000000000001</v>
      </c>
      <c r="D17" s="108">
        <f t="shared" si="0"/>
        <v>5.9179371089079487E-4</v>
      </c>
      <c r="E17" s="108">
        <f t="shared" si="1"/>
        <v>5.7141539533328605E-5</v>
      </c>
    </row>
    <row r="18" spans="2:6" x14ac:dyDescent="0.25">
      <c r="B18" s="106" t="s">
        <v>177</v>
      </c>
      <c r="C18" s="107">
        <f>C17+C16</f>
        <v>989.57999999999993</v>
      </c>
      <c r="D18" s="108">
        <f t="shared" si="0"/>
        <v>4.7377009984897068E-3</v>
      </c>
      <c r="E18" s="108">
        <f t="shared" si="1"/>
        <v>4.5745590721941028E-4</v>
      </c>
    </row>
    <row r="19" spans="2:6" x14ac:dyDescent="0.25">
      <c r="B19" s="106" t="s">
        <v>178</v>
      </c>
      <c r="C19" s="107">
        <f>C18+C14+C11</f>
        <v>90256.290000000008</v>
      </c>
      <c r="D19" s="108"/>
      <c r="E19" s="106"/>
    </row>
    <row r="20" spans="2:6" x14ac:dyDescent="0.25">
      <c r="B20" s="106" t="s">
        <v>179</v>
      </c>
      <c r="C20" s="107">
        <f>ROUND(C21*(C11+C15),2)</f>
        <v>40120.51</v>
      </c>
      <c r="D20" s="108">
        <f>C20/$C$24</f>
        <v>0.19208045866621828</v>
      </c>
      <c r="E20" s="108">
        <f>C20/$C$40</f>
        <v>1.8546620081403651E-2</v>
      </c>
    </row>
    <row r="21" spans="2:6" x14ac:dyDescent="0.25">
      <c r="B21" s="106" t="s">
        <v>180</v>
      </c>
      <c r="C21" s="111">
        <f>'Прил.5 Расчет СМР и ОБ'!D52</f>
        <v>0.46</v>
      </c>
      <c r="D21" s="108"/>
      <c r="E21" s="106"/>
    </row>
    <row r="22" spans="2:6" x14ac:dyDescent="0.25">
      <c r="B22" s="106" t="s">
        <v>181</v>
      </c>
      <c r="C22" s="107">
        <f>ROUND(C23*(C11+C15),2)</f>
        <v>78496.66</v>
      </c>
      <c r="D22" s="108">
        <f>C22/$C$24</f>
        <v>0.37580964091847763</v>
      </c>
      <c r="E22" s="108">
        <f>C22/$C$40</f>
        <v>3.6286869999387211E-2</v>
      </c>
    </row>
    <row r="23" spans="2:6" x14ac:dyDescent="0.25">
      <c r="B23" s="106" t="s">
        <v>182</v>
      </c>
      <c r="C23" s="111">
        <f>'Прил.5 Расчет СМР и ОБ'!D51</f>
        <v>0.9</v>
      </c>
      <c r="D23" s="108"/>
      <c r="E23" s="106"/>
    </row>
    <row r="24" spans="2:6" x14ac:dyDescent="0.25">
      <c r="B24" s="106" t="s">
        <v>183</v>
      </c>
      <c r="C24" s="107">
        <f>C19+C20+C22</f>
        <v>208873.46000000002</v>
      </c>
      <c r="D24" s="108">
        <f>C24/$C$24</f>
        <v>1</v>
      </c>
      <c r="E24" s="108">
        <f>C24/$C$40</f>
        <v>9.6556517045976301E-2</v>
      </c>
    </row>
    <row r="25" spans="2:6" ht="25.5" customHeight="1" x14ac:dyDescent="0.25">
      <c r="B25" s="106" t="s">
        <v>184</v>
      </c>
      <c r="C25" s="107">
        <f>'Прил.5 Расчет СМР и ОБ'!J31</f>
        <v>1700000</v>
      </c>
      <c r="D25" s="108"/>
      <c r="E25" s="108">
        <f>C25/$C$40</f>
        <v>0.78586374246953006</v>
      </c>
    </row>
    <row r="26" spans="2:6" ht="25.5" customHeight="1" x14ac:dyDescent="0.25">
      <c r="B26" s="106" t="s">
        <v>185</v>
      </c>
      <c r="C26" s="107">
        <f>'Прил.5 Расчет СМР и ОБ'!J32</f>
        <v>1700000</v>
      </c>
      <c r="D26" s="108"/>
      <c r="E26" s="108">
        <f>C26/$C$40</f>
        <v>0.78586374246953006</v>
      </c>
    </row>
    <row r="27" spans="2:6" x14ac:dyDescent="0.25">
      <c r="B27" s="106" t="s">
        <v>186</v>
      </c>
      <c r="C27" s="110">
        <f>C24+C25</f>
        <v>1908873.46</v>
      </c>
      <c r="D27" s="108"/>
      <c r="E27" s="108">
        <f>C27/$C$40</f>
        <v>0.88242025951550629</v>
      </c>
    </row>
    <row r="28" spans="2:6" ht="33" customHeight="1" x14ac:dyDescent="0.25">
      <c r="B28" s="106" t="s">
        <v>187</v>
      </c>
      <c r="C28" s="106"/>
      <c r="D28" s="106"/>
      <c r="E28" s="106"/>
      <c r="F28" s="109"/>
    </row>
    <row r="29" spans="2:6" ht="25.5" customHeight="1" x14ac:dyDescent="0.25">
      <c r="B29" s="106" t="s">
        <v>188</v>
      </c>
      <c r="C29" s="110">
        <f>ROUND(C24*3.9%,2)</f>
        <v>8146.06</v>
      </c>
      <c r="D29" s="106"/>
      <c r="E29" s="108">
        <f t="shared" ref="E29:E38" si="2">C29/$C$40</f>
        <v>3.7657018811654945E-3</v>
      </c>
    </row>
    <row r="30" spans="2:6" ht="38.25" customHeight="1" x14ac:dyDescent="0.25">
      <c r="B30" s="106" t="s">
        <v>189</v>
      </c>
      <c r="C30" s="200">
        <f>ROUND((C24+C29)*2.1%,2)</f>
        <v>4557.41</v>
      </c>
      <c r="D30" s="201"/>
      <c r="E30" s="108">
        <f t="shared" si="2"/>
        <v>2.1067666344518005E-3</v>
      </c>
      <c r="F30" s="109"/>
    </row>
    <row r="31" spans="2:6" x14ac:dyDescent="0.25">
      <c r="B31" s="106" t="s">
        <v>190</v>
      </c>
      <c r="C31" s="200">
        <v>130620</v>
      </c>
      <c r="D31" s="201"/>
      <c r="E31" s="108">
        <f t="shared" si="2"/>
        <v>6.0382071789041189E-2</v>
      </c>
    </row>
    <row r="32" spans="2:6" ht="25.5" customHeight="1" x14ac:dyDescent="0.25">
      <c r="B32" s="106" t="s">
        <v>191</v>
      </c>
      <c r="C32" s="200">
        <v>0</v>
      </c>
      <c r="D32" s="201"/>
      <c r="E32" s="108">
        <f t="shared" si="2"/>
        <v>0</v>
      </c>
      <c r="F32" s="178"/>
    </row>
    <row r="33" spans="2:11" ht="25.5" customHeight="1" x14ac:dyDescent="0.25">
      <c r="B33" s="106" t="s">
        <v>192</v>
      </c>
      <c r="C33" s="200">
        <v>0</v>
      </c>
      <c r="D33" s="201"/>
      <c r="E33" s="108">
        <f t="shared" si="2"/>
        <v>0</v>
      </c>
    </row>
    <row r="34" spans="2:11" ht="51" customHeight="1" x14ac:dyDescent="0.25">
      <c r="B34" s="106" t="s">
        <v>193</v>
      </c>
      <c r="C34" s="200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194</v>
      </c>
      <c r="C35" s="200">
        <v>0</v>
      </c>
      <c r="D35" s="106"/>
      <c r="E35" s="108">
        <f t="shared" si="2"/>
        <v>0</v>
      </c>
    </row>
    <row r="36" spans="2:11" ht="25.5" customHeight="1" x14ac:dyDescent="0.25">
      <c r="B36" s="106" t="s">
        <v>195</v>
      </c>
      <c r="C36" s="110">
        <f>ROUND((C27+C32+C33+C34+C35+C29+C31+C30)*2.14%,2)</f>
        <v>43917.01</v>
      </c>
      <c r="D36" s="106"/>
      <c r="E36" s="108">
        <f t="shared" si="2"/>
        <v>2.0301638727453986E-2</v>
      </c>
      <c r="K36" s="109"/>
    </row>
    <row r="37" spans="2:11" x14ac:dyDescent="0.25">
      <c r="B37" s="106" t="s">
        <v>196</v>
      </c>
      <c r="C37" s="110">
        <f>ROUND((C27+C32+C33+C34+C35+C29+C31+C30)*0.2%,2)</f>
        <v>4104.3900000000003</v>
      </c>
      <c r="D37" s="106"/>
      <c r="E37" s="108">
        <f t="shared" si="2"/>
        <v>1.8973478152673616E-3</v>
      </c>
      <c r="K37" s="109"/>
    </row>
    <row r="38" spans="2:11" ht="38.25" customHeight="1" x14ac:dyDescent="0.25">
      <c r="B38" s="106" t="s">
        <v>197</v>
      </c>
      <c r="C38" s="107">
        <f>C27+C32+C33+C34+C35+C29+C31+C30+C36+C37</f>
        <v>2100218.33</v>
      </c>
      <c r="D38" s="106"/>
      <c r="E38" s="108">
        <f t="shared" si="2"/>
        <v>0.97087378636288624</v>
      </c>
    </row>
    <row r="39" spans="2:11" ht="13.5" customHeight="1" x14ac:dyDescent="0.25">
      <c r="B39" s="106" t="s">
        <v>198</v>
      </c>
      <c r="C39" s="107">
        <f>ROUND(C38*3%,2)</f>
        <v>63006.55</v>
      </c>
      <c r="D39" s="106"/>
      <c r="E39" s="108">
        <f>C39/$C$38</f>
        <v>3.0000000047614099E-2</v>
      </c>
    </row>
    <row r="40" spans="2:11" x14ac:dyDescent="0.25">
      <c r="B40" s="106" t="s">
        <v>199</v>
      </c>
      <c r="C40" s="107">
        <f>C39+C38</f>
        <v>2163224.88</v>
      </c>
      <c r="D40" s="106"/>
      <c r="E40" s="108">
        <f>C40/$C$40</f>
        <v>1</v>
      </c>
    </row>
    <row r="41" spans="2:11" x14ac:dyDescent="0.25">
      <c r="B41" s="106" t="s">
        <v>200</v>
      </c>
      <c r="C41" s="107">
        <f>C40/'Прил.5 Расчет СМР и ОБ'!E55</f>
        <v>2163224.88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201</v>
      </c>
      <c r="C43" s="4"/>
      <c r="D43" s="4"/>
      <c r="E43" s="4"/>
    </row>
    <row r="44" spans="2:11" x14ac:dyDescent="0.25">
      <c r="B44" s="113" t="s">
        <v>202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203</v>
      </c>
      <c r="C46" s="4"/>
      <c r="D46" s="4"/>
      <c r="E46" s="4"/>
    </row>
    <row r="47" spans="2:11" x14ac:dyDescent="0.25">
      <c r="B47" s="229" t="s">
        <v>204</v>
      </c>
      <c r="C47" s="22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1"/>
  <sheetViews>
    <sheetView tabSelected="1" view="pageBreakPreview" zoomScaleSheetLayoutView="100" workbookViewId="0">
      <selection activeCell="N22" sqref="N22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5" t="s">
        <v>205</v>
      </c>
      <c r="I2" s="245"/>
      <c r="J2" s="24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5" t="s">
        <v>206</v>
      </c>
      <c r="B4" s="205"/>
      <c r="C4" s="205"/>
      <c r="D4" s="205"/>
      <c r="E4" s="205"/>
      <c r="F4" s="205"/>
      <c r="G4" s="205"/>
      <c r="H4" s="205"/>
      <c r="I4" s="205"/>
      <c r="J4" s="205"/>
    </row>
    <row r="5" spans="1:14" s="4" customFormat="1" ht="12.75" customHeight="1" x14ac:dyDescent="0.2">
      <c r="A5" s="191"/>
      <c r="B5" s="191"/>
      <c r="C5" s="29"/>
      <c r="D5" s="191"/>
      <c r="E5" s="191"/>
      <c r="F5" s="191"/>
      <c r="G5" s="191"/>
      <c r="H5" s="191"/>
      <c r="I5" s="191"/>
      <c r="J5" s="191"/>
    </row>
    <row r="6" spans="1:14" s="4" customFormat="1" ht="25.5" customHeight="1" x14ac:dyDescent="0.2">
      <c r="A6" s="148" t="s">
        <v>207</v>
      </c>
      <c r="B6" s="149"/>
      <c r="C6" s="149"/>
      <c r="D6" s="249" t="s">
        <v>208</v>
      </c>
      <c r="E6" s="249"/>
      <c r="F6" s="249"/>
      <c r="G6" s="249"/>
      <c r="H6" s="249"/>
      <c r="I6" s="249"/>
      <c r="J6" s="249"/>
    </row>
    <row r="7" spans="1:14" s="4" customFormat="1" ht="12.75" customHeight="1" x14ac:dyDescent="0.2">
      <c r="A7" s="208" t="s">
        <v>49</v>
      </c>
      <c r="B7" s="228"/>
      <c r="C7" s="228"/>
      <c r="D7" s="228"/>
      <c r="E7" s="228"/>
      <c r="F7" s="228"/>
      <c r="G7" s="228"/>
      <c r="H7" s="228"/>
      <c r="I7" s="43"/>
      <c r="J7" s="43"/>
    </row>
    <row r="8" spans="1:14" s="4" customFormat="1" ht="13.5" customHeight="1" x14ac:dyDescent="0.2">
      <c r="A8" s="208"/>
      <c r="B8" s="228"/>
      <c r="C8" s="228"/>
      <c r="D8" s="228"/>
      <c r="E8" s="228"/>
      <c r="F8" s="228"/>
      <c r="G8" s="228"/>
      <c r="H8" s="228"/>
    </row>
    <row r="9" spans="1:14" ht="27" customHeight="1" x14ac:dyDescent="0.25">
      <c r="A9" s="237" t="s">
        <v>13</v>
      </c>
      <c r="B9" s="237" t="s">
        <v>99</v>
      </c>
      <c r="C9" s="237" t="s">
        <v>166</v>
      </c>
      <c r="D9" s="237" t="s">
        <v>101</v>
      </c>
      <c r="E9" s="231" t="s">
        <v>209</v>
      </c>
      <c r="F9" s="246" t="s">
        <v>103</v>
      </c>
      <c r="G9" s="247"/>
      <c r="H9" s="231" t="s">
        <v>210</v>
      </c>
      <c r="I9" s="246" t="s">
        <v>211</v>
      </c>
      <c r="J9" s="247"/>
      <c r="M9" s="12"/>
      <c r="N9" s="12"/>
    </row>
    <row r="10" spans="1:14" ht="28.5" customHeight="1" x14ac:dyDescent="0.25">
      <c r="A10" s="237"/>
      <c r="B10" s="237"/>
      <c r="C10" s="237"/>
      <c r="D10" s="237"/>
      <c r="E10" s="248"/>
      <c r="F10" s="2" t="s">
        <v>212</v>
      </c>
      <c r="G10" s="2" t="s">
        <v>105</v>
      </c>
      <c r="H10" s="248"/>
      <c r="I10" s="2" t="s">
        <v>212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7">
        <v>9</v>
      </c>
      <c r="J11" s="187">
        <v>10</v>
      </c>
      <c r="M11" s="12"/>
      <c r="N11" s="12"/>
    </row>
    <row r="12" spans="1:14" x14ac:dyDescent="0.25">
      <c r="A12" s="2"/>
      <c r="B12" s="235" t="s">
        <v>213</v>
      </c>
      <c r="C12" s="236"/>
      <c r="D12" s="237"/>
      <c r="E12" s="238"/>
      <c r="F12" s="239"/>
      <c r="G12" s="239"/>
      <c r="H12" s="240"/>
      <c r="I12" s="150"/>
      <c r="J12" s="150"/>
    </row>
    <row r="13" spans="1:14" ht="25.5" customHeight="1" x14ac:dyDescent="0.25">
      <c r="A13" s="2">
        <v>1</v>
      </c>
      <c r="B13" s="196" t="s">
        <v>214</v>
      </c>
      <c r="C13" s="8" t="s">
        <v>215</v>
      </c>
      <c r="D13" s="2" t="s">
        <v>216</v>
      </c>
      <c r="E13" s="151">
        <f>G13/F13</f>
        <v>155.41798501248959</v>
      </c>
      <c r="F13" s="27">
        <v>12.01</v>
      </c>
      <c r="G13" s="27">
        <v>1866.57</v>
      </c>
      <c r="H13" s="152">
        <f>G13/$G$14</f>
        <v>1</v>
      </c>
      <c r="I13" s="27">
        <f>ФОТр.тек.!E13</f>
        <v>553.84017452934995</v>
      </c>
      <c r="J13" s="27">
        <f>ROUND(I13*E13,2)</f>
        <v>86076.72</v>
      </c>
    </row>
    <row r="14" spans="1:14" s="12" customFormat="1" ht="25.5" customHeight="1" x14ac:dyDescent="0.2">
      <c r="A14" s="2"/>
      <c r="B14" s="2"/>
      <c r="C14" s="144" t="s">
        <v>217</v>
      </c>
      <c r="D14" s="2" t="s">
        <v>216</v>
      </c>
      <c r="E14" s="151">
        <f>SUM(E13:E13)</f>
        <v>155.41798501248959</v>
      </c>
      <c r="F14" s="27"/>
      <c r="G14" s="27">
        <f>SUM(G13:G13)</f>
        <v>1866.57</v>
      </c>
      <c r="H14" s="190">
        <v>1</v>
      </c>
      <c r="I14" s="150"/>
      <c r="J14" s="27">
        <f>SUM(J13:J13)</f>
        <v>86076.72</v>
      </c>
    </row>
    <row r="15" spans="1:14" s="12" customFormat="1" ht="14.25" customHeight="1" x14ac:dyDescent="0.2">
      <c r="A15" s="2"/>
      <c r="B15" s="236" t="s">
        <v>119</v>
      </c>
      <c r="C15" s="236"/>
      <c r="D15" s="237"/>
      <c r="E15" s="238"/>
      <c r="F15" s="239"/>
      <c r="G15" s="239"/>
      <c r="H15" s="240"/>
      <c r="I15" s="150"/>
      <c r="J15" s="150"/>
    </row>
    <row r="16" spans="1:14" s="12" customFormat="1" ht="14.25" customHeight="1" x14ac:dyDescent="0.2">
      <c r="A16" s="2">
        <v>2</v>
      </c>
      <c r="B16" s="2">
        <v>2</v>
      </c>
      <c r="C16" s="8" t="s">
        <v>119</v>
      </c>
      <c r="D16" s="2" t="s">
        <v>216</v>
      </c>
      <c r="E16" s="151">
        <f>Прил.3!F19</f>
        <v>2.56</v>
      </c>
      <c r="F16" s="27">
        <f>G16/E16</f>
        <v>10.0703125</v>
      </c>
      <c r="G16" s="27">
        <f>Прил.3!H18</f>
        <v>25.78</v>
      </c>
      <c r="H16" s="190">
        <v>1</v>
      </c>
      <c r="I16" s="27">
        <f>ROUND(F16*Прил.10!D11,2)</f>
        <v>446.01</v>
      </c>
      <c r="J16" s="27">
        <f>ROUND(I16*E16,2)</f>
        <v>1141.79</v>
      </c>
    </row>
    <row r="17" spans="1:11" s="12" customFormat="1" ht="14.25" customHeight="1" x14ac:dyDescent="0.2">
      <c r="A17" s="2"/>
      <c r="B17" s="235" t="s">
        <v>120</v>
      </c>
      <c r="C17" s="236"/>
      <c r="D17" s="237"/>
      <c r="E17" s="238"/>
      <c r="F17" s="239"/>
      <c r="G17" s="239"/>
      <c r="H17" s="240"/>
      <c r="I17" s="150"/>
      <c r="J17" s="150"/>
    </row>
    <row r="18" spans="1:11" s="12" customFormat="1" ht="14.25" customHeight="1" x14ac:dyDescent="0.2">
      <c r="A18" s="2"/>
      <c r="B18" s="236" t="s">
        <v>218</v>
      </c>
      <c r="C18" s="236"/>
      <c r="D18" s="237"/>
      <c r="E18" s="238"/>
      <c r="F18" s="239"/>
      <c r="G18" s="239"/>
      <c r="H18" s="240"/>
      <c r="I18" s="150"/>
      <c r="J18" s="150"/>
    </row>
    <row r="19" spans="1:11" s="12" customFormat="1" ht="14.25" customHeight="1" x14ac:dyDescent="0.2">
      <c r="A19" s="2">
        <v>3</v>
      </c>
      <c r="B19" s="196" t="s">
        <v>121</v>
      </c>
      <c r="C19" s="8" t="s">
        <v>122</v>
      </c>
      <c r="D19" s="2" t="s">
        <v>123</v>
      </c>
      <c r="E19" s="151">
        <v>2.54</v>
      </c>
      <c r="F19" s="189">
        <v>89.99</v>
      </c>
      <c r="G19" s="27">
        <f>ROUND(E19*F19,2)</f>
        <v>228.57</v>
      </c>
      <c r="H19" s="152">
        <f>G19/$G$25</f>
        <v>0.96520417212110976</v>
      </c>
      <c r="I19" s="27">
        <f>ROUND(F19*Прил.10!$D$12,2)</f>
        <v>1212.17</v>
      </c>
      <c r="J19" s="27">
        <f>ROUND(I19*E19,2)</f>
        <v>3078.91</v>
      </c>
    </row>
    <row r="20" spans="1:11" s="12" customFormat="1" ht="14.25" customHeight="1" x14ac:dyDescent="0.2">
      <c r="A20" s="2"/>
      <c r="B20" s="2"/>
      <c r="C20" s="8" t="s">
        <v>219</v>
      </c>
      <c r="D20" s="2"/>
      <c r="E20" s="151"/>
      <c r="F20" s="27"/>
      <c r="G20" s="27">
        <f>SUM(G19:G19)</f>
        <v>228.57</v>
      </c>
      <c r="H20" s="190">
        <f>G20/G25</f>
        <v>0.96520417212110976</v>
      </c>
      <c r="I20" s="173"/>
      <c r="J20" s="27">
        <f>SUM(J19:J19)</f>
        <v>3078.91</v>
      </c>
      <c r="K20" s="24"/>
    </row>
    <row r="21" spans="1:11" s="12" customFormat="1" ht="25.5" customHeight="1" outlineLevel="1" x14ac:dyDescent="0.2">
      <c r="A21" s="2">
        <v>4</v>
      </c>
      <c r="B21" s="196" t="s">
        <v>124</v>
      </c>
      <c r="C21" s="8" t="s">
        <v>125</v>
      </c>
      <c r="D21" s="2" t="s">
        <v>123</v>
      </c>
      <c r="E21" s="151">
        <v>0.52</v>
      </c>
      <c r="F21" s="189">
        <v>8.1</v>
      </c>
      <c r="G21" s="27">
        <f>ROUND(E21*F21,2)</f>
        <v>4.21</v>
      </c>
      <c r="H21" s="152">
        <f>G21/$G$25</f>
        <v>1.7777965457539801E-2</v>
      </c>
      <c r="I21" s="27">
        <f>ROUND(F21*Прил.10!$D$12,2)</f>
        <v>109.11</v>
      </c>
      <c r="J21" s="27">
        <f>ROUND(I21*E21,2)</f>
        <v>56.74</v>
      </c>
    </row>
    <row r="22" spans="1:11" s="12" customFormat="1" ht="25.5" customHeight="1" outlineLevel="1" x14ac:dyDescent="0.2">
      <c r="A22" s="2">
        <v>5</v>
      </c>
      <c r="B22" s="196" t="s">
        <v>126</v>
      </c>
      <c r="C22" s="8" t="s">
        <v>127</v>
      </c>
      <c r="D22" s="2" t="s">
        <v>123</v>
      </c>
      <c r="E22" s="151">
        <v>1.6</v>
      </c>
      <c r="F22" s="189">
        <v>1.7</v>
      </c>
      <c r="G22" s="27">
        <f>ROUND(E22*F22,2)</f>
        <v>2.72</v>
      </c>
      <c r="H22" s="152">
        <f>G22/$G$25</f>
        <v>1.148600143575018E-2</v>
      </c>
      <c r="I22" s="27">
        <f>ROUND(F22*Прил.10!$D$12,2)</f>
        <v>22.9</v>
      </c>
      <c r="J22" s="27">
        <f>ROUND(I22*E22,2)</f>
        <v>36.64</v>
      </c>
    </row>
    <row r="23" spans="1:11" s="12" customFormat="1" ht="25.5" customHeight="1" outlineLevel="1" x14ac:dyDescent="0.2">
      <c r="A23" s="2">
        <v>6</v>
      </c>
      <c r="B23" s="196" t="s">
        <v>128</v>
      </c>
      <c r="C23" s="8" t="s">
        <v>129</v>
      </c>
      <c r="D23" s="2" t="s">
        <v>123</v>
      </c>
      <c r="E23" s="151">
        <v>0.02</v>
      </c>
      <c r="F23" s="189">
        <v>65.709999999999994</v>
      </c>
      <c r="G23" s="27">
        <f>ROUND(E23*F23,2)</f>
        <v>1.31</v>
      </c>
      <c r="H23" s="152">
        <f>G23/$G$25</f>
        <v>5.5318609856002702E-3</v>
      </c>
      <c r="I23" s="27">
        <f>ROUND(F23*Прил.10!$D$12,2)</f>
        <v>885.11</v>
      </c>
      <c r="J23" s="27">
        <f>ROUND(I23*E23,2)</f>
        <v>17.7</v>
      </c>
    </row>
    <row r="24" spans="1:11" s="12" customFormat="1" ht="14.25" customHeight="1" x14ac:dyDescent="0.2">
      <c r="A24" s="2"/>
      <c r="B24" s="2"/>
      <c r="C24" s="8" t="s">
        <v>220</v>
      </c>
      <c r="D24" s="2"/>
      <c r="E24" s="188"/>
      <c r="F24" s="27"/>
      <c r="G24" s="173">
        <f>SUM(G21:G23)</f>
        <v>8.24</v>
      </c>
      <c r="H24" s="152">
        <f>G24/G25</f>
        <v>3.4795827878890247E-2</v>
      </c>
      <c r="I24" s="27"/>
      <c r="J24" s="173">
        <f>SUM(J21:J23)</f>
        <v>111.08</v>
      </c>
    </row>
    <row r="25" spans="1:11" s="12" customFormat="1" ht="25.5" customHeight="1" x14ac:dyDescent="0.2">
      <c r="A25" s="2"/>
      <c r="B25" s="2"/>
      <c r="C25" s="144" t="s">
        <v>221</v>
      </c>
      <c r="D25" s="2"/>
      <c r="E25" s="188"/>
      <c r="F25" s="27"/>
      <c r="G25" s="27">
        <f>G24+G20</f>
        <v>236.81</v>
      </c>
      <c r="H25" s="174">
        <f>H24+H20</f>
        <v>1</v>
      </c>
      <c r="I25" s="175"/>
      <c r="J25" s="157">
        <f>J24+J20</f>
        <v>3189.99</v>
      </c>
    </row>
    <row r="26" spans="1:11" s="12" customFormat="1" ht="14.25" customHeight="1" x14ac:dyDescent="0.2">
      <c r="A26" s="2"/>
      <c r="B26" s="235" t="s">
        <v>43</v>
      </c>
      <c r="C26" s="235"/>
      <c r="D26" s="241"/>
      <c r="E26" s="242"/>
      <c r="F26" s="243"/>
      <c r="G26" s="243"/>
      <c r="H26" s="244"/>
      <c r="I26" s="150"/>
      <c r="J26" s="150"/>
    </row>
    <row r="27" spans="1:11" x14ac:dyDescent="0.25">
      <c r="A27" s="2"/>
      <c r="B27" s="236" t="s">
        <v>222</v>
      </c>
      <c r="C27" s="236"/>
      <c r="D27" s="237"/>
      <c r="E27" s="238"/>
      <c r="F27" s="239"/>
      <c r="G27" s="239"/>
      <c r="H27" s="240"/>
      <c r="I27" s="150"/>
      <c r="J27" s="150"/>
    </row>
    <row r="28" spans="1:11" s="12" customFormat="1" ht="242.25" customHeight="1" x14ac:dyDescent="0.2">
      <c r="A28" s="2">
        <v>7</v>
      </c>
      <c r="B28" s="2" t="s">
        <v>223</v>
      </c>
      <c r="C28" s="8" t="s">
        <v>224</v>
      </c>
      <c r="D28" s="2" t="s">
        <v>132</v>
      </c>
      <c r="E28" s="146">
        <v>1</v>
      </c>
      <c r="F28" s="27">
        <v>896734.29</v>
      </c>
      <c r="G28" s="27">
        <f>ROUND(E28*F28,2)</f>
        <v>896734.29</v>
      </c>
      <c r="H28" s="152">
        <f>G28/$G$31</f>
        <v>1</v>
      </c>
      <c r="I28" s="27">
        <v>1700000</v>
      </c>
      <c r="J28" s="27">
        <f>ROUND(I28*E28,2)</f>
        <v>1700000</v>
      </c>
    </row>
    <row r="29" spans="1:11" x14ac:dyDescent="0.25">
      <c r="A29" s="2"/>
      <c r="B29" s="2"/>
      <c r="C29" s="8" t="s">
        <v>225</v>
      </c>
      <c r="D29" s="2"/>
      <c r="E29" s="151"/>
      <c r="F29" s="189"/>
      <c r="G29" s="27">
        <f>SUM(G28:G28)</f>
        <v>896734.29</v>
      </c>
      <c r="H29" s="152">
        <f>G29/$G$31</f>
        <v>1</v>
      </c>
      <c r="I29" s="173"/>
      <c r="J29" s="27">
        <f>SUM(J28:J28)</f>
        <v>1700000</v>
      </c>
    </row>
    <row r="30" spans="1:11" x14ac:dyDescent="0.25">
      <c r="A30" s="2"/>
      <c r="B30" s="2"/>
      <c r="C30" s="8" t="s">
        <v>226</v>
      </c>
      <c r="D30" s="2"/>
      <c r="E30" s="151"/>
      <c r="F30" s="189"/>
      <c r="G30" s="27">
        <v>0</v>
      </c>
      <c r="H30" s="152">
        <f>G30/$G$31</f>
        <v>0</v>
      </c>
      <c r="I30" s="173"/>
      <c r="J30" s="27">
        <v>0</v>
      </c>
    </row>
    <row r="31" spans="1:11" x14ac:dyDescent="0.25">
      <c r="A31" s="2"/>
      <c r="B31" s="2"/>
      <c r="C31" s="144" t="s">
        <v>227</v>
      </c>
      <c r="D31" s="2"/>
      <c r="E31" s="188"/>
      <c r="F31" s="189"/>
      <c r="G31" s="27">
        <f>G29+G30</f>
        <v>896734.29</v>
      </c>
      <c r="H31" s="190">
        <f>H30+H29</f>
        <v>1</v>
      </c>
      <c r="I31" s="173"/>
      <c r="J31" s="27">
        <f>J30+J29</f>
        <v>1700000</v>
      </c>
    </row>
    <row r="32" spans="1:11" ht="25.5" customHeight="1" x14ac:dyDescent="0.25">
      <c r="A32" s="2"/>
      <c r="B32" s="2"/>
      <c r="C32" s="8" t="s">
        <v>228</v>
      </c>
      <c r="D32" s="2"/>
      <c r="E32" s="146"/>
      <c r="F32" s="189"/>
      <c r="G32" s="27">
        <f>'Прил.6 Расчет ОБ'!G13</f>
        <v>896734.29</v>
      </c>
      <c r="H32" s="190"/>
      <c r="I32" s="173"/>
      <c r="J32" s="27">
        <f>J31</f>
        <v>1700000</v>
      </c>
    </row>
    <row r="33" spans="1:12" s="12" customFormat="1" ht="14.25" customHeight="1" x14ac:dyDescent="0.2">
      <c r="A33" s="2"/>
      <c r="B33" s="235" t="s">
        <v>133</v>
      </c>
      <c r="C33" s="235"/>
      <c r="D33" s="241"/>
      <c r="E33" s="242"/>
      <c r="F33" s="243"/>
      <c r="G33" s="243"/>
      <c r="H33" s="244"/>
      <c r="I33" s="150"/>
      <c r="J33" s="150"/>
    </row>
    <row r="34" spans="1:12" s="12" customFormat="1" ht="14.25" customHeight="1" x14ac:dyDescent="0.2">
      <c r="A34" s="187"/>
      <c r="B34" s="230" t="s">
        <v>229</v>
      </c>
      <c r="C34" s="230"/>
      <c r="D34" s="231"/>
      <c r="E34" s="232"/>
      <c r="F34" s="233"/>
      <c r="G34" s="233"/>
      <c r="H34" s="234"/>
      <c r="I34" s="176"/>
      <c r="J34" s="176"/>
    </row>
    <row r="35" spans="1:12" s="12" customFormat="1" ht="25.5" customHeight="1" x14ac:dyDescent="0.2">
      <c r="A35" s="2">
        <v>8</v>
      </c>
      <c r="B35" s="2" t="s">
        <v>134</v>
      </c>
      <c r="C35" s="8" t="s">
        <v>135</v>
      </c>
      <c r="D35" s="2" t="s">
        <v>136</v>
      </c>
      <c r="E35" s="146">
        <v>8.0000000000000002E-3</v>
      </c>
      <c r="F35" s="189">
        <v>4949.3999999999996</v>
      </c>
      <c r="G35" s="27">
        <f>ROUND(E35*F35,2)</f>
        <v>39.6</v>
      </c>
      <c r="H35" s="152">
        <f t="shared" ref="H35:H49" si="0">G35/$G$49</f>
        <v>0.32174195645108872</v>
      </c>
      <c r="I35" s="27">
        <f>ROUND(F35*Прил.10!$D$13,2)</f>
        <v>39793.18</v>
      </c>
      <c r="J35" s="27">
        <f>ROUND(I35*E35,2)</f>
        <v>318.35000000000002</v>
      </c>
    </row>
    <row r="36" spans="1:12" s="12" customFormat="1" ht="25.5" customHeight="1" x14ac:dyDescent="0.2">
      <c r="A36" s="2">
        <v>9</v>
      </c>
      <c r="B36" s="2" t="s">
        <v>137</v>
      </c>
      <c r="C36" s="8" t="s">
        <v>138</v>
      </c>
      <c r="D36" s="2" t="s">
        <v>139</v>
      </c>
      <c r="E36" s="146">
        <v>36.869999999999997</v>
      </c>
      <c r="F36" s="189">
        <v>1</v>
      </c>
      <c r="G36" s="27">
        <f>ROUND(E36*F36,2)</f>
        <v>36.869999999999997</v>
      </c>
      <c r="H36" s="152">
        <f t="shared" si="0"/>
        <v>0.2995612609684758</v>
      </c>
      <c r="I36" s="27">
        <f>ROUND(F36*Прил.10!$D$13,2)</f>
        <v>8.0399999999999991</v>
      </c>
      <c r="J36" s="27">
        <f>ROUND(I36*E36,2)</f>
        <v>296.43</v>
      </c>
    </row>
    <row r="37" spans="1:12" s="12" customFormat="1" ht="14.25" customHeight="1" x14ac:dyDescent="0.2">
      <c r="A37" s="2">
        <v>10</v>
      </c>
      <c r="B37" s="2" t="s">
        <v>140</v>
      </c>
      <c r="C37" s="8" t="s">
        <v>141</v>
      </c>
      <c r="D37" s="2" t="s">
        <v>142</v>
      </c>
      <c r="E37" s="146">
        <v>3.0999999999999999E-3</v>
      </c>
      <c r="F37" s="189">
        <v>5763</v>
      </c>
      <c r="G37" s="27">
        <f>ROUND(E37*F37,2)</f>
        <v>17.87</v>
      </c>
      <c r="H37" s="152">
        <f t="shared" si="0"/>
        <v>0.14519012024699385</v>
      </c>
      <c r="I37" s="27">
        <f>ROUND(F37*Прил.10!$D$13,2)</f>
        <v>46334.52</v>
      </c>
      <c r="J37" s="27">
        <f>ROUND(I37*E37,2)</f>
        <v>143.63999999999999</v>
      </c>
    </row>
    <row r="38" spans="1:12" s="12" customFormat="1" ht="25.5" customHeight="1" x14ac:dyDescent="0.2">
      <c r="A38" s="2">
        <v>11</v>
      </c>
      <c r="B38" s="2" t="s">
        <v>143</v>
      </c>
      <c r="C38" s="8" t="s">
        <v>144</v>
      </c>
      <c r="D38" s="2" t="s">
        <v>145</v>
      </c>
      <c r="E38" s="146">
        <v>0.47399999999999998</v>
      </c>
      <c r="F38" s="189">
        <v>28.22</v>
      </c>
      <c r="G38" s="27">
        <f>ROUND(E38*F38,2)</f>
        <v>13.38</v>
      </c>
      <c r="H38" s="152">
        <f t="shared" si="0"/>
        <v>0.10870978225544362</v>
      </c>
      <c r="I38" s="27">
        <f>ROUND(F38*Прил.10!$D$13,2)</f>
        <v>226.89</v>
      </c>
      <c r="J38" s="27">
        <f>ROUND(I38*E38,2)</f>
        <v>107.55</v>
      </c>
    </row>
    <row r="39" spans="1:12" s="12" customFormat="1" ht="14.25" customHeight="1" x14ac:dyDescent="0.2">
      <c r="A39" s="153"/>
      <c r="B39" s="153"/>
      <c r="C39" s="154" t="s">
        <v>230</v>
      </c>
      <c r="D39" s="155"/>
      <c r="E39" s="156"/>
      <c r="F39" s="157"/>
      <c r="G39" s="157">
        <f>SUM(G35:G38)</f>
        <v>107.72</v>
      </c>
      <c r="H39" s="152">
        <f t="shared" si="0"/>
        <v>0.87520311992200195</v>
      </c>
      <c r="I39" s="27"/>
      <c r="J39" s="157">
        <f>SUM(J35:J38)</f>
        <v>865.96999999999991</v>
      </c>
      <c r="K39" s="24"/>
      <c r="L39" s="24"/>
    </row>
    <row r="40" spans="1:12" s="12" customFormat="1" ht="14.25" customHeight="1" outlineLevel="1" x14ac:dyDescent="0.2">
      <c r="A40" s="2">
        <v>12</v>
      </c>
      <c r="B40" s="2" t="s">
        <v>146</v>
      </c>
      <c r="C40" s="8" t="s">
        <v>147</v>
      </c>
      <c r="D40" s="2" t="s">
        <v>148</v>
      </c>
      <c r="E40" s="146">
        <v>0.45</v>
      </c>
      <c r="F40" s="189">
        <v>8.33</v>
      </c>
      <c r="G40" s="27">
        <f t="shared" ref="G40:G47" si="1">ROUND(E40*F40,2)</f>
        <v>3.75</v>
      </c>
      <c r="H40" s="152">
        <f t="shared" si="0"/>
        <v>3.0467988300292494E-2</v>
      </c>
      <c r="I40" s="27">
        <f>ROUND(F40*Прил.10!$D$13,2)</f>
        <v>66.97</v>
      </c>
      <c r="J40" s="27">
        <f t="shared" ref="J40:J47" si="2">ROUND(I40*E40,2)</f>
        <v>30.14</v>
      </c>
    </row>
    <row r="41" spans="1:12" s="12" customFormat="1" ht="38.25" customHeight="1" outlineLevel="1" x14ac:dyDescent="0.2">
      <c r="A41" s="2">
        <v>13</v>
      </c>
      <c r="B41" s="2" t="s">
        <v>149</v>
      </c>
      <c r="C41" s="8" t="s">
        <v>150</v>
      </c>
      <c r="D41" s="2" t="s">
        <v>142</v>
      </c>
      <c r="E41" s="146">
        <v>1.2E-4</v>
      </c>
      <c r="F41" s="189">
        <v>26932.42</v>
      </c>
      <c r="G41" s="27">
        <f t="shared" si="1"/>
        <v>3.23</v>
      </c>
      <c r="H41" s="152">
        <f t="shared" si="0"/>
        <v>2.6243093922651933E-2</v>
      </c>
      <c r="I41" s="27">
        <f>ROUND(F41*Прил.10!$D$13,2)</f>
        <v>216536.66</v>
      </c>
      <c r="J41" s="27">
        <f t="shared" si="2"/>
        <v>25.98</v>
      </c>
    </row>
    <row r="42" spans="1:12" s="12" customFormat="1" ht="38.25" customHeight="1" outlineLevel="1" x14ac:dyDescent="0.2">
      <c r="A42" s="2">
        <v>14</v>
      </c>
      <c r="B42" s="2" t="s">
        <v>151</v>
      </c>
      <c r="C42" s="8" t="s">
        <v>152</v>
      </c>
      <c r="D42" s="2" t="s">
        <v>153</v>
      </c>
      <c r="E42" s="146">
        <v>0.16</v>
      </c>
      <c r="F42" s="189">
        <v>20</v>
      </c>
      <c r="G42" s="27">
        <f t="shared" si="1"/>
        <v>3.2</v>
      </c>
      <c r="H42" s="152">
        <f t="shared" si="0"/>
        <v>2.5999350016249596E-2</v>
      </c>
      <c r="I42" s="27">
        <f>ROUND(F42*Прил.10!$D$13,2)</f>
        <v>160.80000000000001</v>
      </c>
      <c r="J42" s="27">
        <f t="shared" si="2"/>
        <v>25.73</v>
      </c>
    </row>
    <row r="43" spans="1:12" s="12" customFormat="1" ht="14.25" customHeight="1" outlineLevel="1" x14ac:dyDescent="0.2">
      <c r="A43" s="2">
        <v>15</v>
      </c>
      <c r="B43" s="2" t="s">
        <v>154</v>
      </c>
      <c r="C43" s="8" t="s">
        <v>155</v>
      </c>
      <c r="D43" s="2" t="s">
        <v>145</v>
      </c>
      <c r="E43" s="146">
        <v>7.0000000000000007E-2</v>
      </c>
      <c r="F43" s="189">
        <v>32.6</v>
      </c>
      <c r="G43" s="27">
        <f t="shared" si="1"/>
        <v>2.2799999999999998</v>
      </c>
      <c r="H43" s="152">
        <f t="shared" si="0"/>
        <v>1.8524536886577833E-2</v>
      </c>
      <c r="I43" s="27">
        <f>ROUND(F43*Прил.10!$D$13,2)</f>
        <v>262.10000000000002</v>
      </c>
      <c r="J43" s="27">
        <f t="shared" si="2"/>
        <v>18.350000000000001</v>
      </c>
    </row>
    <row r="44" spans="1:12" s="12" customFormat="1" ht="14.25" customHeight="1" outlineLevel="1" x14ac:dyDescent="0.2">
      <c r="A44" s="2">
        <v>16</v>
      </c>
      <c r="B44" s="2" t="s">
        <v>156</v>
      </c>
      <c r="C44" s="8" t="s">
        <v>157</v>
      </c>
      <c r="D44" s="2" t="s">
        <v>142</v>
      </c>
      <c r="E44" s="146">
        <v>1.3999999999999999E-4</v>
      </c>
      <c r="F44" s="189">
        <v>10315.01</v>
      </c>
      <c r="G44" s="27">
        <f t="shared" si="1"/>
        <v>1.44</v>
      </c>
      <c r="H44" s="152">
        <f t="shared" si="0"/>
        <v>1.1699707507312317E-2</v>
      </c>
      <c r="I44" s="27">
        <f>ROUND(F44*Прил.10!$D$13,2)</f>
        <v>82932.679999999993</v>
      </c>
      <c r="J44" s="27">
        <f t="shared" si="2"/>
        <v>11.61</v>
      </c>
    </row>
    <row r="45" spans="1:12" s="12" customFormat="1" ht="14.25" customHeight="1" outlineLevel="1" x14ac:dyDescent="0.2">
      <c r="A45" s="2">
        <v>17</v>
      </c>
      <c r="B45" s="2" t="s">
        <v>158</v>
      </c>
      <c r="C45" s="8" t="s">
        <v>159</v>
      </c>
      <c r="D45" s="2" t="s">
        <v>145</v>
      </c>
      <c r="E45" s="146">
        <v>1.4999999999999999E-2</v>
      </c>
      <c r="F45" s="189">
        <v>47.57</v>
      </c>
      <c r="G45" s="27">
        <f t="shared" si="1"/>
        <v>0.71</v>
      </c>
      <c r="H45" s="152">
        <f t="shared" si="0"/>
        <v>5.7686057848553782E-3</v>
      </c>
      <c r="I45" s="27">
        <f>ROUND(F45*Прил.10!$D$13,2)</f>
        <v>382.46</v>
      </c>
      <c r="J45" s="27">
        <f t="shared" si="2"/>
        <v>5.74</v>
      </c>
    </row>
    <row r="46" spans="1:12" s="12" customFormat="1" ht="14.25" customHeight="1" outlineLevel="1" x14ac:dyDescent="0.2">
      <c r="A46" s="2">
        <v>18</v>
      </c>
      <c r="B46" s="2" t="s">
        <v>160</v>
      </c>
      <c r="C46" s="8" t="s">
        <v>161</v>
      </c>
      <c r="D46" s="2" t="s">
        <v>145</v>
      </c>
      <c r="E46" s="146">
        <v>2.5000000000000001E-2</v>
      </c>
      <c r="F46" s="189">
        <v>16.95</v>
      </c>
      <c r="G46" s="27">
        <f t="shared" si="1"/>
        <v>0.42</v>
      </c>
      <c r="H46" s="152">
        <f t="shared" si="0"/>
        <v>3.4124146896327592E-3</v>
      </c>
      <c r="I46" s="27">
        <f>ROUND(F46*Прил.10!$D$13,2)</f>
        <v>136.28</v>
      </c>
      <c r="J46" s="27">
        <f t="shared" si="2"/>
        <v>3.41</v>
      </c>
    </row>
    <row r="47" spans="1:12" s="12" customFormat="1" ht="14.25" customHeight="1" outlineLevel="1" x14ac:dyDescent="0.2">
      <c r="A47" s="2">
        <v>19</v>
      </c>
      <c r="B47" s="2" t="s">
        <v>162</v>
      </c>
      <c r="C47" s="8" t="s">
        <v>163</v>
      </c>
      <c r="D47" s="2" t="s">
        <v>145</v>
      </c>
      <c r="E47" s="146">
        <v>0.03</v>
      </c>
      <c r="F47" s="189">
        <v>10.97</v>
      </c>
      <c r="G47" s="27">
        <f t="shared" si="1"/>
        <v>0.33</v>
      </c>
      <c r="H47" s="152">
        <f t="shared" si="0"/>
        <v>2.6811829704257396E-3</v>
      </c>
      <c r="I47" s="27">
        <f>ROUND(F47*Прил.10!$D$13,2)</f>
        <v>88.2</v>
      </c>
      <c r="J47" s="27">
        <f t="shared" si="2"/>
        <v>2.65</v>
      </c>
    </row>
    <row r="48" spans="1:12" s="12" customFormat="1" ht="14.25" customHeight="1" x14ac:dyDescent="0.2">
      <c r="A48" s="2"/>
      <c r="B48" s="2"/>
      <c r="C48" s="8" t="s">
        <v>231</v>
      </c>
      <c r="D48" s="2"/>
      <c r="E48" s="188"/>
      <c r="F48" s="189"/>
      <c r="G48" s="27">
        <f>SUM(G40:G47)</f>
        <v>15.36</v>
      </c>
      <c r="H48" s="152">
        <f t="shared" si="0"/>
        <v>0.12479688007799805</v>
      </c>
      <c r="I48" s="27"/>
      <c r="J48" s="27">
        <f>SUM(J40:J47)</f>
        <v>123.61000000000001</v>
      </c>
    </row>
    <row r="49" spans="1:10" s="12" customFormat="1" ht="14.25" customHeight="1" x14ac:dyDescent="0.2">
      <c r="A49" s="2"/>
      <c r="B49" s="2"/>
      <c r="C49" s="144" t="s">
        <v>232</v>
      </c>
      <c r="D49" s="2"/>
      <c r="E49" s="188"/>
      <c r="F49" s="189"/>
      <c r="G49" s="27">
        <f>G39+G48</f>
        <v>123.08</v>
      </c>
      <c r="H49" s="190">
        <f t="shared" si="0"/>
        <v>1</v>
      </c>
      <c r="I49" s="27"/>
      <c r="J49" s="27">
        <f>J39+J48</f>
        <v>989.57999999999993</v>
      </c>
    </row>
    <row r="50" spans="1:10" s="12" customFormat="1" ht="14.25" customHeight="1" x14ac:dyDescent="0.2">
      <c r="A50" s="2"/>
      <c r="B50" s="2"/>
      <c r="C50" s="8" t="s">
        <v>233</v>
      </c>
      <c r="D50" s="2"/>
      <c r="E50" s="188"/>
      <c r="F50" s="189"/>
      <c r="G50" s="27">
        <f>G14+G25+G49</f>
        <v>2226.46</v>
      </c>
      <c r="H50" s="190"/>
      <c r="I50" s="27"/>
      <c r="J50" s="27">
        <f>J14+J25+J49</f>
        <v>90256.290000000008</v>
      </c>
    </row>
    <row r="51" spans="1:10" s="12" customFormat="1" ht="14.25" customHeight="1" x14ac:dyDescent="0.2">
      <c r="A51" s="2"/>
      <c r="B51" s="2"/>
      <c r="C51" s="8" t="s">
        <v>234</v>
      </c>
      <c r="D51" s="158">
        <f>ROUND(G51/(G$16+$G$14),2)</f>
        <v>0.9</v>
      </c>
      <c r="E51" s="188"/>
      <c r="F51" s="189"/>
      <c r="G51" s="27">
        <v>1703.8</v>
      </c>
      <c r="H51" s="190"/>
      <c r="I51" s="27"/>
      <c r="J51" s="27">
        <f>ROUND(D51*(J14+J16),2)</f>
        <v>78496.66</v>
      </c>
    </row>
    <row r="52" spans="1:10" s="12" customFormat="1" ht="14.25" customHeight="1" x14ac:dyDescent="0.2">
      <c r="A52" s="2"/>
      <c r="B52" s="2"/>
      <c r="C52" s="8" t="s">
        <v>235</v>
      </c>
      <c r="D52" s="158">
        <f>ROUND(G52/(G$14+G$16),2)</f>
        <v>0.46</v>
      </c>
      <c r="E52" s="188"/>
      <c r="F52" s="189"/>
      <c r="G52" s="27">
        <v>874.02</v>
      </c>
      <c r="H52" s="190"/>
      <c r="I52" s="27"/>
      <c r="J52" s="27">
        <f>ROUND(D52*(J14+J16),2)</f>
        <v>40120.51</v>
      </c>
    </row>
    <row r="53" spans="1:10" s="12" customFormat="1" ht="14.25" customHeight="1" x14ac:dyDescent="0.2">
      <c r="A53" s="2"/>
      <c r="B53" s="2"/>
      <c r="C53" s="8" t="s">
        <v>236</v>
      </c>
      <c r="D53" s="2"/>
      <c r="E53" s="188"/>
      <c r="F53" s="189"/>
      <c r="G53" s="27">
        <f>G14+G25+G49+G51+G52</f>
        <v>4804.2800000000007</v>
      </c>
      <c r="H53" s="190"/>
      <c r="I53" s="27"/>
      <c r="J53" s="27">
        <f>J14+J25+J49+J51+J52</f>
        <v>208873.46000000002</v>
      </c>
    </row>
    <row r="54" spans="1:10" s="12" customFormat="1" ht="14.25" customHeight="1" x14ac:dyDescent="0.2">
      <c r="A54" s="2"/>
      <c r="B54" s="2"/>
      <c r="C54" s="8" t="s">
        <v>237</v>
      </c>
      <c r="D54" s="2"/>
      <c r="E54" s="188"/>
      <c r="F54" s="189"/>
      <c r="G54" s="27">
        <f>G53+G31</f>
        <v>901538.57000000007</v>
      </c>
      <c r="H54" s="190"/>
      <c r="I54" s="27"/>
      <c r="J54" s="27">
        <f>J53+J31</f>
        <v>1908873.46</v>
      </c>
    </row>
    <row r="55" spans="1:10" s="12" customFormat="1" ht="34.5" customHeight="1" x14ac:dyDescent="0.2">
      <c r="A55" s="2"/>
      <c r="B55" s="2"/>
      <c r="C55" s="8" t="s">
        <v>200</v>
      </c>
      <c r="D55" s="2" t="s">
        <v>238</v>
      </c>
      <c r="E55" s="197">
        <v>1</v>
      </c>
      <c r="F55" s="189"/>
      <c r="G55" s="27">
        <f>G54/E55</f>
        <v>901538.57000000007</v>
      </c>
      <c r="H55" s="190"/>
      <c r="I55" s="27"/>
      <c r="J55" s="27">
        <f>J54/E55</f>
        <v>1908873.46</v>
      </c>
    </row>
    <row r="57" spans="1:10" s="12" customFormat="1" ht="14.25" customHeight="1" x14ac:dyDescent="0.2">
      <c r="A57" s="4" t="s">
        <v>239</v>
      </c>
    </row>
    <row r="58" spans="1:10" s="12" customFormat="1" ht="14.25" customHeight="1" x14ac:dyDescent="0.2">
      <c r="A58" s="143" t="s">
        <v>77</v>
      </c>
    </row>
    <row r="59" spans="1:10" s="12" customFormat="1" ht="14.25" customHeight="1" x14ac:dyDescent="0.2">
      <c r="A59" s="4"/>
    </row>
    <row r="60" spans="1:10" s="12" customFormat="1" ht="14.25" customHeight="1" x14ac:dyDescent="0.2">
      <c r="A60" s="4" t="s">
        <v>240</v>
      </c>
    </row>
    <row r="61" spans="1:10" s="12" customFormat="1" ht="14.25" customHeight="1" x14ac:dyDescent="0.2">
      <c r="A61" s="143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4:H34"/>
    <mergeCell ref="B12:H12"/>
    <mergeCell ref="B15:H15"/>
    <mergeCell ref="B17:H17"/>
    <mergeCell ref="B18:H18"/>
    <mergeCell ref="B27:H27"/>
    <mergeCell ref="B26:H26"/>
    <mergeCell ref="B33:H33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10" workbookViewId="0">
      <selection activeCell="A16" sqref="A1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50" t="s">
        <v>241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5" t="s">
        <v>242</v>
      </c>
      <c r="B3" s="205"/>
      <c r="C3" s="205"/>
      <c r="D3" s="205"/>
      <c r="E3" s="205"/>
      <c r="F3" s="205"/>
      <c r="G3" s="205"/>
    </row>
    <row r="4" spans="1:7" ht="25.5" customHeight="1" x14ac:dyDescent="0.25">
      <c r="A4" s="208" t="s">
        <v>47</v>
      </c>
      <c r="B4" s="208"/>
      <c r="C4" s="208"/>
      <c r="D4" s="208"/>
      <c r="E4" s="208"/>
      <c r="F4" s="208"/>
      <c r="G4" s="208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99</v>
      </c>
      <c r="C6" s="255" t="s">
        <v>166</v>
      </c>
      <c r="D6" s="255" t="s">
        <v>101</v>
      </c>
      <c r="E6" s="231" t="s">
        <v>209</v>
      </c>
      <c r="F6" s="255" t="s">
        <v>103</v>
      </c>
      <c r="G6" s="255"/>
    </row>
    <row r="7" spans="1:7" x14ac:dyDescent="0.25">
      <c r="A7" s="255"/>
      <c r="B7" s="255"/>
      <c r="C7" s="255"/>
      <c r="D7" s="255"/>
      <c r="E7" s="248"/>
      <c r="F7" s="2" t="s">
        <v>212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51" t="s">
        <v>243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44"/>
      <c r="C10" s="8" t="s">
        <v>244</v>
      </c>
      <c r="D10" s="144"/>
      <c r="E10" s="145"/>
      <c r="F10" s="189"/>
      <c r="G10" s="27">
        <v>0</v>
      </c>
    </row>
    <row r="11" spans="1:7" x14ac:dyDescent="0.25">
      <c r="A11" s="2"/>
      <c r="B11" s="236" t="s">
        <v>245</v>
      </c>
      <c r="C11" s="236"/>
      <c r="D11" s="236"/>
      <c r="E11" s="254"/>
      <c r="F11" s="239"/>
      <c r="G11" s="239"/>
    </row>
    <row r="12" spans="1:7" s="117" customFormat="1" ht="242.25" customHeight="1" x14ac:dyDescent="0.25">
      <c r="A12" s="2">
        <v>1</v>
      </c>
      <c r="B12" s="8" t="str">
        <f>'Прил.5 Расчет СМР и ОБ'!B28</f>
        <v>БЦ.36.14</v>
      </c>
      <c r="C12" s="8" t="str">
        <f>'Прил.5 Расчет СМР и ОБ'!C28</f>
        <v>Регистратор записи диспетчерских переговоров
- Интерфейсная плата для записи не менее 8 аналоговых
двухпроводных линий;
- Интерфейсная плата для записи не менее 30 SIP телефонов, 20 базовых станций DECT (SIP), 10 мобильных радиотерминалов DECT;
- Лицензия для работы с сервером СЗП не менее пяти единовременных пользователей;
- Cетевая карта;
- В состав комплекса записи непосредственно или в виде автономных модулей, сопрягаемых с ним, должны входить следующие интерфейсы: FXO, FXS, E&amp;M, E1 (Q.SIG, EDSS1), SIP, SIP Trunk.</v>
      </c>
      <c r="D12" s="2" t="str">
        <f>'Прил.5 Расчет СМР и ОБ'!D28</f>
        <v>шт</v>
      </c>
      <c r="E12" s="146">
        <f>'Прил.5 Расчет СМР и ОБ'!E28</f>
        <v>1</v>
      </c>
      <c r="F12" s="146">
        <f>'Прил.5 Расчет СМР и ОБ'!F28</f>
        <v>896734.29</v>
      </c>
      <c r="G12" s="27">
        <f>ROUND(E12*F12,2)</f>
        <v>896734.29</v>
      </c>
    </row>
    <row r="13" spans="1:7" ht="25.5" customHeight="1" x14ac:dyDescent="0.25">
      <c r="A13" s="2"/>
      <c r="B13" s="8"/>
      <c r="C13" s="8" t="s">
        <v>246</v>
      </c>
      <c r="D13" s="8"/>
      <c r="E13" s="41"/>
      <c r="F13" s="189"/>
      <c r="G13" s="27">
        <f>SUM(G12:G12)</f>
        <v>896734.29</v>
      </c>
    </row>
    <row r="14" spans="1:7" ht="19.5" customHeight="1" x14ac:dyDescent="0.25">
      <c r="A14" s="2"/>
      <c r="B14" s="8"/>
      <c r="C14" s="8" t="s">
        <v>247</v>
      </c>
      <c r="D14" s="8"/>
      <c r="E14" s="41"/>
      <c r="F14" s="189"/>
      <c r="G14" s="27">
        <f>G10+G13</f>
        <v>896734.29</v>
      </c>
    </row>
    <row r="15" spans="1:7" x14ac:dyDescent="0.25">
      <c r="A15" s="25"/>
      <c r="B15" s="147"/>
      <c r="C15" s="25"/>
      <c r="D15" s="25"/>
      <c r="E15" s="25"/>
      <c r="F15" s="25"/>
      <c r="G15" s="25"/>
    </row>
    <row r="16" spans="1:7" x14ac:dyDescent="0.25">
      <c r="A16" s="4" t="s">
        <v>239</v>
      </c>
      <c r="B16" s="12"/>
      <c r="C16" s="12"/>
      <c r="D16" s="25"/>
      <c r="E16" s="25"/>
      <c r="F16" s="25"/>
      <c r="G16" s="25"/>
    </row>
    <row r="17" spans="1:7" x14ac:dyDescent="0.25">
      <c r="A17" s="143" t="s">
        <v>77</v>
      </c>
      <c r="B17" s="12"/>
      <c r="C17" s="12"/>
      <c r="D17" s="25"/>
      <c r="E17" s="25"/>
      <c r="F17" s="25"/>
      <c r="G17" s="25"/>
    </row>
    <row r="18" spans="1:7" x14ac:dyDescent="0.25">
      <c r="A18" s="4"/>
      <c r="B18" s="12"/>
      <c r="C18" s="12"/>
      <c r="D18" s="25"/>
      <c r="E18" s="25"/>
      <c r="F18" s="25"/>
      <c r="G18" s="25"/>
    </row>
    <row r="19" spans="1:7" x14ac:dyDescent="0.25">
      <c r="A19" s="4" t="s">
        <v>240</v>
      </c>
      <c r="B19" s="12"/>
      <c r="C19" s="12"/>
      <c r="D19" s="25"/>
      <c r="E19" s="25"/>
      <c r="F19" s="25"/>
      <c r="G19" s="25"/>
    </row>
    <row r="20" spans="1:7" x14ac:dyDescent="0.25">
      <c r="A20" s="143" t="s">
        <v>79</v>
      </c>
      <c r="B20" s="12"/>
      <c r="C20" s="12"/>
      <c r="D20" s="25"/>
      <c r="E20" s="25"/>
      <c r="F20" s="25"/>
      <c r="G20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2023-11-24T13:03:44Z</cp:lastPrinted>
  <dcterms:created xsi:type="dcterms:W3CDTF">2020-09-30T08:50:27Z</dcterms:created>
  <dcterms:modified xsi:type="dcterms:W3CDTF">2023-11-24T13:03:58Z</dcterms:modified>
  <cp:category/>
</cp:coreProperties>
</file>