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FDE5C003-6D1E-487B-B8EF-CAD96AC654B9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Прил.3!$A$1:$H$77</definedName>
    <definedName name="_xlnm.Print_Area" localSheetId="3">'Прил.4 РМ'!$A$1:$E$48</definedName>
    <definedName name="_xlnm.Print_Area" localSheetId="4">'Прил.5 Расчет СМР и ОБ'!$A$1:$J$92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C11" i="7"/>
  <c r="D5" i="7"/>
  <c r="G23" i="6"/>
  <c r="G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J78" i="5"/>
  <c r="J77" i="5"/>
  <c r="G77" i="5"/>
  <c r="J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3" i="5"/>
  <c r="H43" i="5"/>
  <c r="G43" i="5"/>
  <c r="J42" i="5"/>
  <c r="H42" i="5"/>
  <c r="G42" i="5"/>
  <c r="J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F32" i="5"/>
  <c r="J29" i="5"/>
  <c r="G29" i="5"/>
  <c r="J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G18" i="5"/>
  <c r="F18" i="5" s="1"/>
  <c r="I18" i="5" s="1"/>
  <c r="J18" i="5" s="1"/>
  <c r="C15" i="4" s="1"/>
  <c r="J16" i="5"/>
  <c r="E16" i="5"/>
  <c r="J15" i="5"/>
  <c r="I15" i="5"/>
  <c r="G15" i="5"/>
  <c r="F15" i="5"/>
  <c r="J14" i="5"/>
  <c r="I14" i="5"/>
  <c r="G14" i="5"/>
  <c r="F14" i="5"/>
  <c r="J13" i="5"/>
  <c r="I13" i="5"/>
  <c r="G13" i="5"/>
  <c r="G16" i="5" s="1"/>
  <c r="A7" i="5"/>
  <c r="C26" i="4"/>
  <c r="C25" i="4"/>
  <c r="C19" i="4"/>
  <c r="C18" i="4"/>
  <c r="C17" i="4"/>
  <c r="C16" i="4"/>
  <c r="C14" i="4"/>
  <c r="C13" i="4"/>
  <c r="C12" i="4"/>
  <c r="C11" i="4"/>
  <c r="B8" i="4"/>
  <c r="B7" i="4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0" i="3"/>
  <c r="F20" i="3"/>
  <c r="H19" i="3"/>
  <c r="H18" i="3"/>
  <c r="H17" i="3"/>
  <c r="H16" i="3"/>
  <c r="H15" i="3"/>
  <c r="H14" i="3"/>
  <c r="H13" i="3"/>
  <c r="H12" i="3"/>
  <c r="F12" i="3"/>
  <c r="A7" i="3"/>
  <c r="J14" i="2"/>
  <c r="H14" i="2"/>
  <c r="F14" i="2"/>
  <c r="J13" i="2"/>
  <c r="H13" i="2"/>
  <c r="F13" i="2"/>
  <c r="J12" i="2"/>
  <c r="B7" i="2"/>
  <c r="B6" i="2"/>
  <c r="D24" i="1"/>
  <c r="D23" i="1"/>
  <c r="D19" i="1"/>
  <c r="D18" i="1"/>
  <c r="D17" i="1"/>
  <c r="B7" i="1"/>
  <c r="G81" i="5" l="1"/>
  <c r="G82" i="5" s="1"/>
  <c r="G83" i="5" s="1"/>
  <c r="E79" i="5"/>
  <c r="J79" i="5" s="1"/>
  <c r="H14" i="5"/>
  <c r="H13" i="5"/>
  <c r="C20" i="4"/>
  <c r="C22" i="4"/>
  <c r="E80" i="5"/>
  <c r="J80" i="5" s="1"/>
  <c r="H15" i="5"/>
  <c r="G78" i="5"/>
  <c r="J81" i="5" l="1"/>
  <c r="J82" i="5" s="1"/>
  <c r="J83" i="5" s="1"/>
  <c r="C24" i="4"/>
  <c r="C27" i="4" l="1"/>
  <c r="D24" i="4"/>
  <c r="D17" i="4"/>
  <c r="D13" i="4"/>
  <c r="D11" i="4"/>
  <c r="D16" i="4"/>
  <c r="C29" i="4"/>
  <c r="D12" i="4"/>
  <c r="C30" i="4"/>
  <c r="D14" i="4"/>
  <c r="D18" i="4"/>
  <c r="D15" i="4"/>
  <c r="D20" i="4"/>
  <c r="D22" i="4"/>
  <c r="C36" i="4" l="1"/>
  <c r="C38" i="4" s="1"/>
  <c r="C37" i="4"/>
  <c r="C39" i="4" l="1"/>
  <c r="C40" i="4" l="1"/>
  <c r="E31" i="4" l="1"/>
  <c r="E17" i="4"/>
  <c r="E13" i="4"/>
  <c r="E11" i="4"/>
  <c r="E26" i="4"/>
  <c r="E40" i="4"/>
  <c r="E33" i="4"/>
  <c r="E32" i="4"/>
  <c r="E35" i="4"/>
  <c r="C41" i="4"/>
  <c r="D11" i="7" s="1"/>
  <c r="E34" i="4"/>
  <c r="E25" i="4"/>
  <c r="E18" i="4"/>
  <c r="E16" i="4"/>
  <c r="E14" i="4"/>
  <c r="E12" i="4"/>
  <c r="E15" i="4"/>
  <c r="E20" i="4"/>
  <c r="E22" i="4"/>
  <c r="E24" i="4"/>
  <c r="E27" i="4"/>
  <c r="E30" i="4"/>
  <c r="E29" i="4"/>
  <c r="E38" i="4"/>
  <c r="E37" i="4"/>
  <c r="E36" i="4"/>
  <c r="E39" i="4"/>
</calcChain>
</file>

<file path=xl/sharedStrings.xml><?xml version="1.0" encoding="utf-8"?>
<sst xmlns="http://schemas.openxmlformats.org/spreadsheetml/2006/main" count="562" uniqueCount="331">
  <si>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</si>
  <si>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</si>
  <si>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</si>
  <si>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4 квартал 2019 г.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</si>
  <si>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</si>
  <si>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</si>
  <si>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</si>
  <si>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</si>
  <si>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</si>
  <si>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</si>
  <si>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</si>
  <si>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</si>
  <si>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</si>
  <si>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</si>
  <si>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</si>
  <si>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</si>
  <si>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950,38 м периметра ПС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</si>
  <si>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</si>
  <si>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</si>
  <si>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</si>
  <si>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</si>
  <si>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</si>
  <si>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</si>
  <si>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</si>
  <si>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</si>
  <si>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</si>
  <si>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</si>
  <si>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</si>
  <si>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</si>
  <si>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</si>
  <si>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</si>
  <si>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</si>
  <si>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</si>
  <si>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</si>
  <si>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</si>
  <si>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</si>
  <si>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</si>
  <si>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</si>
  <si>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</si>
  <si>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</si>
  <si>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</si>
  <si>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</si>
  <si>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</si>
  <si>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</si>
  <si>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</si>
  <si>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</si>
  <si>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Система периметральной сигнализации ПС 330 кВ</t>
  </si>
  <si>
    <t>Всего по объекту:</t>
  </si>
  <si>
    <t>Всего по объекту в сопоставимом уровне цен 4 кв. 2019г: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</si>
  <si>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</si>
  <si>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</si>
  <si>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</si>
  <si>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</si>
  <si>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</si>
  <si>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</si>
  <si>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</si>
  <si>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</si>
  <si>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</si>
  <si>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</si>
  <si>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</si>
  <si>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</si>
  <si>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</si>
  <si>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</si>
  <si>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</si>
  <si>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</si>
  <si>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</si>
  <si>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</si>
  <si>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</si>
  <si>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</si>
  <si>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</si>
  <si>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</si>
  <si>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</si>
  <si>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</si>
  <si>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</si>
  <si>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</si>
  <si>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</si>
  <si>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</si>
  <si>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</si>
  <si>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</si>
  <si>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</si>
  <si>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</si>
  <si>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</si>
  <si>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</si>
  <si>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</si>
  <si>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</si>
  <si>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</si>
  <si>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</si>
  <si>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</si>
  <si>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</si>
  <si>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</si>
  <si>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</si>
  <si>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</si>
  <si>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</si>
  <si>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</si>
  <si>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</si>
  <si>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</si>
  <si>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</si>
  <si>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</si>
  <si>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</si>
  <si>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</si>
  <si>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</si>
  <si>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</si>
  <si>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</si>
  <si>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</si>
  <si>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</si>
  <si>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</si>
  <si>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</si>
  <si>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</si>
  <si>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</si>
  <si>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</si>
  <si>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</si>
  <si>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</si>
  <si>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</si>
  <si>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</si>
  <si>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</si>
  <si>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</si>
  <si>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</si>
  <si>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</si>
  <si>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</si>
  <si>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</si>
  <si>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</si>
  <si>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</si>
  <si>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</si>
  <si>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</si>
  <si>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</si>
  <si>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</si>
  <si>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</si>
  <si>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</si>
  <si>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</si>
  <si>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</si>
  <si>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</si>
  <si>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</si>
  <si>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</si>
  <si>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</si>
  <si>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</si>
  <si>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</si>
  <si>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</si>
  <si>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</si>
  <si>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</si>
  <si>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</si>
  <si>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</si>
  <si>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</si>
  <si>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</si>
  <si>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</si>
  <si>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</si>
  <si>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</si>
  <si>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</si>
  <si>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</si>
  <si>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</si>
  <si>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</si>
  <si>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</si>
  <si>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</si>
  <si>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</si>
  <si>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</si>
  <si>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</si>
  <si>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</si>
  <si>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</si>
  <si>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</si>
  <si>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</si>
  <si>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</si>
  <si>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</si>
  <si>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</si>
  <si>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</si>
  <si>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</si>
  <si>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</si>
  <si>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</si>
  <si>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</si>
  <si>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</si>
  <si>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</si>
  <si>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</si>
  <si>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</si>
  <si>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</si>
  <si>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</si>
  <si>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</si>
  <si>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</si>
  <si>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</si>
  <si>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</si>
  <si>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</si>
  <si>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</si>
  <si>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</si>
  <si>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</si>
  <si>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</si>
  <si>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</si>
  <si>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</si>
  <si>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</si>
  <si>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</si>
  <si>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</si>
  <si>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</si>
  <si>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</si>
  <si>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</si>
  <si>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</si>
  <si>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</si>
  <si>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</si>
  <si>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</si>
  <si>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</si>
  <si>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</si>
  <si>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</si>
  <si>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</si>
  <si>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</si>
  <si>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</si>
  <si>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</si>
  <si>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</si>
  <si>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</si>
  <si>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</si>
  <si>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</si>
  <si>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</si>
  <si>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</si>
  <si>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</si>
  <si>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система периметральной сигнализации ПС 330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</si>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</sst>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00"/>
    <numFmt numFmtId="170" formatCode="#,##0.000000"/>
  </numFmts>
  <fonts count="18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2"/>
      <color rgb="FF000000"/>
      <name val="Calibri"/>
    </font>
    <font>
      <sz val="12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right"/>
    </xf>
    <xf numFmtId="10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2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9" fillId="0" borderId="0" xfId="0" applyFont="1"/>
    <xf numFmtId="0" fontId="0" fillId="0" borderId="0" xfId="0"/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170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4" fontId="15" fillId="0" borderId="1" xfId="0" applyNumberFormat="1" applyFont="1" applyBorder="1" applyAlignment="1">
      <alignment vertical="center" wrapText="1"/>
    </xf>
    <xf numFmtId="4" fontId="14" fillId="0" borderId="2" xfId="0" applyNumberFormat="1" applyFont="1" applyBorder="1" applyAlignment="1">
      <alignment vertical="center" wrapText="1"/>
    </xf>
    <xf numFmtId="4" fontId="14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15" fillId="0" borderId="5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4" fontId="14" fillId="0" borderId="5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189119</xdr:colOff>
      <xdr:row>28</xdr:row>
      <xdr:rowOff>194918</xdr:rowOff>
    </xdr:from>
    <xdr:to>
      <xdr:col>2</xdr:col>
      <xdr:colOff>1133921</xdr:colOff>
      <xdr:row>31</xdr:row>
      <xdr:rowOff>60161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1FA8453-D713-4DF8-B92F-7C759A0CD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945" y="10962309"/>
          <a:ext cx="944802" cy="552700"/>
        </a:xfrm>
        <a:prstGeom prst="rect">
          <a:avLst/>
        </a:prstGeom>
      </xdr:spPr>
    </xdr:pic>
    <xdr:clientData/>
  </xdr:twoCellAnchor>
  <xdr:twoCellAnchor editAs="oneCell">
    <xdr:from>
      <xdr:col>2</xdr:col>
      <xdr:colOff>351044</xdr:colOff>
      <xdr:row>25</xdr:row>
      <xdr:rowOff>176559</xdr:rowOff>
    </xdr:from>
    <xdr:to>
      <xdr:col>2</xdr:col>
      <xdr:colOff>1017663</xdr:colOff>
      <xdr:row>29</xdr:row>
      <xdr:rowOff>16566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F84A6E7-47C5-4B5B-93D4-B55566AB3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870" y="10347602"/>
          <a:ext cx="666619" cy="726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17</xdr:row>
      <xdr:rowOff>114300</xdr:rowOff>
    </xdr:from>
    <xdr:to>
      <xdr:col>2</xdr:col>
      <xdr:colOff>1325802</xdr:colOff>
      <xdr:row>19</xdr:row>
      <xdr:rowOff>140038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0BFFCF7-6141-4BF5-92C9-0106F3D24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4241800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14</xdr:row>
      <xdr:rowOff>174625</xdr:rowOff>
    </xdr:from>
    <xdr:to>
      <xdr:col>2</xdr:col>
      <xdr:colOff>1209544</xdr:colOff>
      <xdr:row>17</xdr:row>
      <xdr:rowOff>266700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74139A4-E1F7-4DB3-80FE-336DD70AF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00" y="3698875"/>
          <a:ext cx="666619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71</xdr:row>
      <xdr:rowOff>101413</xdr:rowOff>
    </xdr:from>
    <xdr:to>
      <xdr:col>2</xdr:col>
      <xdr:colOff>1402002</xdr:colOff>
      <xdr:row>74</xdr:row>
      <xdr:rowOff>20508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B607661-F4C5-4430-B7EF-EAEE7700E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9799113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68</xdr:row>
      <xdr:rowOff>152400</xdr:rowOff>
    </xdr:from>
    <xdr:to>
      <xdr:col>2</xdr:col>
      <xdr:colOff>1285744</xdr:colOff>
      <xdr:row>72</xdr:row>
      <xdr:rowOff>52107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4E8B9B7-3CB5-46A0-9661-379CBA38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19278600"/>
          <a:ext cx="666619" cy="661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95250</xdr:rowOff>
    </xdr:from>
    <xdr:to>
      <xdr:col>1</xdr:col>
      <xdr:colOff>1725852</xdr:colOff>
      <xdr:row>46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88B7108-F6F1-4589-9EDA-FF421D608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96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40</xdr:row>
      <xdr:rowOff>123825</xdr:rowOff>
    </xdr:from>
    <xdr:to>
      <xdr:col>1</xdr:col>
      <xdr:colOff>1609594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AD33115-C242-4324-A4DC-D2F44BB4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535081</xdr:colOff>
      <xdr:row>86</xdr:row>
      <xdr:rowOff>89087</xdr:rowOff>
    </xdr:from>
    <xdr:to>
      <xdr:col>1</xdr:col>
      <xdr:colOff>1475121</xdr:colOff>
      <xdr:row>89</xdr:row>
      <xdr:rowOff>41800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A940700-9AEF-4E7F-925B-2DDBCABC3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081" y="23592025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697006</xdr:colOff>
      <xdr:row>83</xdr:row>
      <xdr:rowOff>117662</xdr:rowOff>
    </xdr:from>
    <xdr:to>
      <xdr:col>1</xdr:col>
      <xdr:colOff>1363625</xdr:colOff>
      <xdr:row>87</xdr:row>
      <xdr:rowOff>50987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AC58E77-876A-45F9-A770-6F31C63EE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006" y="23049100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25</xdr:row>
      <xdr:rowOff>76200</xdr:rowOff>
    </xdr:from>
    <xdr:to>
      <xdr:col>2</xdr:col>
      <xdr:colOff>411402</xdr:colOff>
      <xdr:row>28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681412D-C9FB-4DBD-A4B4-6160AAE25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76104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619125</xdr:colOff>
      <xdr:row>22</xdr:row>
      <xdr:rowOff>161925</xdr:rowOff>
    </xdr:from>
    <xdr:to>
      <xdr:col>2</xdr:col>
      <xdr:colOff>295144</xdr:colOff>
      <xdr:row>26</xdr:row>
      <xdr:rowOff>38100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8DC2B7D-ABF6-4DBA-B7E9-7488560DF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7067550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142875</xdr:rowOff>
    </xdr:from>
    <xdr:to>
      <xdr:col>1</xdr:col>
      <xdr:colOff>801927</xdr:colOff>
      <xdr:row>16</xdr:row>
      <xdr:rowOff>95588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9E5C84C-03F1-4539-A39F-5173F925D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505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</xdr:row>
      <xdr:rowOff>781050</xdr:rowOff>
    </xdr:from>
    <xdr:to>
      <xdr:col>1</xdr:col>
      <xdr:colOff>685669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FC638D5-8E20-44CC-B818-FB157B216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26</xdr:row>
      <xdr:rowOff>98425</xdr:rowOff>
    </xdr:from>
    <xdr:to>
      <xdr:col>1</xdr:col>
      <xdr:colOff>1706802</xdr:colOff>
      <xdr:row>29</xdr:row>
      <xdr:rowOff>51138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1C59BA-9A33-47A2-AAAB-7553F2D29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0" y="8734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923925</xdr:colOff>
      <xdr:row>23</xdr:row>
      <xdr:rowOff>127000</xdr:rowOff>
    </xdr:from>
    <xdr:to>
      <xdr:col>1</xdr:col>
      <xdr:colOff>1590544</xdr:colOff>
      <xdr:row>27</xdr:row>
      <xdr:rowOff>60325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99E3DD6-4E1B-45B5-805A-DEB67479A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175" y="8191500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8" zoomScale="115" zoomScaleNormal="85" zoomScaleSheetLayoutView="115" workbookViewId="0">
      <selection activeCell="C27" sqref="C27"/>
    </sheetView>
  </sheetViews>
  <sheetFormatPr defaultRowHeight="15.75" x14ac:dyDescent="0.25"/>
  <cols>
    <col min="1" max="2" width="9.140625" style="119" customWidth="1"/>
    <col min="3" max="3" width="36.85546875" style="119" customWidth="1"/>
    <col min="4" max="4" width="36.5703125" style="119" customWidth="1"/>
    <col min="5" max="5" width="14.28515625" style="92" customWidth="1"/>
    <col min="6" max="6" width="12.140625" style="92" customWidth="1"/>
    <col min="7" max="7" width="12.28515625" style="92" customWidth="1"/>
    <col min="8" max="8" width="15" style="92" customWidth="1"/>
    <col min="9" max="9" width="9.140625" style="92" customWidth="1"/>
  </cols>
  <sheetData>
    <row r="1" spans="2:9" x14ac:dyDescent="0.25">
      <c r="E1" s="119"/>
      <c r="F1" s="119"/>
      <c r="G1" s="119"/>
      <c r="H1" s="119"/>
      <c r="I1" s="119"/>
    </row>
    <row r="2" spans="2:9" x14ac:dyDescent="0.25">
      <c r="E2" s="119"/>
      <c r="F2" s="119"/>
      <c r="G2" s="119"/>
      <c r="H2" s="119"/>
      <c r="I2" s="119"/>
    </row>
    <row r="3" spans="2:9" x14ac:dyDescent="0.25">
      <c r="B3" s="194" t="s">
        <v>0</v>
      </c>
      <c r="C3" s="194"/>
      <c r="D3" s="194"/>
      <c r="E3" s="119"/>
      <c r="F3" s="119"/>
      <c r="G3" s="119"/>
      <c r="H3" s="119"/>
      <c r="I3" s="119"/>
    </row>
    <row r="4" spans="2:9" x14ac:dyDescent="0.25">
      <c r="B4" s="195" t="s">
        <v>1</v>
      </c>
      <c r="C4" s="195"/>
      <c r="D4" s="195"/>
      <c r="E4" s="119"/>
      <c r="F4" s="119"/>
      <c r="G4" s="119"/>
      <c r="H4" s="119"/>
      <c r="I4" s="119"/>
    </row>
    <row r="5" spans="2:9" ht="66" customHeight="1" x14ac:dyDescent="0.25">
      <c r="B5" s="196" t="s">
        <v>2</v>
      </c>
      <c r="C5" s="196"/>
      <c r="D5" s="196"/>
      <c r="E5" s="119"/>
      <c r="F5" s="119"/>
      <c r="G5" s="119"/>
      <c r="H5" s="119"/>
      <c r="I5" s="119"/>
    </row>
    <row r="6" spans="2:9" x14ac:dyDescent="0.25">
      <c r="B6" s="120"/>
      <c r="C6" s="120"/>
      <c r="D6" s="120"/>
      <c r="E6" s="119"/>
      <c r="F6" s="119"/>
      <c r="G6" s="119"/>
      <c r="H6" s="119"/>
      <c r="I6" s="119"/>
    </row>
    <row r="7" spans="2:9" ht="57" customHeight="1" x14ac:dyDescent="0.25">
      <c r="B7" s="193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система периметральной сигнализации ПС 330 кВ</v>
      </c>
      <c r="C7" s="193"/>
      <c r="D7" s="193"/>
      <c r="E7" s="121"/>
      <c r="F7" s="119"/>
      <c r="G7" s="119"/>
      <c r="H7" s="119"/>
      <c r="I7" s="119"/>
    </row>
    <row r="8" spans="2:9" ht="15.75" customHeight="1" x14ac:dyDescent="0.25">
      <c r="B8" s="118" t="s">
        <v>3</v>
      </c>
      <c r="C8" s="118"/>
      <c r="D8" s="150"/>
      <c r="E8" s="119"/>
      <c r="F8" s="119"/>
      <c r="G8" s="119"/>
      <c r="H8" s="119"/>
      <c r="I8" s="119"/>
    </row>
    <row r="9" spans="2:9" ht="15.75" customHeight="1" x14ac:dyDescent="0.25">
      <c r="B9" s="193" t="s">
        <v>4</v>
      </c>
      <c r="C9" s="193"/>
      <c r="D9" s="193"/>
      <c r="E9" s="121"/>
      <c r="F9" s="119"/>
      <c r="G9" s="119"/>
      <c r="H9" s="119"/>
      <c r="I9" s="119"/>
    </row>
    <row r="10" spans="2:9" x14ac:dyDescent="0.25">
      <c r="B10" s="117"/>
      <c r="E10" s="119"/>
      <c r="F10" s="119"/>
      <c r="G10" s="119"/>
      <c r="H10" s="119"/>
      <c r="I10" s="119"/>
    </row>
    <row r="11" spans="2:9" x14ac:dyDescent="0.25">
      <c r="B11" s="47" t="s">
        <v>5</v>
      </c>
      <c r="C11" s="47" t="s">
        <v>6</v>
      </c>
      <c r="D11" s="144" t="s">
        <v>7</v>
      </c>
      <c r="E11" s="121"/>
      <c r="F11" s="119"/>
      <c r="G11" s="119"/>
      <c r="H11" s="119"/>
      <c r="I11" s="119"/>
    </row>
    <row r="12" spans="2:9" ht="31.5" customHeight="1" x14ac:dyDescent="0.25">
      <c r="B12" s="47">
        <v>1</v>
      </c>
      <c r="C12" s="122" t="s">
        <v>8</v>
      </c>
      <c r="D12" s="187" t="s">
        <v>9</v>
      </c>
      <c r="E12" s="119"/>
      <c r="F12" s="119"/>
      <c r="G12" s="119"/>
      <c r="H12" s="119"/>
      <c r="I12" s="119"/>
    </row>
    <row r="13" spans="2:9" ht="31.5" customHeight="1" x14ac:dyDescent="0.25">
      <c r="B13" s="47">
        <v>2</v>
      </c>
      <c r="C13" s="122" t="s">
        <v>10</v>
      </c>
      <c r="D13" s="187" t="s">
        <v>11</v>
      </c>
      <c r="E13" s="119"/>
      <c r="F13" s="119"/>
      <c r="G13" s="119"/>
      <c r="H13" s="119"/>
      <c r="I13" s="119"/>
    </row>
    <row r="14" spans="2:9" x14ac:dyDescent="0.25">
      <c r="B14" s="47">
        <v>3</v>
      </c>
      <c r="C14" s="122" t="s">
        <v>12</v>
      </c>
      <c r="D14" s="187" t="s">
        <v>13</v>
      </c>
      <c r="E14" s="119"/>
      <c r="F14" s="119"/>
      <c r="G14" s="119"/>
      <c r="H14" s="119"/>
      <c r="I14" s="119"/>
    </row>
    <row r="15" spans="2:9" x14ac:dyDescent="0.25">
      <c r="B15" s="47">
        <v>4</v>
      </c>
      <c r="C15" s="122" t="s">
        <v>14</v>
      </c>
      <c r="D15" s="168">
        <v>1</v>
      </c>
      <c r="E15" s="119"/>
      <c r="F15" s="119"/>
      <c r="G15" s="119"/>
      <c r="H15" s="119"/>
      <c r="I15" s="119"/>
    </row>
    <row r="16" spans="2:9" ht="100.5" customHeight="1" x14ac:dyDescent="0.25">
      <c r="B16" s="47">
        <v>5</v>
      </c>
      <c r="C16" s="123" t="s">
        <v>15</v>
      </c>
      <c r="D16" s="168" t="s">
        <v>16</v>
      </c>
      <c r="E16" s="119"/>
      <c r="F16" s="119"/>
      <c r="G16" s="119"/>
      <c r="H16" s="119"/>
      <c r="I16" s="119"/>
    </row>
    <row r="17" spans="2:9" ht="82.5" customHeight="1" x14ac:dyDescent="0.25">
      <c r="B17" s="47">
        <v>6</v>
      </c>
      <c r="C17" s="123" t="s">
        <v>17</v>
      </c>
      <c r="D17" s="124">
        <f>SUM(D18:D19)</f>
        <v>4681.5939968000002</v>
      </c>
      <c r="E17" s="125"/>
      <c r="F17" s="119"/>
      <c r="G17" s="119"/>
      <c r="H17" s="119"/>
      <c r="I17" s="119"/>
    </row>
    <row r="18" spans="2:9" x14ac:dyDescent="0.25">
      <c r="B18" s="126" t="s">
        <v>18</v>
      </c>
      <c r="C18" s="122" t="s">
        <v>19</v>
      </c>
      <c r="D18" s="124">
        <f>'Прил.2 Расч стоим'!F12</f>
        <v>1356.4192823999999</v>
      </c>
      <c r="E18" s="119"/>
      <c r="F18" s="119"/>
      <c r="G18" s="119"/>
      <c r="H18" s="119"/>
      <c r="I18" s="119"/>
    </row>
    <row r="19" spans="2:9" x14ac:dyDescent="0.25">
      <c r="B19" s="126" t="s">
        <v>20</v>
      </c>
      <c r="C19" s="122" t="s">
        <v>21</v>
      </c>
      <c r="D19" s="124">
        <f>'Прил.2 Расч стоим'!H12</f>
        <v>3325.1747144000001</v>
      </c>
      <c r="E19" s="119"/>
      <c r="F19" s="119"/>
      <c r="G19" s="119"/>
      <c r="H19" s="119"/>
      <c r="I19" s="119"/>
    </row>
    <row r="20" spans="2:9" x14ac:dyDescent="0.25">
      <c r="B20" s="126" t="s">
        <v>22</v>
      </c>
      <c r="C20" s="122" t="s">
        <v>23</v>
      </c>
      <c r="D20" s="124"/>
      <c r="E20" s="119"/>
      <c r="F20" s="119"/>
      <c r="G20" s="119"/>
      <c r="H20" s="119"/>
      <c r="I20" s="119"/>
    </row>
    <row r="21" spans="2:9" x14ac:dyDescent="0.25">
      <c r="B21" s="126" t="s">
        <v>24</v>
      </c>
      <c r="C21" s="127" t="s">
        <v>25</v>
      </c>
      <c r="D21" s="147"/>
      <c r="E21" s="119"/>
      <c r="F21" s="119"/>
      <c r="G21" s="119"/>
      <c r="H21" s="119"/>
      <c r="I21" s="119"/>
    </row>
    <row r="22" spans="2:9" x14ac:dyDescent="0.25">
      <c r="B22" s="47">
        <v>7</v>
      </c>
      <c r="C22" s="127" t="s">
        <v>26</v>
      </c>
      <c r="D22" s="146" t="s">
        <v>27</v>
      </c>
      <c r="E22" s="125"/>
      <c r="F22" s="119"/>
      <c r="G22" s="119"/>
      <c r="H22" s="119"/>
      <c r="I22" s="119"/>
    </row>
    <row r="23" spans="2:9" ht="119.25" customHeight="1" x14ac:dyDescent="0.25">
      <c r="B23" s="47">
        <v>8</v>
      </c>
      <c r="C23" s="128" t="s">
        <v>28</v>
      </c>
      <c r="D23" s="148">
        <f>D17</f>
        <v>4681.5939968000002</v>
      </c>
      <c r="E23" s="119"/>
      <c r="F23" s="119"/>
      <c r="G23" s="119"/>
      <c r="H23" s="119"/>
      <c r="I23" s="119"/>
    </row>
    <row r="24" spans="2:9" ht="47.25" customHeight="1" x14ac:dyDescent="0.25">
      <c r="B24" s="47">
        <v>9</v>
      </c>
      <c r="C24" s="123" t="s">
        <v>29</v>
      </c>
      <c r="D24" s="129">
        <f>D17/D15</f>
        <v>4681.5939968000002</v>
      </c>
      <c r="E24" s="125"/>
      <c r="F24" s="119"/>
      <c r="G24" s="119"/>
      <c r="H24" s="119"/>
      <c r="I24" s="119"/>
    </row>
    <row r="25" spans="2:9" x14ac:dyDescent="0.25">
      <c r="B25" s="47">
        <v>10</v>
      </c>
      <c r="C25" s="122" t="s">
        <v>30</v>
      </c>
      <c r="D25" s="122"/>
      <c r="E25" s="119"/>
      <c r="F25" s="119"/>
      <c r="G25" s="119"/>
      <c r="H25" s="119"/>
      <c r="I25" s="119"/>
    </row>
    <row r="26" spans="2:9" x14ac:dyDescent="0.25">
      <c r="B26" s="130"/>
      <c r="C26" s="131"/>
      <c r="D26" s="131"/>
      <c r="E26" s="119"/>
      <c r="F26" s="119"/>
      <c r="G26" s="119"/>
      <c r="H26" s="119"/>
      <c r="I26" s="119"/>
    </row>
    <row r="27" spans="2:9" x14ac:dyDescent="0.25">
      <c r="B27" s="118"/>
      <c r="E27" s="119"/>
      <c r="F27" s="119"/>
      <c r="G27" s="119"/>
      <c r="H27" s="119"/>
      <c r="I27" s="119"/>
    </row>
    <row r="28" spans="2:9" x14ac:dyDescent="0.25">
      <c r="B28" s="119" t="s">
        <v>31</v>
      </c>
      <c r="E28" s="119"/>
      <c r="F28" s="119"/>
      <c r="G28" s="119"/>
      <c r="H28" s="119"/>
      <c r="I28" s="119"/>
    </row>
    <row r="29" spans="2:9" ht="22.5" customHeight="1" x14ac:dyDescent="0.25">
      <c r="B29" s="140" t="s">
        <v>32</v>
      </c>
      <c r="E29" s="119"/>
      <c r="F29" s="119"/>
      <c r="G29" s="119"/>
      <c r="H29" s="119"/>
      <c r="I29" s="119"/>
    </row>
    <row r="30" spans="2:9" x14ac:dyDescent="0.25">
      <c r="E30" s="119"/>
      <c r="F30" s="119"/>
      <c r="G30" s="119"/>
      <c r="H30" s="119"/>
      <c r="I30" s="119"/>
    </row>
    <row r="31" spans="2:9" x14ac:dyDescent="0.25">
      <c r="B31" s="119" t="s">
        <v>33</v>
      </c>
      <c r="E31" s="119"/>
      <c r="F31" s="119"/>
      <c r="G31" s="119"/>
      <c r="H31" s="119"/>
      <c r="I31" s="119"/>
    </row>
    <row r="32" spans="2:9" ht="22.5" customHeight="1" x14ac:dyDescent="0.25">
      <c r="B32" s="140" t="s">
        <v>34</v>
      </c>
      <c r="E32" s="119"/>
      <c r="F32" s="119"/>
      <c r="G32" s="119"/>
      <c r="H32" s="119"/>
      <c r="I32" s="119"/>
    </row>
    <row r="33" spans="5:9" x14ac:dyDescent="0.25">
      <c r="E33" s="119"/>
      <c r="F33" s="119"/>
      <c r="G33" s="119"/>
      <c r="H33" s="119"/>
      <c r="I33" s="119"/>
    </row>
    <row r="34" spans="5:9" x14ac:dyDescent="0.25">
      <c r="E34" s="119"/>
      <c r="F34" s="119"/>
      <c r="G34" s="119"/>
      <c r="H34" s="119"/>
      <c r="I34" s="119"/>
    </row>
    <row r="35" spans="5:9" x14ac:dyDescent="0.25">
      <c r="E35" s="119"/>
      <c r="F35" s="119"/>
      <c r="G35" s="119"/>
      <c r="H35" s="119"/>
      <c r="I35" s="119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1"/>
  <sheetViews>
    <sheetView view="pageBreakPreview" zoomScale="60" zoomScaleNormal="100" workbookViewId="0">
      <selection activeCell="F19" sqref="F19"/>
    </sheetView>
  </sheetViews>
  <sheetFormatPr defaultRowHeight="15" x14ac:dyDescent="0.25"/>
  <cols>
    <col min="1" max="1" width="5.5703125" style="101" customWidth="1"/>
    <col min="2" max="2" width="9.140625" style="101" customWidth="1"/>
    <col min="3" max="3" width="35.28515625" style="101" customWidth="1"/>
    <col min="4" max="4" width="13.85546875" style="101" customWidth="1"/>
    <col min="5" max="5" width="24.85546875" style="101" customWidth="1"/>
    <col min="6" max="6" width="12.7109375" style="101" customWidth="1"/>
    <col min="7" max="7" width="14.85546875" style="101" customWidth="1"/>
    <col min="8" max="8" width="16.7109375" style="101" customWidth="1"/>
    <col min="9" max="10" width="13" style="101" customWidth="1"/>
    <col min="11" max="11" width="9.140625" style="101" customWidth="1"/>
  </cols>
  <sheetData>
    <row r="1" spans="1:10" ht="15.75" customHeight="1" x14ac:dyDescent="0.25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15.75" customHeight="1" x14ac:dyDescent="0.25">
      <c r="A2" s="119"/>
      <c r="B2" s="119"/>
      <c r="C2" s="119"/>
      <c r="D2" s="119"/>
      <c r="E2" s="119"/>
      <c r="F2" s="119"/>
      <c r="G2" s="119"/>
      <c r="H2" s="119"/>
      <c r="I2" s="119"/>
      <c r="J2" s="119"/>
    </row>
    <row r="3" spans="1:10" ht="15.75" customHeight="1" x14ac:dyDescent="0.25">
      <c r="A3" s="119"/>
      <c r="B3" s="194" t="s">
        <v>35</v>
      </c>
      <c r="C3" s="194"/>
      <c r="D3" s="194"/>
      <c r="E3" s="194"/>
      <c r="F3" s="194"/>
      <c r="G3" s="194"/>
      <c r="H3" s="194"/>
      <c r="I3" s="194"/>
      <c r="J3" s="194"/>
    </row>
    <row r="4" spans="1:10" ht="15.75" customHeight="1" x14ac:dyDescent="0.25">
      <c r="A4" s="119"/>
      <c r="B4" s="195" t="s">
        <v>36</v>
      </c>
      <c r="C4" s="195"/>
      <c r="D4" s="195"/>
      <c r="E4" s="195"/>
      <c r="F4" s="195"/>
      <c r="G4" s="195"/>
      <c r="H4" s="195"/>
      <c r="I4" s="195"/>
      <c r="J4" s="195"/>
    </row>
    <row r="5" spans="1:10" ht="15.75" customHeight="1" x14ac:dyDescent="0.25">
      <c r="A5" s="119"/>
      <c r="B5" s="120"/>
      <c r="C5" s="120"/>
      <c r="D5" s="120"/>
      <c r="E5" s="120"/>
      <c r="F5" s="120"/>
      <c r="G5" s="120"/>
      <c r="H5" s="120"/>
      <c r="I5" s="120"/>
      <c r="J5" s="120"/>
    </row>
    <row r="6" spans="1:10" ht="15.75" customHeight="1" x14ac:dyDescent="0.25">
      <c r="A6" s="119"/>
      <c r="B6" s="199" t="str">
        <f>'Прил.1 Сравнит табл'!B7</f>
        <v>Наименование разрабатываемого показателя УНЦ - Постоянная часть ПС, система периметральной сигнализации ПС 330 кВ</v>
      </c>
      <c r="C6" s="199"/>
      <c r="D6" s="199"/>
      <c r="E6" s="199"/>
      <c r="F6" s="199"/>
      <c r="G6" s="199"/>
      <c r="H6" s="199"/>
      <c r="I6" s="199"/>
      <c r="J6" s="199"/>
    </row>
    <row r="7" spans="1:10" ht="15.75" customHeight="1" x14ac:dyDescent="0.25">
      <c r="A7" s="119"/>
      <c r="B7" s="193" t="str">
        <f>'Прил.1 Сравнит табл'!B9</f>
        <v>Единица измерения  — 1 ПС</v>
      </c>
      <c r="C7" s="193"/>
      <c r="D7" s="193"/>
      <c r="E7" s="193"/>
      <c r="F7" s="193"/>
      <c r="G7" s="193"/>
      <c r="H7" s="193"/>
      <c r="I7" s="193"/>
      <c r="J7" s="193"/>
    </row>
    <row r="8" spans="1:10" ht="15.75" customHeight="1" x14ac:dyDescent="0.25">
      <c r="A8" s="119"/>
      <c r="B8" s="117"/>
      <c r="C8" s="119"/>
      <c r="D8" s="119"/>
      <c r="E8" s="119"/>
      <c r="F8" s="119"/>
      <c r="G8" s="119"/>
      <c r="H8" s="119"/>
      <c r="I8" s="119"/>
      <c r="J8" s="119"/>
    </row>
    <row r="9" spans="1:10" ht="15.75" customHeight="1" x14ac:dyDescent="0.25">
      <c r="A9" s="119"/>
      <c r="B9" s="200" t="s">
        <v>5</v>
      </c>
      <c r="C9" s="200" t="s">
        <v>37</v>
      </c>
      <c r="D9" s="200" t="s">
        <v>7</v>
      </c>
      <c r="E9" s="200"/>
      <c r="F9" s="200"/>
      <c r="G9" s="200"/>
      <c r="H9" s="200"/>
      <c r="I9" s="200"/>
      <c r="J9" s="200"/>
    </row>
    <row r="10" spans="1:10" ht="15.75" customHeight="1" x14ac:dyDescent="0.25">
      <c r="A10" s="119"/>
      <c r="B10" s="200"/>
      <c r="C10" s="200"/>
      <c r="D10" s="200" t="s">
        <v>38</v>
      </c>
      <c r="E10" s="200" t="s">
        <v>39</v>
      </c>
      <c r="F10" s="200" t="s">
        <v>40</v>
      </c>
      <c r="G10" s="200"/>
      <c r="H10" s="200"/>
      <c r="I10" s="200"/>
      <c r="J10" s="200"/>
    </row>
    <row r="11" spans="1:10" ht="31.5" customHeight="1" x14ac:dyDescent="0.25">
      <c r="A11" s="119"/>
      <c r="B11" s="201"/>
      <c r="C11" s="201"/>
      <c r="D11" s="201"/>
      <c r="E11" s="201"/>
      <c r="F11" s="134" t="s">
        <v>41</v>
      </c>
      <c r="G11" s="134" t="s">
        <v>42</v>
      </c>
      <c r="H11" s="134" t="s">
        <v>43</v>
      </c>
      <c r="I11" s="134" t="s">
        <v>44</v>
      </c>
      <c r="J11" s="134" t="s">
        <v>45</v>
      </c>
    </row>
    <row r="12" spans="1:10" ht="51" customHeight="1" x14ac:dyDescent="0.25">
      <c r="A12" s="119"/>
      <c r="B12" s="189"/>
      <c r="C12" s="189" t="s">
        <v>46</v>
      </c>
      <c r="D12" s="189"/>
      <c r="E12" s="189"/>
      <c r="F12" s="202">
        <v>1356.4192823999999</v>
      </c>
      <c r="G12" s="203"/>
      <c r="H12" s="190">
        <v>3325.1747144000001</v>
      </c>
      <c r="I12" s="189"/>
      <c r="J12" s="190">
        <f>SUM(F12:H12)</f>
        <v>4681.5939968000002</v>
      </c>
    </row>
    <row r="13" spans="1:10" ht="15.75" customHeight="1" x14ac:dyDescent="0.25">
      <c r="A13" s="119"/>
      <c r="B13" s="197" t="s">
        <v>47</v>
      </c>
      <c r="C13" s="197"/>
      <c r="D13" s="197"/>
      <c r="E13" s="197"/>
      <c r="F13" s="204">
        <f>F12</f>
        <v>1356.4192823999999</v>
      </c>
      <c r="G13" s="205"/>
      <c r="H13" s="191">
        <f>H12</f>
        <v>3325.1747144000001</v>
      </c>
      <c r="I13" s="188"/>
      <c r="J13" s="191">
        <f>J12</f>
        <v>4681.5939968000002</v>
      </c>
    </row>
    <row r="14" spans="1:10" ht="15.75" customHeight="1" x14ac:dyDescent="0.25">
      <c r="A14" s="119"/>
      <c r="B14" s="198" t="s">
        <v>48</v>
      </c>
      <c r="C14" s="198"/>
      <c r="D14" s="198"/>
      <c r="E14" s="198"/>
      <c r="F14" s="204">
        <f>F12</f>
        <v>1356.4192823999999</v>
      </c>
      <c r="G14" s="205"/>
      <c r="H14" s="192">
        <f>H12</f>
        <v>3325.1747144000001</v>
      </c>
      <c r="I14" s="151"/>
      <c r="J14" s="192">
        <f>J12</f>
        <v>4681.5939968000002</v>
      </c>
    </row>
    <row r="15" spans="1:10" ht="15.75" customHeight="1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</row>
    <row r="17" spans="2:4" ht="15.75" customHeight="1" x14ac:dyDescent="0.25">
      <c r="B17" s="119" t="s">
        <v>31</v>
      </c>
      <c r="C17" s="119"/>
      <c r="D17" s="119"/>
    </row>
    <row r="18" spans="2:4" ht="22.5" customHeight="1" x14ac:dyDescent="0.25">
      <c r="B18" s="140" t="s">
        <v>32</v>
      </c>
      <c r="C18" s="119"/>
      <c r="D18" s="119"/>
    </row>
    <row r="19" spans="2:4" ht="15.75" customHeight="1" x14ac:dyDescent="0.25">
      <c r="B19" s="119"/>
      <c r="C19" s="119"/>
      <c r="D19" s="119"/>
    </row>
    <row r="20" spans="2:4" ht="15.75" customHeight="1" x14ac:dyDescent="0.25">
      <c r="B20" s="119" t="s">
        <v>33</v>
      </c>
      <c r="C20" s="119"/>
      <c r="D20" s="119"/>
    </row>
    <row r="21" spans="2:4" ht="22.5" customHeight="1" x14ac:dyDescent="0.25">
      <c r="B21" s="140" t="s">
        <v>34</v>
      </c>
      <c r="C21" s="119"/>
      <c r="D21" s="119"/>
    </row>
  </sheetData>
  <mergeCells count="15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75"/>
  <sheetViews>
    <sheetView view="pageBreakPreview" topLeftCell="A56" zoomScale="70" zoomScaleSheetLayoutView="70" workbookViewId="0">
      <selection activeCell="D73" sqref="D73"/>
    </sheetView>
  </sheetViews>
  <sheetFormatPr defaultRowHeight="15.75" x14ac:dyDescent="0.25"/>
  <cols>
    <col min="1" max="1" width="9.140625" style="119" customWidth="1"/>
    <col min="2" max="2" width="12.5703125" style="119" customWidth="1"/>
    <col min="3" max="3" width="22.42578125" style="119" customWidth="1"/>
    <col min="4" max="4" width="49.7109375" style="119" customWidth="1"/>
    <col min="5" max="5" width="10.140625" style="119" customWidth="1"/>
    <col min="6" max="6" width="20.7109375" style="119" customWidth="1"/>
    <col min="7" max="7" width="16.140625" style="119" customWidth="1"/>
    <col min="8" max="8" width="16.7109375" style="119" customWidth="1"/>
  </cols>
  <sheetData>
    <row r="2" spans="1:8" s="172" customFormat="1" x14ac:dyDescent="0.25">
      <c r="A2" s="175"/>
      <c r="B2" s="175"/>
      <c r="C2" s="175"/>
      <c r="D2" s="175"/>
      <c r="E2" s="175"/>
      <c r="F2" s="175"/>
      <c r="G2" s="175"/>
      <c r="H2" s="175"/>
    </row>
    <row r="3" spans="1:8" s="172" customFormat="1" x14ac:dyDescent="0.25">
      <c r="A3" s="175"/>
      <c r="B3" s="175"/>
      <c r="C3" s="175"/>
      <c r="D3" s="175"/>
      <c r="E3" s="175"/>
      <c r="F3" s="175"/>
      <c r="G3" s="175"/>
      <c r="H3" s="175"/>
    </row>
    <row r="4" spans="1:8" x14ac:dyDescent="0.25">
      <c r="A4" s="194" t="s">
        <v>49</v>
      </c>
      <c r="B4" s="194"/>
      <c r="C4" s="194"/>
      <c r="D4" s="194"/>
      <c r="E4" s="194"/>
      <c r="F4" s="194"/>
      <c r="G4" s="194"/>
      <c r="H4" s="194"/>
    </row>
    <row r="5" spans="1:8" x14ac:dyDescent="0.25">
      <c r="A5" s="195" t="s">
        <v>50</v>
      </c>
      <c r="B5" s="195"/>
      <c r="C5" s="195"/>
      <c r="D5" s="195"/>
      <c r="E5" s="195"/>
      <c r="F5" s="195"/>
      <c r="G5" s="195"/>
      <c r="H5" s="195"/>
    </row>
    <row r="6" spans="1:8" ht="18.75" customHeight="1" x14ac:dyDescent="0.25">
      <c r="A6" s="117"/>
    </row>
    <row r="7" spans="1:8" x14ac:dyDescent="0.25">
      <c r="A7" s="199" t="str">
        <f>'Прил.1 Сравнит табл'!B7</f>
        <v>Наименование разрабатываемого показателя УНЦ - Постоянная часть ПС, система периметральной сигнализации ПС 330 кВ</v>
      </c>
      <c r="B7" s="199"/>
      <c r="C7" s="199"/>
      <c r="D7" s="199"/>
      <c r="E7" s="199"/>
      <c r="F7" s="199"/>
      <c r="G7" s="199"/>
      <c r="H7" s="199"/>
    </row>
    <row r="8" spans="1:8" x14ac:dyDescent="0.25">
      <c r="A8" s="132"/>
      <c r="B8" s="132"/>
      <c r="C8" s="132"/>
      <c r="D8" s="132"/>
      <c r="E8" s="132"/>
      <c r="F8" s="132"/>
      <c r="G8" s="132"/>
      <c r="H8" s="132"/>
    </row>
    <row r="9" spans="1:8" ht="15.75" customHeight="1" x14ac:dyDescent="0.25">
      <c r="A9" s="200" t="s">
        <v>51</v>
      </c>
      <c r="B9" s="200" t="s">
        <v>52</v>
      </c>
      <c r="C9" s="200" t="s">
        <v>53</v>
      </c>
      <c r="D9" s="200" t="s">
        <v>54</v>
      </c>
      <c r="E9" s="200" t="s">
        <v>55</v>
      </c>
      <c r="F9" s="200" t="s">
        <v>56</v>
      </c>
      <c r="G9" s="200" t="s">
        <v>57</v>
      </c>
      <c r="H9" s="200"/>
    </row>
    <row r="10" spans="1:8" x14ac:dyDescent="0.25">
      <c r="A10" s="200"/>
      <c r="B10" s="200"/>
      <c r="C10" s="200"/>
      <c r="D10" s="200"/>
      <c r="E10" s="200"/>
      <c r="F10" s="200"/>
      <c r="G10" s="47" t="s">
        <v>58</v>
      </c>
      <c r="H10" s="47" t="s">
        <v>59</v>
      </c>
    </row>
    <row r="11" spans="1:8" x14ac:dyDescent="0.25">
      <c r="A11" s="134">
        <v>1</v>
      </c>
      <c r="B11" s="134"/>
      <c r="C11" s="134">
        <v>2</v>
      </c>
      <c r="D11" s="134" t="s">
        <v>60</v>
      </c>
      <c r="E11" s="134">
        <v>4</v>
      </c>
      <c r="F11" s="134">
        <v>5</v>
      </c>
      <c r="G11" s="134">
        <v>6</v>
      </c>
      <c r="H11" s="134">
        <v>7</v>
      </c>
    </row>
    <row r="12" spans="1:8" x14ac:dyDescent="0.25">
      <c r="A12" s="206" t="s">
        <v>61</v>
      </c>
      <c r="B12" s="207"/>
      <c r="C12" s="208"/>
      <c r="D12" s="208"/>
      <c r="E12" s="207"/>
      <c r="F12" s="186">
        <f>SUM(F13:F19)</f>
        <v>1520.9815267294</v>
      </c>
      <c r="G12" s="135"/>
      <c r="H12" s="135">
        <f>SUM(H13:H19)</f>
        <v>14847.63</v>
      </c>
    </row>
    <row r="13" spans="1:8" x14ac:dyDescent="0.25">
      <c r="A13" s="136">
        <v>1</v>
      </c>
      <c r="B13" s="154"/>
      <c r="C13" s="137" t="s">
        <v>62</v>
      </c>
      <c r="D13" s="138" t="s">
        <v>63</v>
      </c>
      <c r="E13" s="136" t="s">
        <v>64</v>
      </c>
      <c r="F13" s="185">
        <v>990.17268837333995</v>
      </c>
      <c r="G13" s="139">
        <v>9.4</v>
      </c>
      <c r="H13" s="139">
        <f t="shared" ref="H13:H19" si="0">ROUND(F13*G13,2)</f>
        <v>9307.6200000000008</v>
      </c>
    </row>
    <row r="14" spans="1:8" ht="15" customHeight="1" x14ac:dyDescent="0.25">
      <c r="A14" s="136">
        <v>2</v>
      </c>
      <c r="B14" s="149"/>
      <c r="C14" s="137" t="s">
        <v>65</v>
      </c>
      <c r="D14" s="138" t="s">
        <v>66</v>
      </c>
      <c r="E14" s="136" t="s">
        <v>64</v>
      </c>
      <c r="F14" s="185">
        <v>368.58241373326001</v>
      </c>
      <c r="G14" s="139">
        <v>9.6199999999999992</v>
      </c>
      <c r="H14" s="139">
        <f t="shared" si="0"/>
        <v>3545.76</v>
      </c>
    </row>
    <row r="15" spans="1:8" x14ac:dyDescent="0.25">
      <c r="A15" s="136">
        <v>3</v>
      </c>
      <c r="B15" s="149"/>
      <c r="C15" s="137" t="s">
        <v>67</v>
      </c>
      <c r="D15" s="138" t="s">
        <v>68</v>
      </c>
      <c r="E15" s="136" t="s">
        <v>64</v>
      </c>
      <c r="F15" s="185">
        <v>61.361534124876002</v>
      </c>
      <c r="G15" s="139">
        <v>9.76</v>
      </c>
      <c r="H15" s="139">
        <f t="shared" si="0"/>
        <v>598.89</v>
      </c>
    </row>
    <row r="16" spans="1:8" x14ac:dyDescent="0.25">
      <c r="A16" s="136">
        <v>4</v>
      </c>
      <c r="B16" s="149"/>
      <c r="C16" s="137" t="s">
        <v>69</v>
      </c>
      <c r="D16" s="138" t="s">
        <v>70</v>
      </c>
      <c r="E16" s="136" t="s">
        <v>64</v>
      </c>
      <c r="F16" s="185">
        <v>9.3101149208828993</v>
      </c>
      <c r="G16" s="139">
        <v>8.64</v>
      </c>
      <c r="H16" s="139">
        <f t="shared" si="0"/>
        <v>80.44</v>
      </c>
    </row>
    <row r="17" spans="1:8" x14ac:dyDescent="0.25">
      <c r="A17" s="136">
        <v>5</v>
      </c>
      <c r="B17" s="149"/>
      <c r="C17" s="137" t="s">
        <v>71</v>
      </c>
      <c r="D17" s="138" t="s">
        <v>72</v>
      </c>
      <c r="E17" s="136" t="s">
        <v>64</v>
      </c>
      <c r="F17" s="185">
        <v>6.6500820863449004</v>
      </c>
      <c r="G17" s="139">
        <v>8.86</v>
      </c>
      <c r="H17" s="139">
        <f t="shared" si="0"/>
        <v>58.92</v>
      </c>
    </row>
    <row r="18" spans="1:8" x14ac:dyDescent="0.25">
      <c r="A18" s="136">
        <v>6</v>
      </c>
      <c r="B18" s="149"/>
      <c r="C18" s="137" t="s">
        <v>73</v>
      </c>
      <c r="D18" s="138" t="s">
        <v>74</v>
      </c>
      <c r="E18" s="136" t="s">
        <v>64</v>
      </c>
      <c r="F18" s="185">
        <v>42.639431912822999</v>
      </c>
      <c r="G18" s="139">
        <v>15.49</v>
      </c>
      <c r="H18" s="139">
        <f t="shared" si="0"/>
        <v>660.48</v>
      </c>
    </row>
    <row r="19" spans="1:8" x14ac:dyDescent="0.25">
      <c r="A19" s="136">
        <v>7</v>
      </c>
      <c r="B19" s="149"/>
      <c r="C19" s="137" t="s">
        <v>75</v>
      </c>
      <c r="D19" s="138" t="s">
        <v>76</v>
      </c>
      <c r="E19" s="136" t="s">
        <v>64</v>
      </c>
      <c r="F19" s="185">
        <v>42.265261577910003</v>
      </c>
      <c r="G19" s="139">
        <v>14.09</v>
      </c>
      <c r="H19" s="139">
        <f t="shared" si="0"/>
        <v>595.52</v>
      </c>
    </row>
    <row r="20" spans="1:8" x14ac:dyDescent="0.25">
      <c r="A20" s="206" t="s">
        <v>77</v>
      </c>
      <c r="B20" s="207"/>
      <c r="C20" s="208"/>
      <c r="D20" s="208"/>
      <c r="E20" s="207"/>
      <c r="F20" s="184">
        <f>F21</f>
        <v>40.869308543598997</v>
      </c>
      <c r="G20" s="135"/>
      <c r="H20" s="135">
        <f>H21</f>
        <v>389.93</v>
      </c>
    </row>
    <row r="21" spans="1:8" x14ac:dyDescent="0.25">
      <c r="A21" s="136">
        <v>8</v>
      </c>
      <c r="B21" s="149"/>
      <c r="C21" s="145">
        <v>2</v>
      </c>
      <c r="D21" s="138" t="s">
        <v>77</v>
      </c>
      <c r="E21" s="136" t="s">
        <v>64</v>
      </c>
      <c r="F21" s="185">
        <v>40.869308543598997</v>
      </c>
      <c r="G21" s="139"/>
      <c r="H21" s="139">
        <v>389.93</v>
      </c>
    </row>
    <row r="22" spans="1:8" x14ac:dyDescent="0.25">
      <c r="A22" s="206" t="s">
        <v>78</v>
      </c>
      <c r="B22" s="207"/>
      <c r="C22" s="208"/>
      <c r="D22" s="208"/>
      <c r="E22" s="207"/>
      <c r="F22" s="184"/>
      <c r="G22" s="135"/>
      <c r="H22" s="135">
        <f>SUM(H23:H28)</f>
        <v>4665.84</v>
      </c>
    </row>
    <row r="23" spans="1:8" ht="31.5" customHeight="1" x14ac:dyDescent="0.25">
      <c r="A23" s="136">
        <v>9</v>
      </c>
      <c r="B23" s="149"/>
      <c r="C23" s="138" t="s">
        <v>79</v>
      </c>
      <c r="D23" s="138" t="s">
        <v>80</v>
      </c>
      <c r="E23" s="136" t="s">
        <v>81</v>
      </c>
      <c r="F23" s="185">
        <v>20.147197049540001</v>
      </c>
      <c r="G23" s="139">
        <v>115.4</v>
      </c>
      <c r="H23" s="139">
        <f t="shared" ref="H23:H28" si="1">ROUND(F23*G23,2)</f>
        <v>2324.9899999999998</v>
      </c>
    </row>
    <row r="24" spans="1:8" x14ac:dyDescent="0.25">
      <c r="A24" s="136">
        <v>10</v>
      </c>
      <c r="B24" s="149"/>
      <c r="C24" s="138" t="s">
        <v>82</v>
      </c>
      <c r="D24" s="138" t="s">
        <v>83</v>
      </c>
      <c r="E24" s="136" t="s">
        <v>81</v>
      </c>
      <c r="F24" s="185">
        <v>20.225263289594999</v>
      </c>
      <c r="G24" s="139">
        <v>65.709999999999994</v>
      </c>
      <c r="H24" s="139">
        <f t="shared" si="1"/>
        <v>1329</v>
      </c>
    </row>
    <row r="25" spans="1:8" ht="31.5" customHeight="1" x14ac:dyDescent="0.25">
      <c r="A25" s="136">
        <v>11</v>
      </c>
      <c r="B25" s="149"/>
      <c r="C25" s="138" t="s">
        <v>84</v>
      </c>
      <c r="D25" s="138" t="s">
        <v>85</v>
      </c>
      <c r="E25" s="136" t="s">
        <v>81</v>
      </c>
      <c r="F25" s="185">
        <v>241.18795086200001</v>
      </c>
      <c r="G25" s="139">
        <v>3.28</v>
      </c>
      <c r="H25" s="139">
        <f t="shared" si="1"/>
        <v>791.1</v>
      </c>
    </row>
    <row r="26" spans="1:8" ht="31.5" customHeight="1" x14ac:dyDescent="0.25">
      <c r="A26" s="136">
        <v>12</v>
      </c>
      <c r="B26" s="149"/>
      <c r="C26" s="138" t="s">
        <v>86</v>
      </c>
      <c r="D26" s="138" t="s">
        <v>87</v>
      </c>
      <c r="E26" s="136" t="s">
        <v>81</v>
      </c>
      <c r="F26" s="185">
        <v>241.35891033573</v>
      </c>
      <c r="G26" s="139">
        <v>0.9</v>
      </c>
      <c r="H26" s="139">
        <f t="shared" si="1"/>
        <v>217.22</v>
      </c>
    </row>
    <row r="27" spans="1:8" ht="31.5" customHeight="1" x14ac:dyDescent="0.25">
      <c r="A27" s="136">
        <v>13</v>
      </c>
      <c r="B27" s="149"/>
      <c r="C27" s="138" t="s">
        <v>88</v>
      </c>
      <c r="D27" s="138" t="s">
        <v>89</v>
      </c>
      <c r="E27" s="136" t="s">
        <v>81</v>
      </c>
      <c r="F27" s="185">
        <v>0.25682976900741</v>
      </c>
      <c r="G27" s="139">
        <v>8.1</v>
      </c>
      <c r="H27" s="139">
        <f t="shared" si="1"/>
        <v>2.08</v>
      </c>
    </row>
    <row r="28" spans="1:8" x14ac:dyDescent="0.25">
      <c r="A28" s="136">
        <v>14</v>
      </c>
      <c r="B28" s="149"/>
      <c r="C28" s="138" t="s">
        <v>90</v>
      </c>
      <c r="D28" s="138" t="s">
        <v>91</v>
      </c>
      <c r="E28" s="136" t="s">
        <v>81</v>
      </c>
      <c r="F28" s="185">
        <v>0.61233556684545998</v>
      </c>
      <c r="G28" s="139">
        <v>2.36</v>
      </c>
      <c r="H28" s="139">
        <f t="shared" si="1"/>
        <v>1.45</v>
      </c>
    </row>
    <row r="29" spans="1:8" x14ac:dyDescent="0.25">
      <c r="A29" s="206" t="s">
        <v>43</v>
      </c>
      <c r="B29" s="207"/>
      <c r="C29" s="208"/>
      <c r="D29" s="208"/>
      <c r="E29" s="207"/>
      <c r="F29" s="184"/>
      <c r="G29" s="135"/>
      <c r="H29" s="135">
        <f>SUM(H30:H40)</f>
        <v>776909.98</v>
      </c>
    </row>
    <row r="30" spans="1:8" x14ac:dyDescent="0.25">
      <c r="A30" s="136">
        <v>15</v>
      </c>
      <c r="B30" s="149"/>
      <c r="C30" s="138" t="s">
        <v>92</v>
      </c>
      <c r="D30" s="138" t="s">
        <v>93</v>
      </c>
      <c r="E30" s="136" t="s">
        <v>94</v>
      </c>
      <c r="F30" s="185">
        <v>7.7995154091048002</v>
      </c>
      <c r="G30" s="139">
        <v>34762.120000000003</v>
      </c>
      <c r="H30" s="139">
        <f t="shared" ref="H30:H40" si="2">ROUND(F30*G30,2)</f>
        <v>271127.69</v>
      </c>
    </row>
    <row r="31" spans="1:8" ht="31.5" customHeight="1" x14ac:dyDescent="0.25">
      <c r="A31" s="136">
        <v>16</v>
      </c>
      <c r="B31" s="149"/>
      <c r="C31" s="138" t="s">
        <v>92</v>
      </c>
      <c r="D31" s="138" t="s">
        <v>95</v>
      </c>
      <c r="E31" s="136" t="s">
        <v>94</v>
      </c>
      <c r="F31" s="185">
        <v>1.2999190248268999</v>
      </c>
      <c r="G31" s="139">
        <v>94533.14</v>
      </c>
      <c r="H31" s="139">
        <f t="shared" si="2"/>
        <v>122885.43</v>
      </c>
    </row>
    <row r="32" spans="1:8" x14ac:dyDescent="0.25">
      <c r="A32" s="136">
        <v>17</v>
      </c>
      <c r="B32" s="149"/>
      <c r="C32" s="138" t="s">
        <v>92</v>
      </c>
      <c r="D32" s="138" t="s">
        <v>96</v>
      </c>
      <c r="E32" s="136" t="s">
        <v>94</v>
      </c>
      <c r="F32" s="185">
        <v>2.599838072127</v>
      </c>
      <c r="G32" s="139">
        <v>46328.83</v>
      </c>
      <c r="H32" s="139">
        <f t="shared" si="2"/>
        <v>120447.46</v>
      </c>
    </row>
    <row r="33" spans="1:8" x14ac:dyDescent="0.25">
      <c r="A33" s="136">
        <v>18</v>
      </c>
      <c r="B33" s="149"/>
      <c r="C33" s="138" t="s">
        <v>92</v>
      </c>
      <c r="D33" s="138" t="s">
        <v>97</v>
      </c>
      <c r="E33" s="136" t="s">
        <v>94</v>
      </c>
      <c r="F33" s="185">
        <v>1.2999190248268999</v>
      </c>
      <c r="G33" s="139">
        <v>65606.13</v>
      </c>
      <c r="H33" s="139">
        <f t="shared" si="2"/>
        <v>85282.66</v>
      </c>
    </row>
    <row r="34" spans="1:8" ht="31.5" customHeight="1" x14ac:dyDescent="0.25">
      <c r="A34" s="136">
        <v>19</v>
      </c>
      <c r="B34" s="149"/>
      <c r="C34" s="138" t="s">
        <v>92</v>
      </c>
      <c r="D34" s="138" t="s">
        <v>98</v>
      </c>
      <c r="E34" s="136" t="s">
        <v>94</v>
      </c>
      <c r="F34" s="185">
        <v>1.2999190248268999</v>
      </c>
      <c r="G34" s="139">
        <v>63581.05</v>
      </c>
      <c r="H34" s="139">
        <f t="shared" si="2"/>
        <v>82650.22</v>
      </c>
    </row>
    <row r="35" spans="1:8" x14ac:dyDescent="0.25">
      <c r="A35" s="136">
        <v>20</v>
      </c>
      <c r="B35" s="149"/>
      <c r="C35" s="138" t="s">
        <v>92</v>
      </c>
      <c r="D35" s="138" t="s">
        <v>99</v>
      </c>
      <c r="E35" s="136" t="s">
        <v>94</v>
      </c>
      <c r="F35" s="185">
        <v>2.599838072127</v>
      </c>
      <c r="G35" s="139">
        <v>10744.21</v>
      </c>
      <c r="H35" s="139">
        <f t="shared" si="2"/>
        <v>27933.21</v>
      </c>
    </row>
    <row r="36" spans="1:8" ht="31.5" customHeight="1" x14ac:dyDescent="0.25">
      <c r="A36" s="136">
        <v>21</v>
      </c>
      <c r="B36" s="149"/>
      <c r="C36" s="138" t="s">
        <v>92</v>
      </c>
      <c r="D36" s="138" t="s">
        <v>100</v>
      </c>
      <c r="E36" s="136" t="s">
        <v>94</v>
      </c>
      <c r="F36" s="185">
        <v>2.599838072127</v>
      </c>
      <c r="G36" s="139">
        <v>10704.61</v>
      </c>
      <c r="H36" s="139">
        <f t="shared" si="2"/>
        <v>27830.25</v>
      </c>
    </row>
    <row r="37" spans="1:8" x14ac:dyDescent="0.25">
      <c r="A37" s="136">
        <v>22</v>
      </c>
      <c r="B37" s="149"/>
      <c r="C37" s="138" t="s">
        <v>92</v>
      </c>
      <c r="D37" s="138" t="s">
        <v>101</v>
      </c>
      <c r="E37" s="136" t="s">
        <v>94</v>
      </c>
      <c r="F37" s="185">
        <v>10.399332953808001</v>
      </c>
      <c r="G37" s="139">
        <v>1636.18</v>
      </c>
      <c r="H37" s="139">
        <f t="shared" si="2"/>
        <v>17015.18</v>
      </c>
    </row>
    <row r="38" spans="1:8" ht="31.5" customHeight="1" x14ac:dyDescent="0.25">
      <c r="A38" s="136">
        <v>23</v>
      </c>
      <c r="B38" s="149"/>
      <c r="C38" s="138" t="s">
        <v>92</v>
      </c>
      <c r="D38" s="138" t="s">
        <v>102</v>
      </c>
      <c r="E38" s="136" t="s">
        <v>94</v>
      </c>
      <c r="F38" s="185">
        <v>1.2999190248268999</v>
      </c>
      <c r="G38" s="139">
        <v>7736.38</v>
      </c>
      <c r="H38" s="139">
        <f t="shared" si="2"/>
        <v>10056.67</v>
      </c>
    </row>
    <row r="39" spans="1:8" x14ac:dyDescent="0.25">
      <c r="A39" s="136">
        <v>24</v>
      </c>
      <c r="B39" s="149"/>
      <c r="C39" s="138" t="s">
        <v>92</v>
      </c>
      <c r="D39" s="138" t="s">
        <v>103</v>
      </c>
      <c r="E39" s="136" t="s">
        <v>94</v>
      </c>
      <c r="F39" s="185">
        <v>2.599838072127</v>
      </c>
      <c r="G39" s="139">
        <v>2635.12</v>
      </c>
      <c r="H39" s="139">
        <f t="shared" si="2"/>
        <v>6850.89</v>
      </c>
    </row>
    <row r="40" spans="1:8" x14ac:dyDescent="0.25">
      <c r="A40" s="136">
        <v>25</v>
      </c>
      <c r="B40" s="149"/>
      <c r="C40" s="138" t="s">
        <v>92</v>
      </c>
      <c r="D40" s="138" t="s">
        <v>104</v>
      </c>
      <c r="E40" s="136" t="s">
        <v>94</v>
      </c>
      <c r="F40" s="185">
        <v>2.599838072127</v>
      </c>
      <c r="G40" s="139">
        <v>1857.93</v>
      </c>
      <c r="H40" s="139">
        <f t="shared" si="2"/>
        <v>4830.32</v>
      </c>
    </row>
    <row r="41" spans="1:8" x14ac:dyDescent="0.25">
      <c r="A41" s="206" t="s">
        <v>105</v>
      </c>
      <c r="B41" s="207"/>
      <c r="C41" s="208"/>
      <c r="D41" s="208"/>
      <c r="E41" s="207"/>
      <c r="F41" s="184"/>
      <c r="G41" s="135"/>
      <c r="H41" s="135">
        <f>SUM(H42:H68)</f>
        <v>166417.93</v>
      </c>
    </row>
    <row r="42" spans="1:8" ht="31.5" customHeight="1" x14ac:dyDescent="0.25">
      <c r="A42" s="136">
        <v>26</v>
      </c>
      <c r="B42" s="149"/>
      <c r="C42" s="138" t="s">
        <v>106</v>
      </c>
      <c r="D42" s="138" t="s">
        <v>107</v>
      </c>
      <c r="E42" s="136" t="s">
        <v>108</v>
      </c>
      <c r="F42" s="185">
        <v>5.4597589930563997</v>
      </c>
      <c r="G42" s="139">
        <v>18047.849999999999</v>
      </c>
      <c r="H42" s="139">
        <f t="shared" ref="H42:H68" si="3">ROUND(F42*G42,2)</f>
        <v>98536.91</v>
      </c>
    </row>
    <row r="43" spans="1:8" ht="31.5" customHeight="1" x14ac:dyDescent="0.25">
      <c r="A43" s="136">
        <v>27</v>
      </c>
      <c r="B43" s="149"/>
      <c r="C43" s="138" t="s">
        <v>109</v>
      </c>
      <c r="D43" s="138" t="s">
        <v>110</v>
      </c>
      <c r="E43" s="136" t="s">
        <v>108</v>
      </c>
      <c r="F43" s="185">
        <v>3.6398374875328998</v>
      </c>
      <c r="G43" s="139">
        <v>6920.41</v>
      </c>
      <c r="H43" s="139">
        <f t="shared" si="3"/>
        <v>25189.17</v>
      </c>
    </row>
    <row r="44" spans="1:8" ht="47.25" customHeight="1" x14ac:dyDescent="0.25">
      <c r="A44" s="136">
        <v>28</v>
      </c>
      <c r="B44" s="149"/>
      <c r="C44" s="138" t="s">
        <v>111</v>
      </c>
      <c r="D44" s="138" t="s">
        <v>112</v>
      </c>
      <c r="E44" s="136" t="s">
        <v>113</v>
      </c>
      <c r="F44" s="185">
        <v>2598.4280545576999</v>
      </c>
      <c r="G44" s="139">
        <v>3.89</v>
      </c>
      <c r="H44" s="139">
        <f t="shared" si="3"/>
        <v>10107.89</v>
      </c>
    </row>
    <row r="45" spans="1:8" ht="78.75" customHeight="1" x14ac:dyDescent="0.25">
      <c r="A45" s="136">
        <v>29</v>
      </c>
      <c r="B45" s="149"/>
      <c r="C45" s="138" t="s">
        <v>114</v>
      </c>
      <c r="D45" s="138" t="s">
        <v>115</v>
      </c>
      <c r="E45" s="136" t="s">
        <v>116</v>
      </c>
      <c r="F45" s="185">
        <v>332.81779280767</v>
      </c>
      <c r="G45" s="139">
        <v>22.61</v>
      </c>
      <c r="H45" s="139">
        <f t="shared" si="3"/>
        <v>7525.01</v>
      </c>
    </row>
    <row r="46" spans="1:8" ht="15" customHeight="1" x14ac:dyDescent="0.25">
      <c r="A46" s="136">
        <v>30</v>
      </c>
      <c r="B46" s="149"/>
      <c r="C46" s="138" t="s">
        <v>117</v>
      </c>
      <c r="D46" s="138" t="s">
        <v>118</v>
      </c>
      <c r="E46" s="136" t="s">
        <v>113</v>
      </c>
      <c r="F46" s="185">
        <v>780.18905822390002</v>
      </c>
      <c r="G46" s="139">
        <v>8.3699999999999992</v>
      </c>
      <c r="H46" s="139">
        <f t="shared" si="3"/>
        <v>6530.18</v>
      </c>
    </row>
    <row r="47" spans="1:8" ht="63" customHeight="1" x14ac:dyDescent="0.25">
      <c r="A47" s="136">
        <v>31</v>
      </c>
      <c r="B47" s="149"/>
      <c r="C47" s="138" t="s">
        <v>119</v>
      </c>
      <c r="D47" s="138" t="s">
        <v>120</v>
      </c>
      <c r="E47" s="136" t="s">
        <v>113</v>
      </c>
      <c r="F47" s="185">
        <v>40.197905445572999</v>
      </c>
      <c r="G47" s="139">
        <v>156.97999999999999</v>
      </c>
      <c r="H47" s="139">
        <f t="shared" si="3"/>
        <v>6310.27</v>
      </c>
    </row>
    <row r="48" spans="1:8" ht="31.5" customHeight="1" x14ac:dyDescent="0.25">
      <c r="A48" s="136">
        <v>32</v>
      </c>
      <c r="B48" s="149"/>
      <c r="C48" s="138" t="s">
        <v>121</v>
      </c>
      <c r="D48" s="138" t="s">
        <v>122</v>
      </c>
      <c r="E48" s="136" t="s">
        <v>108</v>
      </c>
      <c r="F48" s="185">
        <v>0.94895535024041999</v>
      </c>
      <c r="G48" s="139">
        <v>3708.36</v>
      </c>
      <c r="H48" s="139">
        <f t="shared" si="3"/>
        <v>3519.07</v>
      </c>
    </row>
    <row r="49" spans="1:8" ht="15" customHeight="1" x14ac:dyDescent="0.25">
      <c r="A49" s="136">
        <v>33</v>
      </c>
      <c r="B49" s="149"/>
      <c r="C49" s="138" t="s">
        <v>123</v>
      </c>
      <c r="D49" s="138" t="s">
        <v>124</v>
      </c>
      <c r="E49" s="136" t="s">
        <v>125</v>
      </c>
      <c r="F49" s="185">
        <v>5.0242943625204997E-2</v>
      </c>
      <c r="G49" s="139">
        <v>68050</v>
      </c>
      <c r="H49" s="139">
        <f t="shared" si="3"/>
        <v>3419.03</v>
      </c>
    </row>
    <row r="50" spans="1:8" ht="31.5" customHeight="1" x14ac:dyDescent="0.25">
      <c r="A50" s="136">
        <v>34</v>
      </c>
      <c r="B50" s="149"/>
      <c r="C50" s="138" t="s">
        <v>126</v>
      </c>
      <c r="D50" s="138" t="s">
        <v>127</v>
      </c>
      <c r="E50" s="136" t="s">
        <v>108</v>
      </c>
      <c r="F50" s="185">
        <v>1.0399616251357999</v>
      </c>
      <c r="G50" s="139">
        <v>2719.53</v>
      </c>
      <c r="H50" s="139">
        <f t="shared" si="3"/>
        <v>2828.21</v>
      </c>
    </row>
    <row r="51" spans="1:8" ht="31.5" customHeight="1" x14ac:dyDescent="0.25">
      <c r="A51" s="136">
        <v>35</v>
      </c>
      <c r="B51" s="149"/>
      <c r="C51" s="138" t="s">
        <v>128</v>
      </c>
      <c r="D51" s="138" t="s">
        <v>129</v>
      </c>
      <c r="E51" s="136" t="s">
        <v>130</v>
      </c>
      <c r="F51" s="185">
        <v>17.133441785471</v>
      </c>
      <c r="G51" s="139">
        <v>83</v>
      </c>
      <c r="H51" s="139">
        <f t="shared" si="3"/>
        <v>1422.08</v>
      </c>
    </row>
    <row r="52" spans="1:8" x14ac:dyDescent="0.25">
      <c r="A52" s="136">
        <v>36</v>
      </c>
      <c r="B52" s="149"/>
      <c r="C52" s="138" t="s">
        <v>131</v>
      </c>
      <c r="D52" s="138" t="s">
        <v>132</v>
      </c>
      <c r="E52" s="136" t="s">
        <v>133</v>
      </c>
      <c r="F52" s="185">
        <v>13.976103320002</v>
      </c>
      <c r="G52" s="139">
        <v>28.93</v>
      </c>
      <c r="H52" s="139">
        <f t="shared" si="3"/>
        <v>404.33</v>
      </c>
    </row>
    <row r="53" spans="1:8" ht="31.5" customHeight="1" x14ac:dyDescent="0.25">
      <c r="A53" s="136">
        <v>37</v>
      </c>
      <c r="B53" s="149"/>
      <c r="C53" s="138" t="s">
        <v>134</v>
      </c>
      <c r="D53" s="138" t="s">
        <v>135</v>
      </c>
      <c r="E53" s="136" t="s">
        <v>136</v>
      </c>
      <c r="F53" s="185">
        <v>298.75579284233999</v>
      </c>
      <c r="G53" s="139">
        <v>1</v>
      </c>
      <c r="H53" s="139">
        <f t="shared" si="3"/>
        <v>298.76</v>
      </c>
    </row>
    <row r="54" spans="1:8" x14ac:dyDescent="0.25">
      <c r="A54" s="136">
        <v>38</v>
      </c>
      <c r="B54" s="149"/>
      <c r="C54" s="138" t="s">
        <v>137</v>
      </c>
      <c r="D54" s="138" t="s">
        <v>138</v>
      </c>
      <c r="E54" s="136" t="s">
        <v>139</v>
      </c>
      <c r="F54" s="185">
        <v>9.6407611112148004</v>
      </c>
      <c r="G54" s="139">
        <v>6.9</v>
      </c>
      <c r="H54" s="139">
        <f t="shared" si="3"/>
        <v>66.52</v>
      </c>
    </row>
    <row r="55" spans="1:8" ht="31.5" customHeight="1" x14ac:dyDescent="0.25">
      <c r="A55" s="136">
        <v>39</v>
      </c>
      <c r="B55" s="149"/>
      <c r="C55" s="138" t="s">
        <v>140</v>
      </c>
      <c r="D55" s="138" t="s">
        <v>141</v>
      </c>
      <c r="E55" s="136" t="s">
        <v>133</v>
      </c>
      <c r="F55" s="185">
        <v>1.6639342456213999</v>
      </c>
      <c r="G55" s="139">
        <v>38.340000000000003</v>
      </c>
      <c r="H55" s="139">
        <f t="shared" si="3"/>
        <v>63.8</v>
      </c>
    </row>
    <row r="56" spans="1:8" ht="47.25" customHeight="1" x14ac:dyDescent="0.25">
      <c r="A56" s="136">
        <v>40</v>
      </c>
      <c r="B56" s="149"/>
      <c r="C56" s="138" t="s">
        <v>142</v>
      </c>
      <c r="D56" s="138" t="s">
        <v>143</v>
      </c>
      <c r="E56" s="136" t="s">
        <v>125</v>
      </c>
      <c r="F56" s="185">
        <v>9.1014064443886E-3</v>
      </c>
      <c r="G56" s="139">
        <v>6834.81</v>
      </c>
      <c r="H56" s="139">
        <f t="shared" si="3"/>
        <v>62.21</v>
      </c>
    </row>
    <row r="57" spans="1:8" x14ac:dyDescent="0.25">
      <c r="A57" s="136">
        <v>41</v>
      </c>
      <c r="B57" s="149"/>
      <c r="C57" s="138" t="s">
        <v>144</v>
      </c>
      <c r="D57" s="138" t="s">
        <v>145</v>
      </c>
      <c r="E57" s="136" t="s">
        <v>133</v>
      </c>
      <c r="F57" s="185">
        <v>3.90111382032</v>
      </c>
      <c r="G57" s="139">
        <v>12.6</v>
      </c>
      <c r="H57" s="139">
        <f t="shared" si="3"/>
        <v>49.15</v>
      </c>
    </row>
    <row r="58" spans="1:8" x14ac:dyDescent="0.25">
      <c r="A58" s="136">
        <v>42</v>
      </c>
      <c r="B58" s="149"/>
      <c r="C58" s="138" t="s">
        <v>146</v>
      </c>
      <c r="D58" s="138" t="s">
        <v>147</v>
      </c>
      <c r="E58" s="136" t="s">
        <v>125</v>
      </c>
      <c r="F58" s="185">
        <v>6.0323490248393999E-3</v>
      </c>
      <c r="G58" s="139">
        <v>7826.9</v>
      </c>
      <c r="H58" s="139">
        <f t="shared" si="3"/>
        <v>47.21</v>
      </c>
    </row>
    <row r="59" spans="1:8" ht="31.5" customHeight="1" x14ac:dyDescent="0.25">
      <c r="A59" s="136">
        <v>43</v>
      </c>
      <c r="B59" s="149"/>
      <c r="C59" s="138" t="s">
        <v>148</v>
      </c>
      <c r="D59" s="138" t="s">
        <v>149</v>
      </c>
      <c r="E59" s="136" t="s">
        <v>125</v>
      </c>
      <c r="F59" s="185">
        <v>2.5965343479124998E-4</v>
      </c>
      <c r="G59" s="139">
        <v>65750</v>
      </c>
      <c r="H59" s="139">
        <f t="shared" si="3"/>
        <v>17.07</v>
      </c>
    </row>
    <row r="60" spans="1:8" ht="31.5" customHeight="1" x14ac:dyDescent="0.25">
      <c r="A60" s="136">
        <v>44</v>
      </c>
      <c r="B60" s="149"/>
      <c r="C60" s="138" t="s">
        <v>150</v>
      </c>
      <c r="D60" s="138" t="s">
        <v>151</v>
      </c>
      <c r="E60" s="136" t="s">
        <v>133</v>
      </c>
      <c r="F60" s="185">
        <v>0.30825231673024001</v>
      </c>
      <c r="G60" s="139">
        <v>25.76</v>
      </c>
      <c r="H60" s="139">
        <f t="shared" si="3"/>
        <v>7.94</v>
      </c>
    </row>
    <row r="61" spans="1:8" x14ac:dyDescent="0.25">
      <c r="A61" s="136">
        <v>45</v>
      </c>
      <c r="B61" s="149"/>
      <c r="C61" s="138" t="s">
        <v>152</v>
      </c>
      <c r="D61" s="138" t="s">
        <v>153</v>
      </c>
      <c r="E61" s="136" t="s">
        <v>125</v>
      </c>
      <c r="F61" s="185">
        <v>8.5281810410750992E-3</v>
      </c>
      <c r="G61" s="139">
        <v>729.98</v>
      </c>
      <c r="H61" s="139">
        <f t="shared" si="3"/>
        <v>6.23</v>
      </c>
    </row>
    <row r="62" spans="1:8" x14ac:dyDescent="0.25">
      <c r="A62" s="136">
        <v>46</v>
      </c>
      <c r="B62" s="149"/>
      <c r="C62" s="138" t="s">
        <v>154</v>
      </c>
      <c r="D62" s="138" t="s">
        <v>155</v>
      </c>
      <c r="E62" s="136" t="s">
        <v>94</v>
      </c>
      <c r="F62" s="185">
        <v>13.062630861379001</v>
      </c>
      <c r="G62" s="139">
        <v>0.27</v>
      </c>
      <c r="H62" s="139">
        <f t="shared" si="3"/>
        <v>3.53</v>
      </c>
    </row>
    <row r="63" spans="1:8" x14ac:dyDescent="0.25">
      <c r="A63" s="136">
        <v>47</v>
      </c>
      <c r="B63" s="149"/>
      <c r="C63" s="138" t="s">
        <v>156</v>
      </c>
      <c r="D63" s="138" t="s">
        <v>157</v>
      </c>
      <c r="E63" s="136" t="s">
        <v>125</v>
      </c>
      <c r="F63" s="185">
        <v>1.5396135110549999E-4</v>
      </c>
      <c r="G63" s="139">
        <v>10315.01</v>
      </c>
      <c r="H63" s="139">
        <f t="shared" si="3"/>
        <v>1.59</v>
      </c>
    </row>
    <row r="64" spans="1:8" x14ac:dyDescent="0.25">
      <c r="A64" s="136">
        <v>48</v>
      </c>
      <c r="B64" s="149"/>
      <c r="C64" s="138" t="s">
        <v>158</v>
      </c>
      <c r="D64" s="138" t="s">
        <v>159</v>
      </c>
      <c r="E64" s="136" t="s">
        <v>125</v>
      </c>
      <c r="F64" s="185">
        <v>2.6374646122442E-5</v>
      </c>
      <c r="G64" s="139">
        <v>28300.400000000001</v>
      </c>
      <c r="H64" s="139">
        <f t="shared" si="3"/>
        <v>0.75</v>
      </c>
    </row>
    <row r="65" spans="1:8" x14ac:dyDescent="0.25">
      <c r="A65" s="136">
        <v>49</v>
      </c>
      <c r="B65" s="149"/>
      <c r="C65" s="138" t="s">
        <v>160</v>
      </c>
      <c r="D65" s="138" t="s">
        <v>161</v>
      </c>
      <c r="E65" s="136" t="s">
        <v>133</v>
      </c>
      <c r="F65" s="185">
        <v>2.1754931785715002E-2</v>
      </c>
      <c r="G65" s="139">
        <v>27.74</v>
      </c>
      <c r="H65" s="139">
        <f t="shared" si="3"/>
        <v>0.6</v>
      </c>
    </row>
    <row r="66" spans="1:8" x14ac:dyDescent="0.25">
      <c r="A66" s="136">
        <v>50</v>
      </c>
      <c r="B66" s="149"/>
      <c r="C66" s="138" t="s">
        <v>162</v>
      </c>
      <c r="D66" s="138" t="s">
        <v>163</v>
      </c>
      <c r="E66" s="136" t="s">
        <v>125</v>
      </c>
      <c r="F66" s="136">
        <v>1.4234046197501001E-5</v>
      </c>
      <c r="G66" s="139">
        <v>15620</v>
      </c>
      <c r="H66" s="139">
        <f t="shared" si="3"/>
        <v>0.22</v>
      </c>
    </row>
    <row r="67" spans="1:8" x14ac:dyDescent="0.25">
      <c r="A67" s="136">
        <v>51</v>
      </c>
      <c r="B67" s="149"/>
      <c r="C67" s="138" t="s">
        <v>164</v>
      </c>
      <c r="D67" s="138" t="s">
        <v>165</v>
      </c>
      <c r="E67" s="136" t="s">
        <v>133</v>
      </c>
      <c r="F67" s="136">
        <v>1.0114941217534E-2</v>
      </c>
      <c r="G67" s="139">
        <v>9.42</v>
      </c>
      <c r="H67" s="139">
        <f t="shared" si="3"/>
        <v>0.1</v>
      </c>
    </row>
    <row r="68" spans="1:8" x14ac:dyDescent="0.25">
      <c r="A68" s="136">
        <v>52</v>
      </c>
      <c r="B68" s="149"/>
      <c r="C68" s="138" t="s">
        <v>166</v>
      </c>
      <c r="D68" s="138" t="s">
        <v>167</v>
      </c>
      <c r="E68" s="136" t="s">
        <v>133</v>
      </c>
      <c r="F68" s="136">
        <v>1.4285020470184E-2</v>
      </c>
      <c r="G68" s="139">
        <v>6.67</v>
      </c>
      <c r="H68" s="139">
        <f t="shared" si="3"/>
        <v>0.1</v>
      </c>
    </row>
    <row r="71" spans="1:8" x14ac:dyDescent="0.25">
      <c r="B71" s="119" t="s">
        <v>31</v>
      </c>
    </row>
    <row r="72" spans="1:8" x14ac:dyDescent="0.25">
      <c r="B72" s="118" t="s">
        <v>32</v>
      </c>
    </row>
    <row r="74" spans="1:8" x14ac:dyDescent="0.25">
      <c r="B74" s="119" t="s">
        <v>33</v>
      </c>
    </row>
    <row r="75" spans="1:8" x14ac:dyDescent="0.25">
      <c r="B75" s="118" t="s">
        <v>34</v>
      </c>
    </row>
  </sheetData>
  <mergeCells count="15">
    <mergeCell ref="A12:E12"/>
    <mergeCell ref="A20:E20"/>
    <mergeCell ref="A22:E22"/>
    <mergeCell ref="A41:E4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9:E29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style="2" customWidth="1"/>
    <col min="2" max="2" width="36.28515625" style="2" customWidth="1"/>
    <col min="3" max="3" width="18.85546875" style="2" customWidth="1"/>
    <col min="4" max="4" width="18.28515625" style="2" customWidth="1"/>
    <col min="5" max="5" width="18.85546875" style="2" customWidth="1"/>
    <col min="6" max="7" width="9.140625" style="2" customWidth="1"/>
    <col min="8" max="8" width="13.5703125" style="2" customWidth="1"/>
    <col min="9" max="9" width="9.140625" style="2" customWidth="1"/>
  </cols>
  <sheetData>
    <row r="1" spans="2:5" x14ac:dyDescent="0.25">
      <c r="B1" s="16"/>
      <c r="C1" s="16"/>
      <c r="D1" s="16"/>
      <c r="E1" s="16"/>
    </row>
    <row r="2" spans="2:5" x14ac:dyDescent="0.25">
      <c r="B2" s="16"/>
      <c r="C2" s="16"/>
      <c r="D2" s="16"/>
      <c r="E2" s="17" t="s">
        <v>168</v>
      </c>
    </row>
    <row r="3" spans="2:5" x14ac:dyDescent="0.25">
      <c r="B3" s="16"/>
      <c r="C3" s="16"/>
      <c r="D3" s="16"/>
      <c r="E3" s="16"/>
    </row>
    <row r="4" spans="2:5" x14ac:dyDescent="0.25">
      <c r="B4" s="16"/>
      <c r="C4" s="16"/>
      <c r="D4" s="16"/>
      <c r="E4" s="16"/>
    </row>
    <row r="5" spans="2:5" x14ac:dyDescent="0.25">
      <c r="B5" s="209" t="s">
        <v>169</v>
      </c>
      <c r="C5" s="209"/>
      <c r="D5" s="209"/>
      <c r="E5" s="209"/>
    </row>
    <row r="6" spans="2:5" x14ac:dyDescent="0.25">
      <c r="B6" s="18"/>
      <c r="C6" s="16"/>
      <c r="D6" s="16"/>
      <c r="E6" s="16"/>
    </row>
    <row r="7" spans="2:5" ht="39.75" customHeight="1" x14ac:dyDescent="0.25">
      <c r="B7" s="210" t="str">
        <f>'Прил.1 Сравнит табл'!B7</f>
        <v>Наименование разрабатываемого показателя УНЦ - Постоянная часть ПС, система периметральной сигнализации ПС 330 кВ</v>
      </c>
      <c r="C7" s="210"/>
      <c r="D7" s="210"/>
      <c r="E7" s="210"/>
    </row>
    <row r="8" spans="2:5" x14ac:dyDescent="0.25">
      <c r="B8" s="211" t="str">
        <f>'Прил.1 Сравнит табл'!B9</f>
        <v>Единица измерения  — 1 ПС</v>
      </c>
      <c r="C8" s="211"/>
      <c r="D8" s="211"/>
      <c r="E8" s="211"/>
    </row>
    <row r="9" spans="2:5" x14ac:dyDescent="0.25">
      <c r="B9" s="18"/>
      <c r="C9" s="16"/>
      <c r="D9" s="16"/>
      <c r="E9" s="16"/>
    </row>
    <row r="10" spans="2:5" ht="51" customHeight="1" x14ac:dyDescent="0.25">
      <c r="B10" s="53" t="s">
        <v>170</v>
      </c>
      <c r="C10" s="53" t="s">
        <v>171</v>
      </c>
      <c r="D10" s="53" t="s">
        <v>172</v>
      </c>
      <c r="E10" s="53" t="s">
        <v>173</v>
      </c>
    </row>
    <row r="11" spans="2:5" x14ac:dyDescent="0.25">
      <c r="B11" s="50" t="s">
        <v>174</v>
      </c>
      <c r="C11" s="54">
        <f>'Прил.5 Расчет СМР и ОБ'!J16</f>
        <v>667851.5</v>
      </c>
      <c r="D11" s="52">
        <f t="shared" ref="D11:D18" si="0">C11/$C$24</f>
        <v>0.21593660282418964</v>
      </c>
      <c r="E11" s="52">
        <f t="shared" ref="E11:E18" si="1">C11/$C$40</f>
        <v>6.8559079784553958E-2</v>
      </c>
    </row>
    <row r="12" spans="2:5" x14ac:dyDescent="0.25">
      <c r="B12" s="50" t="s">
        <v>175</v>
      </c>
      <c r="C12" s="54">
        <f>'Прил.5 Расчет СМР и ОБ'!J24</f>
        <v>59874.87</v>
      </c>
      <c r="D12" s="52">
        <f t="shared" si="0"/>
        <v>1.9359357615188387E-2</v>
      </c>
      <c r="E12" s="52">
        <f t="shared" si="1"/>
        <v>6.1465250724446925E-3</v>
      </c>
    </row>
    <row r="13" spans="2:5" x14ac:dyDescent="0.25">
      <c r="B13" s="50" t="s">
        <v>176</v>
      </c>
      <c r="C13" s="54">
        <f>'Прил.5 Расчет СМР и ОБ'!J28</f>
        <v>2972.76</v>
      </c>
      <c r="D13" s="52">
        <f t="shared" si="0"/>
        <v>9.6118328013284097E-4</v>
      </c>
      <c r="E13" s="52">
        <f t="shared" si="1"/>
        <v>3.0517216779528183E-4</v>
      </c>
    </row>
    <row r="14" spans="2:5" x14ac:dyDescent="0.25">
      <c r="B14" s="50" t="s">
        <v>177</v>
      </c>
      <c r="C14" s="54">
        <f>C13+C12</f>
        <v>62847.63</v>
      </c>
      <c r="D14" s="52">
        <f t="shared" si="0"/>
        <v>2.0320540895321228E-2</v>
      </c>
      <c r="E14" s="52">
        <f t="shared" si="1"/>
        <v>6.4516972402399739E-3</v>
      </c>
    </row>
    <row r="15" spans="2:5" x14ac:dyDescent="0.25">
      <c r="B15" s="50" t="s">
        <v>178</v>
      </c>
      <c r="C15" s="54">
        <f>'Прил.5 Расчет СМР и ОБ'!J18</f>
        <v>17270.14</v>
      </c>
      <c r="D15" s="52">
        <f t="shared" si="0"/>
        <v>5.5839589518001387E-3</v>
      </c>
      <c r="E15" s="52">
        <f t="shared" si="1"/>
        <v>1.7728864966993663E-3</v>
      </c>
    </row>
    <row r="16" spans="2:5" x14ac:dyDescent="0.25">
      <c r="B16" s="50" t="s">
        <v>179</v>
      </c>
      <c r="C16" s="54">
        <f>'Прил.5 Расчет СМР и ОБ'!J51</f>
        <v>1189035.04</v>
      </c>
      <c r="D16" s="52">
        <f t="shared" si="0"/>
        <v>0.38445101519802599</v>
      </c>
      <c r="E16" s="52">
        <f t="shared" si="1"/>
        <v>0.12206178794835426</v>
      </c>
    </row>
    <row r="17" spans="2:5" x14ac:dyDescent="0.25">
      <c r="B17" s="50" t="s">
        <v>180</v>
      </c>
      <c r="C17" s="54">
        <f>'Прил.5 Расчет СМР и ОБ'!J76</f>
        <v>193354.74</v>
      </c>
      <c r="D17" s="52">
        <f t="shared" si="0"/>
        <v>6.2517439424115168E-2</v>
      </c>
      <c r="E17" s="52">
        <f t="shared" si="1"/>
        <v>1.9849057831541422E-2</v>
      </c>
    </row>
    <row r="18" spans="2:5" x14ac:dyDescent="0.25">
      <c r="B18" s="50" t="s">
        <v>181</v>
      </c>
      <c r="C18" s="54">
        <f>C17+C16</f>
        <v>1382389.78</v>
      </c>
      <c r="D18" s="52">
        <f t="shared" si="0"/>
        <v>0.44696845462214113</v>
      </c>
      <c r="E18" s="52">
        <f t="shared" si="1"/>
        <v>0.14191084577989568</v>
      </c>
    </row>
    <row r="19" spans="2:5" x14ac:dyDescent="0.25">
      <c r="B19" s="50" t="s">
        <v>182</v>
      </c>
      <c r="C19" s="54">
        <f>C18+C14+C11</f>
        <v>2113088.91</v>
      </c>
      <c r="D19" s="52"/>
      <c r="E19" s="50"/>
    </row>
    <row r="20" spans="2:5" x14ac:dyDescent="0.25">
      <c r="B20" s="50" t="s">
        <v>183</v>
      </c>
      <c r="C20" s="54">
        <f>ROUND(C21*(C11+C15),2)</f>
        <v>335709.6</v>
      </c>
      <c r="D20" s="52">
        <f>C20/$C$24</f>
        <v>0.10854507410624602</v>
      </c>
      <c r="E20" s="52">
        <f>C20/$C$40</f>
        <v>3.4462663108251905E-2</v>
      </c>
    </row>
    <row r="21" spans="2:5" x14ac:dyDescent="0.25">
      <c r="B21" s="50" t="s">
        <v>184</v>
      </c>
      <c r="C21" s="55">
        <v>0.49</v>
      </c>
      <c r="D21" s="52"/>
      <c r="E21" s="50"/>
    </row>
    <row r="22" spans="2:5" x14ac:dyDescent="0.25">
      <c r="B22" s="50" t="s">
        <v>185</v>
      </c>
      <c r="C22" s="54">
        <f>ROUND(C23*(C11+C15),2)</f>
        <v>644014.34</v>
      </c>
      <c r="D22" s="52">
        <f>C22/$C$24</f>
        <v>0.20822932755210194</v>
      </c>
      <c r="E22" s="52">
        <f>C22/$C$40</f>
        <v>6.6112048140128249E-2</v>
      </c>
    </row>
    <row r="23" spans="2:5" x14ac:dyDescent="0.25">
      <c r="B23" s="50" t="s">
        <v>186</v>
      </c>
      <c r="C23" s="55">
        <v>0.94</v>
      </c>
      <c r="D23" s="52"/>
      <c r="E23" s="50"/>
    </row>
    <row r="24" spans="2:5" x14ac:dyDescent="0.25">
      <c r="B24" s="50" t="s">
        <v>187</v>
      </c>
      <c r="C24" s="54">
        <f>C19+C20+C22</f>
        <v>3092812.85</v>
      </c>
      <c r="D24" s="52">
        <f>C24/$C$24</f>
        <v>1</v>
      </c>
      <c r="E24" s="52">
        <f>C24/$C$40</f>
        <v>0.31749633405306982</v>
      </c>
    </row>
    <row r="25" spans="2:5" ht="25.5" customHeight="1" x14ac:dyDescent="0.25">
      <c r="B25" s="50" t="s">
        <v>188</v>
      </c>
      <c r="C25" s="54">
        <f>'Прил.5 Расчет СМР и ОБ'!J42</f>
        <v>5613848.7699999996</v>
      </c>
      <c r="D25" s="52"/>
      <c r="E25" s="52">
        <f>C25/$C$40</f>
        <v>0.57629623609567415</v>
      </c>
    </row>
    <row r="26" spans="2:5" ht="25.5" customHeight="1" x14ac:dyDescent="0.25">
      <c r="B26" s="50" t="s">
        <v>189</v>
      </c>
      <c r="C26" s="54">
        <f>'Прил.5 Расчет СМР и ОБ'!J43</f>
        <v>5613848.75</v>
      </c>
      <c r="D26" s="52"/>
      <c r="E26" s="52">
        <f>C26/$C$40</f>
        <v>0.5762962340425507</v>
      </c>
    </row>
    <row r="27" spans="2:5" x14ac:dyDescent="0.25">
      <c r="B27" s="50" t="s">
        <v>190</v>
      </c>
      <c r="C27" s="51">
        <f>C24+C25</f>
        <v>8706661.6199999992</v>
      </c>
      <c r="D27" s="52"/>
      <c r="E27" s="52">
        <f>C27/$C$40</f>
        <v>0.89379257014874391</v>
      </c>
    </row>
    <row r="28" spans="2:5" ht="33" customHeight="1" x14ac:dyDescent="0.25">
      <c r="B28" s="50" t="s">
        <v>191</v>
      </c>
      <c r="C28" s="50"/>
      <c r="D28" s="50"/>
      <c r="E28" s="50"/>
    </row>
    <row r="29" spans="2:5" ht="25.5" customHeight="1" x14ac:dyDescent="0.25">
      <c r="B29" s="50" t="s">
        <v>192</v>
      </c>
      <c r="C29" s="51">
        <f>ROUND(C24*3.9%,2)</f>
        <v>120619.7</v>
      </c>
      <c r="D29" s="50"/>
      <c r="E29" s="52">
        <f t="shared" ref="E29:E40" si="2">C29/$C$40</f>
        <v>1.2382356910015121E-2</v>
      </c>
    </row>
    <row r="30" spans="2:5" ht="38.25" customHeight="1" x14ac:dyDescent="0.25">
      <c r="B30" s="169" t="s">
        <v>193</v>
      </c>
      <c r="C30" s="170">
        <f>ROUND((C24+C29)*2.1%,2)</f>
        <v>67482.080000000002</v>
      </c>
      <c r="D30" s="169"/>
      <c r="E30" s="52">
        <f t="shared" si="2"/>
        <v>6.9274521457953651E-3</v>
      </c>
    </row>
    <row r="31" spans="2:5" x14ac:dyDescent="0.25">
      <c r="B31" s="169" t="s">
        <v>194</v>
      </c>
      <c r="C31" s="170">
        <v>346520</v>
      </c>
      <c r="D31" s="169"/>
      <c r="E31" s="52">
        <f t="shared" si="2"/>
        <v>3.5572417411570745E-2</v>
      </c>
    </row>
    <row r="32" spans="2:5" ht="25.5" customHeight="1" x14ac:dyDescent="0.25">
      <c r="B32" s="169" t="s">
        <v>195</v>
      </c>
      <c r="C32" s="170">
        <v>0</v>
      </c>
      <c r="D32" s="169"/>
      <c r="E32" s="52">
        <f t="shared" si="2"/>
        <v>0</v>
      </c>
    </row>
    <row r="33" spans="2:8" ht="25.5" customHeight="1" x14ac:dyDescent="0.25">
      <c r="B33" s="169" t="s">
        <v>196</v>
      </c>
      <c r="C33" s="170">
        <v>0</v>
      </c>
      <c r="D33" s="169"/>
      <c r="E33" s="52">
        <f t="shared" si="2"/>
        <v>0</v>
      </c>
    </row>
    <row r="34" spans="2:8" ht="51" customHeight="1" x14ac:dyDescent="0.25">
      <c r="B34" s="50" t="s">
        <v>197</v>
      </c>
      <c r="C34" s="51">
        <v>0</v>
      </c>
      <c r="D34" s="50"/>
      <c r="E34" s="52">
        <f t="shared" si="2"/>
        <v>0</v>
      </c>
    </row>
    <row r="35" spans="2:8" ht="76.5" customHeight="1" x14ac:dyDescent="0.25">
      <c r="B35" s="50" t="s">
        <v>198</v>
      </c>
      <c r="C35" s="51">
        <v>0</v>
      </c>
      <c r="D35" s="50"/>
      <c r="E35" s="52">
        <f t="shared" si="2"/>
        <v>0</v>
      </c>
    </row>
    <row r="36" spans="2:8" ht="25.5" customHeight="1" x14ac:dyDescent="0.25">
      <c r="B36" s="50" t="s">
        <v>199</v>
      </c>
      <c r="C36" s="51">
        <f>ROUND(SUM(C27:C35)*2.14%,2)</f>
        <v>197763.46</v>
      </c>
      <c r="D36" s="50"/>
      <c r="E36" s="52">
        <f t="shared" si="2"/>
        <v>2.0301640158941689E-2</v>
      </c>
      <c r="H36" s="19"/>
    </row>
    <row r="37" spans="2:8" x14ac:dyDescent="0.25">
      <c r="B37" s="50" t="s">
        <v>200</v>
      </c>
      <c r="C37" s="51">
        <f>ROUND(SUM(C27:C35)*0.2%,2)</f>
        <v>18482.57</v>
      </c>
      <c r="D37" s="50"/>
      <c r="E37" s="52">
        <f t="shared" si="2"/>
        <v>1.8973499217320071E-3</v>
      </c>
      <c r="H37" s="19"/>
    </row>
    <row r="38" spans="2:8" ht="38.25" customHeight="1" x14ac:dyDescent="0.25">
      <c r="B38" s="50" t="s">
        <v>201</v>
      </c>
      <c r="C38" s="54">
        <f>SUM(C27:C37)</f>
        <v>9457529.4299999997</v>
      </c>
      <c r="D38" s="50"/>
      <c r="E38" s="52">
        <f t="shared" si="2"/>
        <v>0.9708737866967988</v>
      </c>
    </row>
    <row r="39" spans="2:8" ht="13.5" customHeight="1" x14ac:dyDescent="0.25">
      <c r="B39" s="50" t="s">
        <v>202</v>
      </c>
      <c r="C39" s="54">
        <f>ROUND(C38*3%,2)</f>
        <v>283725.88</v>
      </c>
      <c r="D39" s="50"/>
      <c r="E39" s="52">
        <f t="shared" si="2"/>
        <v>2.9126213303201063E-2</v>
      </c>
    </row>
    <row r="40" spans="2:8" x14ac:dyDescent="0.25">
      <c r="B40" s="50" t="s">
        <v>203</v>
      </c>
      <c r="C40" s="54">
        <f>C39+C38</f>
        <v>9741255.3100000005</v>
      </c>
      <c r="D40" s="50"/>
      <c r="E40" s="52">
        <f t="shared" si="2"/>
        <v>1</v>
      </c>
    </row>
    <row r="41" spans="2:8" x14ac:dyDescent="0.25">
      <c r="B41" s="50" t="s">
        <v>204</v>
      </c>
      <c r="C41" s="54">
        <f>C40/'Прил.5 Расчет СМР и ОБ'!E83</f>
        <v>9741255.3100000005</v>
      </c>
      <c r="D41" s="50"/>
      <c r="E41" s="50"/>
    </row>
    <row r="42" spans="2:8" x14ac:dyDescent="0.25">
      <c r="B42" s="20"/>
      <c r="C42" s="16"/>
      <c r="D42" s="16"/>
      <c r="E42" s="16"/>
    </row>
    <row r="43" spans="2:8" x14ac:dyDescent="0.25">
      <c r="B43" s="93" t="s">
        <v>31</v>
      </c>
      <c r="C43" s="94"/>
      <c r="D43" s="16"/>
      <c r="E43" s="16"/>
    </row>
    <row r="44" spans="2:8" x14ac:dyDescent="0.25">
      <c r="B44" s="95" t="s">
        <v>32</v>
      </c>
      <c r="C44" s="94"/>
      <c r="D44" s="16"/>
      <c r="E44" s="16"/>
    </row>
    <row r="45" spans="2:8" x14ac:dyDescent="0.25">
      <c r="B45" s="93"/>
      <c r="C45" s="94"/>
      <c r="D45" s="16"/>
      <c r="E45" s="16"/>
    </row>
    <row r="46" spans="2:8" x14ac:dyDescent="0.25">
      <c r="B46" s="93" t="s">
        <v>33</v>
      </c>
      <c r="C46" s="94"/>
      <c r="D46" s="16"/>
      <c r="E46" s="16"/>
    </row>
    <row r="47" spans="2:8" x14ac:dyDescent="0.25">
      <c r="B47" s="95" t="s">
        <v>34</v>
      </c>
      <c r="C47" s="94"/>
      <c r="D47" s="16"/>
      <c r="E47" s="16"/>
    </row>
    <row r="49" spans="2:5" x14ac:dyDescent="0.25">
      <c r="B49" s="16"/>
      <c r="C49" s="16"/>
      <c r="D49" s="16"/>
      <c r="E49" s="16"/>
    </row>
    <row r="50" spans="2:5" x14ac:dyDescent="0.25">
      <c r="B50" s="16"/>
      <c r="C50" s="16"/>
      <c r="D50" s="16"/>
      <c r="E50" s="1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90"/>
  <sheetViews>
    <sheetView tabSelected="1" view="pageBreakPreview" zoomScale="40" zoomScaleSheetLayoutView="40" workbookViewId="0">
      <selection activeCell="AC34" sqref="AC34"/>
    </sheetView>
  </sheetViews>
  <sheetFormatPr defaultColWidth="9.140625" defaultRowHeight="15" outlineLevelRow="1" x14ac:dyDescent="0.25"/>
  <cols>
    <col min="1" max="1" width="5.7109375" style="56" customWidth="1"/>
    <col min="2" max="2" width="22.5703125" style="56" customWidth="1"/>
    <col min="3" max="3" width="39.140625" style="56" customWidth="1"/>
    <col min="4" max="4" width="10.7109375" style="56" customWidth="1"/>
    <col min="5" max="5" width="12.7109375" style="56" customWidth="1"/>
    <col min="6" max="6" width="14.5703125" style="56" customWidth="1"/>
    <col min="7" max="7" width="13.42578125" style="56" customWidth="1"/>
    <col min="8" max="8" width="12.7109375" style="56" customWidth="1"/>
    <col min="9" max="9" width="14.5703125" style="56" customWidth="1"/>
    <col min="10" max="10" width="15.140625" style="56" customWidth="1"/>
  </cols>
  <sheetData>
    <row r="2" spans="1:10" ht="15.75" customHeight="1" x14ac:dyDescent="0.25">
      <c r="I2" s="91"/>
      <c r="J2" s="89" t="s">
        <v>205</v>
      </c>
    </row>
    <row r="4" spans="1:10" s="58" customFormat="1" ht="12.75" customHeight="1" x14ac:dyDescent="0.2">
      <c r="A4" s="209" t="s">
        <v>206</v>
      </c>
      <c r="B4" s="209"/>
      <c r="C4" s="209"/>
      <c r="D4" s="209"/>
      <c r="E4" s="209"/>
      <c r="F4" s="209"/>
      <c r="G4" s="209"/>
      <c r="H4" s="209"/>
      <c r="I4" s="57"/>
      <c r="J4" s="57"/>
    </row>
    <row r="5" spans="1:10" s="58" customFormat="1" ht="12.75" customHeight="1" x14ac:dyDescent="0.2">
      <c r="A5" s="100"/>
      <c r="B5" s="100"/>
      <c r="C5" s="100"/>
      <c r="D5" s="100"/>
      <c r="E5" s="100"/>
      <c r="F5" s="100"/>
      <c r="G5" s="100"/>
      <c r="H5" s="100"/>
      <c r="I5" s="100"/>
      <c r="J5" s="100"/>
    </row>
    <row r="6" spans="1:10" s="58" customFormat="1" ht="41.25" customHeight="1" x14ac:dyDescent="0.2">
      <c r="A6" s="141" t="s">
        <v>207</v>
      </c>
      <c r="B6" s="142"/>
      <c r="C6" s="142"/>
      <c r="D6" s="223" t="s">
        <v>208</v>
      </c>
      <c r="E6" s="223"/>
      <c r="F6" s="223"/>
      <c r="G6" s="223"/>
      <c r="H6" s="223"/>
      <c r="I6" s="223"/>
      <c r="J6" s="223"/>
    </row>
    <row r="7" spans="1:10" s="58" customFormat="1" ht="12.75" customHeight="1" x14ac:dyDescent="0.2">
      <c r="A7" s="223" t="str">
        <f>'Прил.1 Сравнит табл'!B9</f>
        <v>Единица измерения  — 1 ПС</v>
      </c>
      <c r="B7" s="210"/>
      <c r="C7" s="210"/>
      <c r="D7" s="210"/>
      <c r="E7" s="210"/>
      <c r="F7" s="210"/>
      <c r="G7" s="210"/>
      <c r="H7" s="210"/>
      <c r="I7" s="143"/>
      <c r="J7" s="143"/>
    </row>
    <row r="8" spans="1:10" s="58" customFormat="1" ht="12.75" customHeight="1" x14ac:dyDescent="0.2"/>
    <row r="9" spans="1:10" ht="27" customHeight="1" x14ac:dyDescent="0.25">
      <c r="A9" s="213" t="s">
        <v>209</v>
      </c>
      <c r="B9" s="213" t="s">
        <v>53</v>
      </c>
      <c r="C9" s="213" t="s">
        <v>170</v>
      </c>
      <c r="D9" s="213" t="s">
        <v>55</v>
      </c>
      <c r="E9" s="226" t="s">
        <v>210</v>
      </c>
      <c r="F9" s="221" t="s">
        <v>57</v>
      </c>
      <c r="G9" s="222"/>
      <c r="H9" s="226" t="s">
        <v>211</v>
      </c>
      <c r="I9" s="221" t="s">
        <v>212</v>
      </c>
      <c r="J9" s="222"/>
    </row>
    <row r="10" spans="1:10" ht="28.5" customHeight="1" x14ac:dyDescent="0.25">
      <c r="A10" s="213"/>
      <c r="B10" s="213"/>
      <c r="C10" s="213"/>
      <c r="D10" s="213"/>
      <c r="E10" s="227"/>
      <c r="F10" s="59" t="s">
        <v>213</v>
      </c>
      <c r="G10" s="59" t="s">
        <v>59</v>
      </c>
      <c r="H10" s="227"/>
      <c r="I10" s="59" t="s">
        <v>213</v>
      </c>
      <c r="J10" s="59" t="s">
        <v>59</v>
      </c>
    </row>
    <row r="11" spans="1:10" x14ac:dyDescent="0.25">
      <c r="A11" s="59">
        <v>1</v>
      </c>
      <c r="B11" s="59">
        <v>2</v>
      </c>
      <c r="C11" s="59">
        <v>3</v>
      </c>
      <c r="D11" s="59">
        <v>4</v>
      </c>
      <c r="E11" s="59">
        <v>5</v>
      </c>
      <c r="F11" s="59">
        <v>6</v>
      </c>
      <c r="G11" s="59">
        <v>7</v>
      </c>
      <c r="H11" s="59">
        <v>8</v>
      </c>
      <c r="I11" s="59">
        <v>9</v>
      </c>
      <c r="J11" s="59">
        <v>10</v>
      </c>
    </row>
    <row r="12" spans="1:10" x14ac:dyDescent="0.25">
      <c r="A12" s="59"/>
      <c r="B12" s="224" t="s">
        <v>214</v>
      </c>
      <c r="C12" s="212"/>
      <c r="D12" s="213"/>
      <c r="E12" s="214"/>
      <c r="F12" s="215"/>
      <c r="G12" s="215"/>
      <c r="H12" s="225"/>
      <c r="I12" s="60"/>
      <c r="J12" s="60"/>
    </row>
    <row r="13" spans="1:10" ht="25.5" customHeight="1" x14ac:dyDescent="0.25">
      <c r="A13" s="59">
        <v>1</v>
      </c>
      <c r="B13" s="107" t="s">
        <v>215</v>
      </c>
      <c r="C13" s="108" t="s">
        <v>216</v>
      </c>
      <c r="D13" s="59" t="s">
        <v>217</v>
      </c>
      <c r="E13" s="66">
        <v>1436.0768332386999</v>
      </c>
      <c r="F13" s="61">
        <v>9.51</v>
      </c>
      <c r="G13" s="61">
        <f>SUM(Прил.3!H13:H17)</f>
        <v>13591.630000000001</v>
      </c>
      <c r="H13" s="64">
        <f>G13/$G$16</f>
        <v>0.9154073747796786</v>
      </c>
      <c r="I13" s="61">
        <f>ФОТр.тек.!E13</f>
        <v>439.09244974661999</v>
      </c>
      <c r="J13" s="62">
        <f>ROUND(I13*E13,2)</f>
        <v>630570.49</v>
      </c>
    </row>
    <row r="14" spans="1:10" x14ac:dyDescent="0.25">
      <c r="A14" s="152">
        <v>2</v>
      </c>
      <c r="B14" s="107" t="s">
        <v>73</v>
      </c>
      <c r="C14" s="108" t="s">
        <v>74</v>
      </c>
      <c r="D14" s="152" t="s">
        <v>64</v>
      </c>
      <c r="E14" s="66">
        <v>42.639431912822999</v>
      </c>
      <c r="F14" s="61">
        <f>Прил.3!G18</f>
        <v>15.49</v>
      </c>
      <c r="G14" s="61">
        <f>Прил.3!H18</f>
        <v>660.48</v>
      </c>
      <c r="H14" s="153">
        <f>G14/$G$16</f>
        <v>4.4483867122227586E-2</v>
      </c>
      <c r="I14" s="113">
        <f>ФОТр.тек.!E13</f>
        <v>439.09244974661999</v>
      </c>
      <c r="J14" s="62">
        <f>ROUND(I14*E14,2)</f>
        <v>18722.650000000001</v>
      </c>
    </row>
    <row r="15" spans="1:10" x14ac:dyDescent="0.25">
      <c r="A15" s="152">
        <v>3</v>
      </c>
      <c r="B15" s="107" t="s">
        <v>75</v>
      </c>
      <c r="C15" s="108" t="s">
        <v>76</v>
      </c>
      <c r="D15" s="152" t="s">
        <v>64</v>
      </c>
      <c r="E15" s="66">
        <v>42.265261577910003</v>
      </c>
      <c r="F15" s="61">
        <f>Прил.3!G19</f>
        <v>14.09</v>
      </c>
      <c r="G15" s="61">
        <f>Прил.3!H19</f>
        <v>595.52</v>
      </c>
      <c r="H15" s="153">
        <f>G15/$G$16</f>
        <v>4.0108758098093764E-2</v>
      </c>
      <c r="I15" s="113">
        <f>ФОТр.тек.!E13</f>
        <v>439.09244974661999</v>
      </c>
      <c r="J15" s="62">
        <f>ROUND(I15*E15,2)</f>
        <v>18558.36</v>
      </c>
    </row>
    <row r="16" spans="1:10" s="56" customFormat="1" ht="25.5" customHeight="1" x14ac:dyDescent="0.2">
      <c r="A16" s="59"/>
      <c r="B16" s="59"/>
      <c r="C16" s="63" t="s">
        <v>218</v>
      </c>
      <c r="D16" s="59" t="s">
        <v>217</v>
      </c>
      <c r="E16" s="66">
        <f>SUM(E13:E15)</f>
        <v>1520.9815267294</v>
      </c>
      <c r="F16" s="61"/>
      <c r="G16" s="61">
        <f>SUM(G13:G15)</f>
        <v>14847.630000000001</v>
      </c>
      <c r="H16" s="64">
        <v>1</v>
      </c>
      <c r="I16" s="61"/>
      <c r="J16" s="61">
        <f>SUM(J13:J15)</f>
        <v>667851.5</v>
      </c>
    </row>
    <row r="17" spans="1:10" s="56" customFormat="1" ht="14.25" customHeight="1" x14ac:dyDescent="0.2">
      <c r="A17" s="59"/>
      <c r="B17" s="212" t="s">
        <v>77</v>
      </c>
      <c r="C17" s="212"/>
      <c r="D17" s="213"/>
      <c r="E17" s="214"/>
      <c r="F17" s="215"/>
      <c r="G17" s="215"/>
      <c r="H17" s="225"/>
      <c r="I17" s="60"/>
      <c r="J17" s="60"/>
    </row>
    <row r="18" spans="1:10" s="56" customFormat="1" ht="14.25" customHeight="1" x14ac:dyDescent="0.2">
      <c r="A18" s="59">
        <v>4</v>
      </c>
      <c r="B18" s="59">
        <v>2</v>
      </c>
      <c r="C18" s="65" t="s">
        <v>77</v>
      </c>
      <c r="D18" s="59" t="s">
        <v>217</v>
      </c>
      <c r="E18" s="66">
        <v>40.869308543598997</v>
      </c>
      <c r="F18" s="61">
        <f>G18/E18</f>
        <v>9.540900345402866</v>
      </c>
      <c r="G18" s="61">
        <f>Прил.3!H21</f>
        <v>389.93</v>
      </c>
      <c r="H18" s="64">
        <v>1</v>
      </c>
      <c r="I18" s="61">
        <f>ROUND(F18*Прил.10!D10,2)</f>
        <v>422.57</v>
      </c>
      <c r="J18" s="62">
        <f>ROUND(I18*E18,2)</f>
        <v>17270.14</v>
      </c>
    </row>
    <row r="19" spans="1:10" s="56" customFormat="1" ht="14.25" customHeight="1" x14ac:dyDescent="0.2">
      <c r="A19" s="59"/>
      <c r="B19" s="224" t="s">
        <v>78</v>
      </c>
      <c r="C19" s="212"/>
      <c r="D19" s="213"/>
      <c r="E19" s="214"/>
      <c r="F19" s="215"/>
      <c r="G19" s="215"/>
      <c r="H19" s="216"/>
      <c r="I19" s="67"/>
      <c r="J19" s="67"/>
    </row>
    <row r="20" spans="1:10" s="56" customFormat="1" ht="14.25" customHeight="1" x14ac:dyDescent="0.2">
      <c r="A20" s="59"/>
      <c r="B20" s="212" t="s">
        <v>219</v>
      </c>
      <c r="C20" s="212"/>
      <c r="D20" s="213"/>
      <c r="E20" s="214"/>
      <c r="F20" s="215"/>
      <c r="G20" s="215"/>
      <c r="H20" s="225"/>
      <c r="I20" s="60"/>
      <c r="J20" s="60"/>
    </row>
    <row r="21" spans="1:10" s="56" customFormat="1" ht="25.5" customHeight="1" x14ac:dyDescent="0.2">
      <c r="A21" s="59">
        <v>5</v>
      </c>
      <c r="B21" s="68" t="s">
        <v>79</v>
      </c>
      <c r="C21" s="157" t="s">
        <v>80</v>
      </c>
      <c r="D21" s="70" t="s">
        <v>81</v>
      </c>
      <c r="E21" s="66">
        <v>20.147197049540001</v>
      </c>
      <c r="F21" s="71">
        <v>115.4</v>
      </c>
      <c r="G21" s="62">
        <f>ROUND(E21*F21,2)</f>
        <v>2324.9899999999998</v>
      </c>
      <c r="H21" s="64">
        <f>G21/$G$29</f>
        <v>0.49830041321606</v>
      </c>
      <c r="I21" s="61">
        <f>ROUND(F21*Прил.10!$D$11,2)</f>
        <v>1554.44</v>
      </c>
      <c r="J21" s="62">
        <f>ROUND(I21*E21,2)</f>
        <v>31317.61</v>
      </c>
    </row>
    <row r="22" spans="1:10" s="56" customFormat="1" ht="25.5" customHeight="1" x14ac:dyDescent="0.2">
      <c r="A22" s="103">
        <v>6</v>
      </c>
      <c r="B22" s="68" t="s">
        <v>82</v>
      </c>
      <c r="C22" s="157" t="s">
        <v>83</v>
      </c>
      <c r="D22" s="70" t="s">
        <v>81</v>
      </c>
      <c r="E22" s="66">
        <v>20.225263289594999</v>
      </c>
      <c r="F22" s="71">
        <v>65.709999999999994</v>
      </c>
      <c r="G22" s="62">
        <f>ROUND(E22*F22,2)</f>
        <v>1329</v>
      </c>
      <c r="H22" s="104">
        <f>G22/$G$29</f>
        <v>0.28483617097885999</v>
      </c>
      <c r="I22" s="61">
        <f>ROUND(F22*Прил.10!$D$11,2)</f>
        <v>885.11</v>
      </c>
      <c r="J22" s="62">
        <f>ROUND(I22*E22,2)</f>
        <v>17901.580000000002</v>
      </c>
    </row>
    <row r="23" spans="1:10" s="56" customFormat="1" ht="25.5" customHeight="1" x14ac:dyDescent="0.2">
      <c r="A23" s="152">
        <v>7</v>
      </c>
      <c r="B23" s="68" t="s">
        <v>84</v>
      </c>
      <c r="C23" s="157" t="s">
        <v>85</v>
      </c>
      <c r="D23" s="70" t="s">
        <v>81</v>
      </c>
      <c r="E23" s="66">
        <v>241.18795086200001</v>
      </c>
      <c r="F23" s="71">
        <v>3.28</v>
      </c>
      <c r="G23" s="62">
        <f>ROUND(E23*F23,2)</f>
        <v>791.1</v>
      </c>
      <c r="H23" s="105">
        <f>G23/$G$29</f>
        <v>0.16955146340209001</v>
      </c>
      <c r="I23" s="61">
        <f>ROUND(F23*Прил.10!$D$11,2)</f>
        <v>44.18</v>
      </c>
      <c r="J23" s="62">
        <f>ROUND(I23*E23,2)</f>
        <v>10655.68</v>
      </c>
    </row>
    <row r="24" spans="1:10" s="56" customFormat="1" ht="14.25" customHeight="1" x14ac:dyDescent="0.2">
      <c r="B24" s="59"/>
      <c r="C24" s="65" t="s">
        <v>220</v>
      </c>
      <c r="D24" s="59"/>
      <c r="E24" s="72"/>
      <c r="F24" s="61"/>
      <c r="G24" s="61">
        <f>SUM(G21:G23)</f>
        <v>4445.09</v>
      </c>
      <c r="H24" s="64">
        <f>G24/G29</f>
        <v>0.95268804759699999</v>
      </c>
      <c r="I24" s="61"/>
      <c r="J24" s="61">
        <f>SUM(J21:J23)</f>
        <v>59874.87</v>
      </c>
    </row>
    <row r="25" spans="1:10" s="56" customFormat="1" ht="25.5" customHeight="1" outlineLevel="1" x14ac:dyDescent="0.2">
      <c r="A25" s="96">
        <v>8</v>
      </c>
      <c r="B25" s="68" t="s">
        <v>86</v>
      </c>
      <c r="C25" s="157" t="s">
        <v>87</v>
      </c>
      <c r="D25" s="70" t="s">
        <v>81</v>
      </c>
      <c r="E25" s="66">
        <v>241.35891033573</v>
      </c>
      <c r="F25" s="71">
        <v>0.9</v>
      </c>
      <c r="G25" s="62">
        <f>ROUND(E25*F25,2)</f>
        <v>217.22</v>
      </c>
      <c r="H25" s="64">
        <f>G25/$G$29</f>
        <v>4.655538981191E-2</v>
      </c>
      <c r="I25" s="61">
        <f>ROUND(F25*Прил.10!$D$11,2)</f>
        <v>12.12</v>
      </c>
      <c r="J25" s="62">
        <f>ROUND(I25*E25,2)</f>
        <v>2925.27</v>
      </c>
    </row>
    <row r="26" spans="1:10" s="56" customFormat="1" ht="25.5" customHeight="1" outlineLevel="1" x14ac:dyDescent="0.2">
      <c r="A26" s="155">
        <v>9</v>
      </c>
      <c r="B26" s="68" t="s">
        <v>88</v>
      </c>
      <c r="C26" s="157" t="s">
        <v>89</v>
      </c>
      <c r="D26" s="70" t="s">
        <v>81</v>
      </c>
      <c r="E26" s="66">
        <v>0.25682976900741</v>
      </c>
      <c r="F26" s="71">
        <v>8.1</v>
      </c>
      <c r="G26" s="62">
        <f>ROUND(E26*F26,2)</f>
        <v>2.08</v>
      </c>
      <c r="H26" s="156">
        <f>G26/$G$29</f>
        <v>4.4579325480513998E-4</v>
      </c>
      <c r="I26" s="61">
        <f>ROUND(F26*Прил.10!$D$11,2)</f>
        <v>109.11</v>
      </c>
      <c r="J26" s="62">
        <f>ROUND(I26*E26,2)</f>
        <v>28.02</v>
      </c>
    </row>
    <row r="27" spans="1:10" s="56" customFormat="1" ht="14.25" customHeight="1" outlineLevel="1" x14ac:dyDescent="0.2">
      <c r="A27" s="155">
        <v>10</v>
      </c>
      <c r="B27" s="68" t="s">
        <v>90</v>
      </c>
      <c r="C27" s="157" t="s">
        <v>91</v>
      </c>
      <c r="D27" s="70" t="s">
        <v>81</v>
      </c>
      <c r="E27" s="66">
        <v>0.61233556684545998</v>
      </c>
      <c r="F27" s="71">
        <v>2.36</v>
      </c>
      <c r="G27" s="62">
        <f>ROUND(E27*F27,2)</f>
        <v>1.45</v>
      </c>
      <c r="H27" s="156">
        <f>G27/$G$29</f>
        <v>3.1076933628242998E-4</v>
      </c>
      <c r="I27" s="61">
        <f>ROUND(F27*Прил.10!$D$11,2)</f>
        <v>31.79</v>
      </c>
      <c r="J27" s="62">
        <f>ROUND(I27*E27,2)</f>
        <v>19.47</v>
      </c>
    </row>
    <row r="28" spans="1:10" s="56" customFormat="1" ht="14.25" customHeight="1" x14ac:dyDescent="0.2">
      <c r="A28" s="59"/>
      <c r="B28" s="59"/>
      <c r="C28" s="65" t="s">
        <v>221</v>
      </c>
      <c r="D28" s="59"/>
      <c r="E28" s="73"/>
      <c r="F28" s="61"/>
      <c r="G28" s="61">
        <f>SUM(G25:G27)</f>
        <v>220.75</v>
      </c>
      <c r="H28" s="64">
        <f>G28/G29</f>
        <v>4.7311952402997001E-2</v>
      </c>
      <c r="I28" s="61"/>
      <c r="J28" s="61">
        <f>SUM(J25:J27)</f>
        <v>2972.76</v>
      </c>
    </row>
    <row r="29" spans="1:10" s="56" customFormat="1" ht="25.5" customHeight="1" x14ac:dyDescent="0.2">
      <c r="A29" s="59"/>
      <c r="B29" s="74"/>
      <c r="C29" s="75" t="s">
        <v>222</v>
      </c>
      <c r="D29" s="74"/>
      <c r="E29" s="76"/>
      <c r="F29" s="77"/>
      <c r="G29" s="77">
        <f>G24+G28</f>
        <v>4665.84</v>
      </c>
      <c r="H29" s="78">
        <v>1</v>
      </c>
      <c r="I29" s="77"/>
      <c r="J29" s="77">
        <f>J24+J28</f>
        <v>62847.63</v>
      </c>
    </row>
    <row r="30" spans="1:10" s="49" customFormat="1" x14ac:dyDescent="0.25">
      <c r="A30" s="111"/>
      <c r="B30" s="217" t="s">
        <v>223</v>
      </c>
      <c r="C30" s="217"/>
      <c r="D30" s="217"/>
      <c r="E30" s="217"/>
      <c r="F30" s="217"/>
      <c r="G30" s="217"/>
      <c r="H30" s="217"/>
      <c r="I30" s="217"/>
      <c r="J30" s="217"/>
    </row>
    <row r="31" spans="1:10" s="49" customFormat="1" ht="15" customHeight="1" x14ac:dyDescent="0.25">
      <c r="A31" s="70"/>
      <c r="B31" s="212" t="s">
        <v>224</v>
      </c>
      <c r="C31" s="212"/>
      <c r="D31" s="212"/>
      <c r="E31" s="212"/>
      <c r="F31" s="212"/>
      <c r="G31" s="212"/>
      <c r="H31" s="212"/>
      <c r="I31" s="212"/>
      <c r="J31" s="212"/>
    </row>
    <row r="32" spans="1:10" s="49" customFormat="1" ht="25.5" customHeight="1" x14ac:dyDescent="0.25">
      <c r="A32" s="112">
        <v>11</v>
      </c>
      <c r="B32" s="68" t="s">
        <v>92</v>
      </c>
      <c r="C32" s="162" t="s">
        <v>93</v>
      </c>
      <c r="D32" s="70" t="s">
        <v>94</v>
      </c>
      <c r="E32" s="163">
        <v>7.7995154091048002</v>
      </c>
      <c r="F32" s="99">
        <f>ROUND(I32/Прил.10!$D$13,2)</f>
        <v>34762.120000000003</v>
      </c>
      <c r="G32" s="62">
        <f>ROUND(E32*F32,2)</f>
        <v>271127.69</v>
      </c>
      <c r="H32" s="67">
        <f t="shared" ref="H32:H41" si="0">G32/$G$42</f>
        <v>0.30233435489457999</v>
      </c>
      <c r="I32" s="113">
        <f>6.26*34762.12</f>
        <v>217610.87119999999</v>
      </c>
      <c r="J32" s="62">
        <f>ROUND(I32*E32,2)</f>
        <v>1697259.34</v>
      </c>
    </row>
    <row r="33" spans="1:10" s="49" customFormat="1" x14ac:dyDescent="0.25">
      <c r="A33" s="112">
        <v>12</v>
      </c>
      <c r="B33" s="68" t="s">
        <v>225</v>
      </c>
      <c r="C33" s="162" t="s">
        <v>226</v>
      </c>
      <c r="D33" s="70" t="s">
        <v>227</v>
      </c>
      <c r="E33" s="163">
        <v>1.2999190248268999</v>
      </c>
      <c r="F33" s="99">
        <v>167693</v>
      </c>
      <c r="G33" s="61">
        <f>ROUND(E33*F33,2)</f>
        <v>217987.32</v>
      </c>
      <c r="H33" s="67">
        <f t="shared" si="0"/>
        <v>0.24307755422325</v>
      </c>
      <c r="I33" s="61">
        <f>ROUND(F33*Прил.10!$D$13,2)</f>
        <v>1049758.18</v>
      </c>
      <c r="J33" s="62">
        <f>ROUND(I33*E33,2)</f>
        <v>1364600.63</v>
      </c>
    </row>
    <row r="34" spans="1:10" s="49" customFormat="1" ht="63.75" customHeight="1" x14ac:dyDescent="0.25">
      <c r="A34" s="112">
        <v>13</v>
      </c>
      <c r="B34" s="68" t="s">
        <v>228</v>
      </c>
      <c r="C34" s="162" t="s">
        <v>229</v>
      </c>
      <c r="D34" s="70" t="s">
        <v>227</v>
      </c>
      <c r="E34" s="163">
        <v>1.2999191309136</v>
      </c>
      <c r="F34" s="99">
        <v>123565.7</v>
      </c>
      <c r="G34" s="61">
        <f>ROUND(E34*F34,2)</f>
        <v>160625.42000000001</v>
      </c>
      <c r="H34" s="67">
        <f t="shared" si="0"/>
        <v>0.17911332750768</v>
      </c>
      <c r="I34" s="61">
        <f>ROUND(F34*Прил.10!$D$13,2)</f>
        <v>773521.28</v>
      </c>
      <c r="J34" s="62">
        <f>ROUND(I34*E34,2)</f>
        <v>1005515.11</v>
      </c>
    </row>
    <row r="35" spans="1:10" s="49" customFormat="1" x14ac:dyDescent="0.25">
      <c r="A35" s="112">
        <v>14</v>
      </c>
      <c r="B35" s="68" t="s">
        <v>230</v>
      </c>
      <c r="C35" s="162" t="s">
        <v>231</v>
      </c>
      <c r="D35" s="70" t="s">
        <v>94</v>
      </c>
      <c r="E35" s="163">
        <v>2.599838072127</v>
      </c>
      <c r="F35" s="99">
        <v>45204.3</v>
      </c>
      <c r="G35" s="61">
        <f>ROUND(E35*F35,2)</f>
        <v>117523.86</v>
      </c>
      <c r="H35" s="67">
        <f t="shared" si="0"/>
        <v>0.13105079897159</v>
      </c>
      <c r="I35" s="61">
        <f>ROUND(F35*Прил.10!$D$13,2)</f>
        <v>282978.92</v>
      </c>
      <c r="J35" s="62">
        <f>ROUND(I35*E35,2)</f>
        <v>735699.37</v>
      </c>
    </row>
    <row r="36" spans="1:10" s="49" customFormat="1" x14ac:dyDescent="0.25">
      <c r="A36" s="114"/>
      <c r="B36" s="70"/>
      <c r="C36" s="162" t="s">
        <v>232</v>
      </c>
      <c r="D36" s="70"/>
      <c r="E36" s="163"/>
      <c r="F36" s="99"/>
      <c r="G36" s="113">
        <f>SUM(G32:G35)</f>
        <v>767264.29</v>
      </c>
      <c r="H36" s="67">
        <f t="shared" si="0"/>
        <v>0.85557603559710005</v>
      </c>
      <c r="I36" s="113"/>
      <c r="J36" s="113">
        <f>SUM(J32:J35)</f>
        <v>4803074.45</v>
      </c>
    </row>
    <row r="37" spans="1:10" s="49" customFormat="1" ht="38.25" customHeight="1" outlineLevel="1" x14ac:dyDescent="0.25">
      <c r="A37" s="112">
        <v>15</v>
      </c>
      <c r="B37" s="70" t="s">
        <v>233</v>
      </c>
      <c r="C37" s="162" t="s">
        <v>234</v>
      </c>
      <c r="D37" s="70" t="s">
        <v>94</v>
      </c>
      <c r="E37" s="163">
        <v>5.1996769021025999</v>
      </c>
      <c r="F37" s="99">
        <v>10196.26</v>
      </c>
      <c r="G37" s="61">
        <f>ROUND(E37*F37,2)</f>
        <v>53017.26</v>
      </c>
      <c r="H37" s="67">
        <f t="shared" si="0"/>
        <v>5.9119520770373003E-2</v>
      </c>
      <c r="I37" s="61">
        <f>ROUND(F37*Прил.10!$D$13,2)</f>
        <v>63828.59</v>
      </c>
      <c r="J37" s="62">
        <f>ROUND(I37*E37,2)</f>
        <v>331888.05</v>
      </c>
    </row>
    <row r="38" spans="1:10" s="49" customFormat="1" ht="25.5" customHeight="1" outlineLevel="1" x14ac:dyDescent="0.25">
      <c r="A38" s="112">
        <v>16</v>
      </c>
      <c r="B38" s="70" t="s">
        <v>235</v>
      </c>
      <c r="C38" s="162" t="s">
        <v>236</v>
      </c>
      <c r="D38" s="70" t="s">
        <v>94</v>
      </c>
      <c r="E38" s="163">
        <v>1.2999187287828</v>
      </c>
      <c r="F38" s="99">
        <v>37158.83</v>
      </c>
      <c r="G38" s="61">
        <f>ROUND(E38*F38,2)</f>
        <v>48303.46</v>
      </c>
      <c r="H38" s="67">
        <f t="shared" si="0"/>
        <v>5.3863164689214003E-2</v>
      </c>
      <c r="I38" s="61">
        <f>ROUND(F38*Прил.10!$D$13,2)</f>
        <v>232614.28</v>
      </c>
      <c r="J38" s="62">
        <f>ROUND(I38*E38,2)</f>
        <v>302379.65999999997</v>
      </c>
    </row>
    <row r="39" spans="1:10" s="49" customFormat="1" ht="38.25" customHeight="1" outlineLevel="1" x14ac:dyDescent="0.25">
      <c r="A39" s="112">
        <v>17</v>
      </c>
      <c r="B39" s="70" t="s">
        <v>237</v>
      </c>
      <c r="C39" s="162" t="s">
        <v>238</v>
      </c>
      <c r="D39" s="70" t="s">
        <v>94</v>
      </c>
      <c r="E39" s="163">
        <v>10.399332953808001</v>
      </c>
      <c r="F39" s="99">
        <v>2122.7199999999998</v>
      </c>
      <c r="G39" s="61">
        <f>ROUND(E39*F39,2)</f>
        <v>22074.87</v>
      </c>
      <c r="H39" s="67">
        <f t="shared" si="0"/>
        <v>2.4615676771456999E-2</v>
      </c>
      <c r="I39" s="61">
        <f>ROUND(F39*Прил.10!$D$13,2)</f>
        <v>13288.23</v>
      </c>
      <c r="J39" s="62">
        <f>ROUND(I39*E39,2)</f>
        <v>138188.73000000001</v>
      </c>
    </row>
    <row r="40" spans="1:10" s="49" customFormat="1" ht="25.5" customHeight="1" outlineLevel="1" x14ac:dyDescent="0.25">
      <c r="A40" s="112">
        <v>18</v>
      </c>
      <c r="B40" s="70" t="s">
        <v>239</v>
      </c>
      <c r="C40" s="162" t="s">
        <v>240</v>
      </c>
      <c r="D40" s="70" t="s">
        <v>94</v>
      </c>
      <c r="E40" s="163">
        <v>1.2999208774799</v>
      </c>
      <c r="F40" s="99">
        <v>4708.8</v>
      </c>
      <c r="G40" s="61">
        <f>ROUND(E40*F40,2)</f>
        <v>6121.07</v>
      </c>
      <c r="H40" s="67">
        <f t="shared" si="0"/>
        <v>6.825602171857E-3</v>
      </c>
      <c r="I40" s="61">
        <f>ROUND(F40*Прил.10!$D$13,2)</f>
        <v>29477.09</v>
      </c>
      <c r="J40" s="62">
        <f>ROUND(I40*E40,2)</f>
        <v>38317.879999999997</v>
      </c>
    </row>
    <row r="41" spans="1:10" s="49" customFormat="1" x14ac:dyDescent="0.25">
      <c r="A41" s="114"/>
      <c r="B41" s="70"/>
      <c r="C41" s="69" t="s">
        <v>241</v>
      </c>
      <c r="D41" s="70"/>
      <c r="E41" s="115"/>
      <c r="F41" s="99"/>
      <c r="G41" s="113">
        <f>SUM(G37:G40)</f>
        <v>129516.66</v>
      </c>
      <c r="H41" s="67">
        <f t="shared" si="0"/>
        <v>0.14442396440290001</v>
      </c>
      <c r="I41" s="113"/>
      <c r="J41" s="113">
        <f>SUM(J37:J40)</f>
        <v>810774.32</v>
      </c>
    </row>
    <row r="42" spans="1:10" s="49" customFormat="1" x14ac:dyDescent="0.25">
      <c r="A42" s="112"/>
      <c r="B42" s="70"/>
      <c r="C42" s="109" t="s">
        <v>242</v>
      </c>
      <c r="D42" s="70"/>
      <c r="E42" s="115"/>
      <c r="F42" s="99"/>
      <c r="G42" s="113">
        <f>G36+G41</f>
        <v>896780.95</v>
      </c>
      <c r="H42" s="116">
        <f>(G36+G41)/G42</f>
        <v>1</v>
      </c>
      <c r="I42" s="113"/>
      <c r="J42" s="113">
        <f>J41+J36</f>
        <v>5613848.7699999996</v>
      </c>
    </row>
    <row r="43" spans="1:10" s="49" customFormat="1" ht="25.5" customHeight="1" x14ac:dyDescent="0.25">
      <c r="A43" s="112"/>
      <c r="B43" s="70"/>
      <c r="C43" s="69" t="s">
        <v>243</v>
      </c>
      <c r="D43" s="70"/>
      <c r="E43" s="115"/>
      <c r="F43" s="99"/>
      <c r="G43" s="113">
        <f>'Прил.6 Расчет ОБ'!G22</f>
        <v>896780.95</v>
      </c>
      <c r="H43" s="67">
        <f>G43/$G$42</f>
        <v>1</v>
      </c>
      <c r="I43" s="113"/>
      <c r="J43" s="113">
        <f>ROUND(G43*Прил.10!$D$13,2)</f>
        <v>5613848.75</v>
      </c>
    </row>
    <row r="44" spans="1:10" s="56" customFormat="1" ht="14.25" customHeight="1" x14ac:dyDescent="0.2">
      <c r="A44" s="110"/>
      <c r="B44" s="218" t="s">
        <v>105</v>
      </c>
      <c r="C44" s="219"/>
      <c r="D44" s="219"/>
      <c r="E44" s="219"/>
      <c r="F44" s="219"/>
      <c r="G44" s="219"/>
      <c r="H44" s="219"/>
      <c r="I44" s="219"/>
      <c r="J44" s="220"/>
    </row>
    <row r="45" spans="1:10" s="56" customFormat="1" ht="14.25" customHeight="1" x14ac:dyDescent="0.2">
      <c r="A45" s="59"/>
      <c r="B45" s="212" t="s">
        <v>244</v>
      </c>
      <c r="C45" s="212"/>
      <c r="D45" s="213"/>
      <c r="E45" s="214"/>
      <c r="F45" s="215"/>
      <c r="G45" s="215"/>
      <c r="H45" s="216"/>
      <c r="I45" s="67"/>
      <c r="J45" s="67"/>
    </row>
    <row r="46" spans="1:10" s="56" customFormat="1" ht="25.5" customHeight="1" x14ac:dyDescent="0.2">
      <c r="A46" s="59">
        <v>19</v>
      </c>
      <c r="B46" s="68" t="s">
        <v>106</v>
      </c>
      <c r="C46" s="80" t="s">
        <v>107</v>
      </c>
      <c r="D46" s="81" t="s">
        <v>108</v>
      </c>
      <c r="E46" s="66">
        <v>5.4597589930563997</v>
      </c>
      <c r="F46" s="82">
        <v>18047.849999999999</v>
      </c>
      <c r="G46" s="61">
        <f>ROUND(E46*F46,2)</f>
        <v>98536.91</v>
      </c>
      <c r="H46" s="87">
        <f t="shared" ref="H46:H75" si="1">G46/$G$77</f>
        <v>0.57309465931612003</v>
      </c>
      <c r="I46" s="61">
        <f>ROUND(F46*Прил.10!$D$12,2)</f>
        <v>145104.71</v>
      </c>
      <c r="J46" s="61">
        <f>ROUND(I46*E46,2)</f>
        <v>792236.75</v>
      </c>
    </row>
    <row r="47" spans="1:10" s="56" customFormat="1" ht="25.5" customHeight="1" x14ac:dyDescent="0.2">
      <c r="A47" s="85">
        <v>20</v>
      </c>
      <c r="B47" s="68" t="s">
        <v>109</v>
      </c>
      <c r="C47" s="80" t="s">
        <v>110</v>
      </c>
      <c r="D47" s="81" t="s">
        <v>108</v>
      </c>
      <c r="E47" s="66">
        <v>3.6398374875328998</v>
      </c>
      <c r="F47" s="82">
        <v>6920.41</v>
      </c>
      <c r="G47" s="61">
        <f>ROUND(E47*F47,2)</f>
        <v>25189.17</v>
      </c>
      <c r="H47" s="87">
        <f t="shared" si="1"/>
        <v>0.14650123288427</v>
      </c>
      <c r="I47" s="61">
        <f>ROUND(F47*Прил.10!$D$12,2)</f>
        <v>55640.1</v>
      </c>
      <c r="J47" s="61">
        <f>ROUND(I47*E47,2)</f>
        <v>202520.92</v>
      </c>
    </row>
    <row r="48" spans="1:10" s="56" customFormat="1" ht="38.25" customHeight="1" x14ac:dyDescent="0.2">
      <c r="A48" s="158">
        <v>21</v>
      </c>
      <c r="B48" s="68" t="s">
        <v>111</v>
      </c>
      <c r="C48" s="80" t="s">
        <v>112</v>
      </c>
      <c r="D48" s="81" t="s">
        <v>113</v>
      </c>
      <c r="E48" s="66">
        <v>2598.4280545576999</v>
      </c>
      <c r="F48" s="82">
        <v>3.89</v>
      </c>
      <c r="G48" s="61">
        <f>ROUND(E48*F48,2)</f>
        <v>10107.89</v>
      </c>
      <c r="H48" s="90">
        <f t="shared" si="1"/>
        <v>5.8787897610701002E-2</v>
      </c>
      <c r="I48" s="61">
        <f>ROUND(F48*Прил.10!$D$12,2)</f>
        <v>31.28</v>
      </c>
      <c r="J48" s="61">
        <f>ROUND(I48*E48,2)</f>
        <v>81278.83</v>
      </c>
    </row>
    <row r="49" spans="1:10" s="56" customFormat="1" ht="63.75" customHeight="1" x14ac:dyDescent="0.2">
      <c r="A49" s="158">
        <v>22</v>
      </c>
      <c r="B49" s="68" t="s">
        <v>114</v>
      </c>
      <c r="C49" s="80" t="s">
        <v>115</v>
      </c>
      <c r="D49" s="81" t="s">
        <v>116</v>
      </c>
      <c r="E49" s="66">
        <v>332.81779280767</v>
      </c>
      <c r="F49" s="82">
        <v>22.61</v>
      </c>
      <c r="G49" s="61">
        <f>ROUND(E49*F49,2)</f>
        <v>7525.01</v>
      </c>
      <c r="H49" s="97">
        <f t="shared" si="1"/>
        <v>4.3765762923765002E-2</v>
      </c>
      <c r="I49" s="61">
        <f>ROUND(F49*Прил.10!$D$12,2)</f>
        <v>181.78</v>
      </c>
      <c r="J49" s="61">
        <f>ROUND(I49*E49,2)</f>
        <v>60499.62</v>
      </c>
    </row>
    <row r="50" spans="1:10" s="56" customFormat="1" ht="38.25" customHeight="1" x14ac:dyDescent="0.2">
      <c r="A50" s="158">
        <v>23</v>
      </c>
      <c r="B50" s="68" t="s">
        <v>117</v>
      </c>
      <c r="C50" s="80" t="s">
        <v>118</v>
      </c>
      <c r="D50" s="81" t="s">
        <v>113</v>
      </c>
      <c r="E50" s="66">
        <v>780.18905822390002</v>
      </c>
      <c r="F50" s="82">
        <v>8.3699999999999992</v>
      </c>
      <c r="G50" s="61">
        <f>ROUND(E50*F50,2)</f>
        <v>6530.18</v>
      </c>
      <c r="H50" s="153">
        <f t="shared" si="1"/>
        <v>3.7979791353037001E-2</v>
      </c>
      <c r="I50" s="61">
        <f>ROUND(F50*Прил.10!$D$12,2)</f>
        <v>67.290000000000006</v>
      </c>
      <c r="J50" s="61">
        <f>ROUND(I50*E50,2)</f>
        <v>52498.92</v>
      </c>
    </row>
    <row r="51" spans="1:10" s="56" customFormat="1" ht="14.25" customHeight="1" x14ac:dyDescent="0.2">
      <c r="B51" s="59"/>
      <c r="C51" s="65" t="s">
        <v>245</v>
      </c>
      <c r="D51" s="59"/>
      <c r="E51" s="66"/>
      <c r="F51" s="79"/>
      <c r="G51" s="61">
        <f>SUM(G46:G50)</f>
        <v>147889.16</v>
      </c>
      <c r="H51" s="64">
        <f t="shared" si="1"/>
        <v>0.86012934408788999</v>
      </c>
      <c r="I51" s="61"/>
      <c r="J51" s="61">
        <f>SUM(J46:J50)</f>
        <v>1189035.04</v>
      </c>
    </row>
    <row r="52" spans="1:10" s="56" customFormat="1" ht="51" customHeight="1" outlineLevel="1" x14ac:dyDescent="0.2">
      <c r="A52" s="88">
        <v>24</v>
      </c>
      <c r="B52" s="102" t="s">
        <v>119</v>
      </c>
      <c r="C52" s="80" t="s">
        <v>120</v>
      </c>
      <c r="D52" s="81" t="s">
        <v>113</v>
      </c>
      <c r="E52" s="66">
        <v>40.197905445572999</v>
      </c>
      <c r="F52" s="82">
        <v>156.97999999999999</v>
      </c>
      <c r="G52" s="61">
        <f t="shared" ref="G52:G75" si="2">ROUND(F52*E52,2)</f>
        <v>6310.27</v>
      </c>
      <c r="H52" s="64">
        <f t="shared" si="1"/>
        <v>3.6700785886656997E-2</v>
      </c>
      <c r="I52" s="61">
        <f>ROUND(F52*Прил.10!$D$12,2)</f>
        <v>1262.1199999999999</v>
      </c>
      <c r="J52" s="61">
        <f t="shared" ref="J52:J75" si="3">ROUND(I52*E52,2)</f>
        <v>50734.58</v>
      </c>
    </row>
    <row r="53" spans="1:10" s="56" customFormat="1" ht="25.5" customHeight="1" outlineLevel="1" x14ac:dyDescent="0.2">
      <c r="A53" s="59">
        <v>25</v>
      </c>
      <c r="B53" s="68" t="s">
        <v>121</v>
      </c>
      <c r="C53" s="80" t="s">
        <v>122</v>
      </c>
      <c r="D53" s="81" t="s">
        <v>108</v>
      </c>
      <c r="E53" s="66">
        <v>0.94895535024041999</v>
      </c>
      <c r="F53" s="82">
        <v>3708.36</v>
      </c>
      <c r="G53" s="61">
        <f t="shared" si="2"/>
        <v>3519.07</v>
      </c>
      <c r="H53" s="64">
        <f t="shared" si="1"/>
        <v>2.0467053642737001E-2</v>
      </c>
      <c r="I53" s="61">
        <f>ROUND(F53*Прил.10!$D$12,2)</f>
        <v>29815.21</v>
      </c>
      <c r="J53" s="61">
        <f t="shared" si="3"/>
        <v>28293.3</v>
      </c>
    </row>
    <row r="54" spans="1:10" s="56" customFormat="1" ht="25.5" customHeight="1" outlineLevel="1" x14ac:dyDescent="0.2">
      <c r="A54" s="158">
        <v>26</v>
      </c>
      <c r="B54" s="68" t="s">
        <v>123</v>
      </c>
      <c r="C54" s="80" t="s">
        <v>124</v>
      </c>
      <c r="D54" s="81" t="s">
        <v>125</v>
      </c>
      <c r="E54" s="66">
        <v>5.0242943625204997E-2</v>
      </c>
      <c r="F54" s="82">
        <v>68050</v>
      </c>
      <c r="G54" s="61">
        <f t="shared" si="2"/>
        <v>3419.03</v>
      </c>
      <c r="H54" s="97">
        <f t="shared" si="1"/>
        <v>1.9885216951106E-2</v>
      </c>
      <c r="I54" s="61">
        <f>ROUND(F54*Прил.10!$D$12,2)</f>
        <v>547122</v>
      </c>
      <c r="J54" s="61">
        <f t="shared" si="3"/>
        <v>27489.02</v>
      </c>
    </row>
    <row r="55" spans="1:10" s="56" customFormat="1" ht="25.5" customHeight="1" outlineLevel="1" x14ac:dyDescent="0.2">
      <c r="A55" s="158">
        <v>27</v>
      </c>
      <c r="B55" s="68" t="s">
        <v>246</v>
      </c>
      <c r="C55" s="80" t="s">
        <v>247</v>
      </c>
      <c r="D55" s="81" t="s">
        <v>227</v>
      </c>
      <c r="E55" s="66">
        <v>2.5999046072222001</v>
      </c>
      <c r="F55" s="82">
        <v>1249.83</v>
      </c>
      <c r="G55" s="61">
        <f t="shared" si="2"/>
        <v>3249.44</v>
      </c>
      <c r="H55" s="161">
        <f t="shared" si="1"/>
        <v>1.8898874642692E-2</v>
      </c>
      <c r="I55" s="61">
        <f>ROUND(F55*Прил.10!$D$12,2)</f>
        <v>10048.629999999999</v>
      </c>
      <c r="J55" s="61">
        <f t="shared" si="3"/>
        <v>26125.48</v>
      </c>
    </row>
    <row r="56" spans="1:10" s="56" customFormat="1" ht="25.5" customHeight="1" outlineLevel="1" x14ac:dyDescent="0.2">
      <c r="A56" s="158">
        <v>28</v>
      </c>
      <c r="B56" s="68" t="s">
        <v>126</v>
      </c>
      <c r="C56" s="80" t="s">
        <v>127</v>
      </c>
      <c r="D56" s="81" t="s">
        <v>108</v>
      </c>
      <c r="E56" s="66">
        <v>1.0399616251357999</v>
      </c>
      <c r="F56" s="82">
        <v>2719.53</v>
      </c>
      <c r="G56" s="61">
        <f t="shared" si="2"/>
        <v>2828.21</v>
      </c>
      <c r="H56" s="161">
        <f t="shared" si="1"/>
        <v>1.6448983902828E-2</v>
      </c>
      <c r="I56" s="61">
        <f>ROUND(F56*Прил.10!$D$12,2)</f>
        <v>21865.02</v>
      </c>
      <c r="J56" s="61">
        <f t="shared" si="3"/>
        <v>22738.78</v>
      </c>
    </row>
    <row r="57" spans="1:10" s="56" customFormat="1" ht="14.25" customHeight="1" outlineLevel="1" x14ac:dyDescent="0.2">
      <c r="A57" s="158">
        <v>29</v>
      </c>
      <c r="B57" s="68" t="s">
        <v>248</v>
      </c>
      <c r="C57" s="80" t="s">
        <v>249</v>
      </c>
      <c r="D57" s="81" t="s">
        <v>94</v>
      </c>
      <c r="E57" s="66">
        <v>2.5998965012060999</v>
      </c>
      <c r="F57" s="82">
        <v>873.46</v>
      </c>
      <c r="G57" s="61">
        <f t="shared" si="2"/>
        <v>2270.91</v>
      </c>
      <c r="H57" s="161">
        <f t="shared" si="1"/>
        <v>1.3207704532115E-2</v>
      </c>
      <c r="I57" s="61">
        <f>ROUND(F57*Прил.10!$D$12,2)</f>
        <v>7022.62</v>
      </c>
      <c r="J57" s="61">
        <f t="shared" si="3"/>
        <v>18258.09</v>
      </c>
    </row>
    <row r="58" spans="1:10" s="56" customFormat="1" ht="25.5" customHeight="1" outlineLevel="1" x14ac:dyDescent="0.2">
      <c r="A58" s="158">
        <v>30</v>
      </c>
      <c r="B58" s="68" t="s">
        <v>128</v>
      </c>
      <c r="C58" s="80" t="s">
        <v>129</v>
      </c>
      <c r="D58" s="81" t="s">
        <v>130</v>
      </c>
      <c r="E58" s="66">
        <v>17.133441785471</v>
      </c>
      <c r="F58" s="82">
        <v>83</v>
      </c>
      <c r="G58" s="61">
        <f t="shared" si="2"/>
        <v>1422.08</v>
      </c>
      <c r="H58" s="161">
        <f t="shared" si="1"/>
        <v>8.2708748744025999E-3</v>
      </c>
      <c r="I58" s="61">
        <f>ROUND(F58*Прил.10!$D$12,2)</f>
        <v>667.32</v>
      </c>
      <c r="J58" s="61">
        <f t="shared" si="3"/>
        <v>11433.49</v>
      </c>
    </row>
    <row r="59" spans="1:10" s="56" customFormat="1" ht="14.25" customHeight="1" outlineLevel="1" x14ac:dyDescent="0.2">
      <c r="A59" s="158">
        <v>31</v>
      </c>
      <c r="B59" s="68" t="s">
        <v>131</v>
      </c>
      <c r="C59" s="80" t="s">
        <v>132</v>
      </c>
      <c r="D59" s="81" t="s">
        <v>133</v>
      </c>
      <c r="E59" s="66">
        <v>13.976103320002</v>
      </c>
      <c r="F59" s="82">
        <v>28.93</v>
      </c>
      <c r="G59" s="61">
        <f t="shared" si="2"/>
        <v>404.33</v>
      </c>
      <c r="H59" s="156">
        <f t="shared" si="1"/>
        <v>2.3515996554111999E-3</v>
      </c>
      <c r="I59" s="61">
        <f>ROUND(F59*Прил.10!$D$12,2)</f>
        <v>232.6</v>
      </c>
      <c r="J59" s="61">
        <f t="shared" si="3"/>
        <v>3250.84</v>
      </c>
    </row>
    <row r="60" spans="1:10" s="56" customFormat="1" ht="25.5" customHeight="1" outlineLevel="1" x14ac:dyDescent="0.2">
      <c r="A60" s="158">
        <v>32</v>
      </c>
      <c r="B60" s="68" t="s">
        <v>134</v>
      </c>
      <c r="C60" s="80" t="s">
        <v>135</v>
      </c>
      <c r="D60" s="81" t="s">
        <v>136</v>
      </c>
      <c r="E60" s="66">
        <v>298.75579284233999</v>
      </c>
      <c r="F60" s="82">
        <v>1</v>
      </c>
      <c r="G60" s="61">
        <f t="shared" si="2"/>
        <v>298.76</v>
      </c>
      <c r="H60" s="156">
        <f t="shared" si="1"/>
        <v>1.7376002598142001E-3</v>
      </c>
      <c r="I60" s="61">
        <f>ROUND(F60*Прил.10!$D$12,2)</f>
        <v>8.0399999999999991</v>
      </c>
      <c r="J60" s="61">
        <f t="shared" si="3"/>
        <v>2402</v>
      </c>
    </row>
    <row r="61" spans="1:10" s="56" customFormat="1" ht="14.25" customHeight="1" outlineLevel="1" x14ac:dyDescent="0.2">
      <c r="A61" s="158">
        <v>33</v>
      </c>
      <c r="B61" s="68" t="s">
        <v>137</v>
      </c>
      <c r="C61" s="80" t="s">
        <v>138</v>
      </c>
      <c r="D61" s="81" t="s">
        <v>139</v>
      </c>
      <c r="E61" s="66">
        <v>9.6407611112148004</v>
      </c>
      <c r="F61" s="82">
        <v>6.9</v>
      </c>
      <c r="G61" s="61">
        <f t="shared" si="2"/>
        <v>66.52</v>
      </c>
      <c r="H61" s="156">
        <f t="shared" si="1"/>
        <v>3.8688301406761001E-4</v>
      </c>
      <c r="I61" s="61">
        <f>ROUND(F61*Прил.10!$D$12,2)</f>
        <v>55.48</v>
      </c>
      <c r="J61" s="61">
        <f t="shared" si="3"/>
        <v>534.87</v>
      </c>
    </row>
    <row r="62" spans="1:10" s="56" customFormat="1" ht="25.5" customHeight="1" outlineLevel="1" x14ac:dyDescent="0.2">
      <c r="A62" s="158">
        <v>34</v>
      </c>
      <c r="B62" s="68" t="s">
        <v>140</v>
      </c>
      <c r="C62" s="80" t="s">
        <v>141</v>
      </c>
      <c r="D62" s="81" t="s">
        <v>133</v>
      </c>
      <c r="E62" s="66">
        <v>1.6639342456213999</v>
      </c>
      <c r="F62" s="82">
        <v>38.340000000000003</v>
      </c>
      <c r="G62" s="61">
        <f t="shared" si="2"/>
        <v>63.8</v>
      </c>
      <c r="H62" s="156">
        <f t="shared" si="1"/>
        <v>3.7106338390729997E-4</v>
      </c>
      <c r="I62" s="61">
        <f>ROUND(F62*Прил.10!$D$12,2)</f>
        <v>308.25</v>
      </c>
      <c r="J62" s="61">
        <f t="shared" si="3"/>
        <v>512.91</v>
      </c>
    </row>
    <row r="63" spans="1:10" s="56" customFormat="1" ht="51" customHeight="1" outlineLevel="1" x14ac:dyDescent="0.2">
      <c r="A63" s="158">
        <v>35</v>
      </c>
      <c r="B63" s="68" t="s">
        <v>142</v>
      </c>
      <c r="C63" s="80" t="s">
        <v>143</v>
      </c>
      <c r="D63" s="81" t="s">
        <v>125</v>
      </c>
      <c r="E63" s="66">
        <v>9.1014064443886E-3</v>
      </c>
      <c r="F63" s="82">
        <v>6834.81</v>
      </c>
      <c r="G63" s="61">
        <f t="shared" si="2"/>
        <v>62.21</v>
      </c>
      <c r="H63" s="156">
        <f t="shared" si="1"/>
        <v>3.6181587951210998E-4</v>
      </c>
      <c r="I63" s="61">
        <f>ROUND(F63*Прил.10!$D$12,2)</f>
        <v>54951.87</v>
      </c>
      <c r="J63" s="61">
        <f t="shared" si="3"/>
        <v>500.14</v>
      </c>
    </row>
    <row r="64" spans="1:10" s="56" customFormat="1" ht="14.25" customHeight="1" outlineLevel="1" x14ac:dyDescent="0.2">
      <c r="A64" s="158">
        <v>36</v>
      </c>
      <c r="B64" s="68" t="s">
        <v>144</v>
      </c>
      <c r="C64" s="80" t="s">
        <v>145</v>
      </c>
      <c r="D64" s="81" t="s">
        <v>133</v>
      </c>
      <c r="E64" s="66">
        <v>3.90111382032</v>
      </c>
      <c r="F64" s="82">
        <v>12.6</v>
      </c>
      <c r="G64" s="61">
        <f t="shared" si="2"/>
        <v>49.15</v>
      </c>
      <c r="H64" s="156">
        <f t="shared" si="1"/>
        <v>2.8585839058061998E-4</v>
      </c>
      <c r="I64" s="61">
        <f>ROUND(F64*Прил.10!$D$12,2)</f>
        <v>101.3</v>
      </c>
      <c r="J64" s="61">
        <f t="shared" si="3"/>
        <v>395.18</v>
      </c>
    </row>
    <row r="65" spans="1:10" s="56" customFormat="1" ht="14.25" customHeight="1" outlineLevel="1" x14ac:dyDescent="0.2">
      <c r="A65" s="158">
        <v>37</v>
      </c>
      <c r="B65" s="68" t="s">
        <v>146</v>
      </c>
      <c r="C65" s="80" t="s">
        <v>147</v>
      </c>
      <c r="D65" s="81" t="s">
        <v>125</v>
      </c>
      <c r="E65" s="66">
        <v>6.0323490248393999E-3</v>
      </c>
      <c r="F65" s="82">
        <v>7826.9</v>
      </c>
      <c r="G65" s="61">
        <f t="shared" si="2"/>
        <v>47.21</v>
      </c>
      <c r="H65" s="156">
        <f t="shared" si="1"/>
        <v>2.7457527201039998E-4</v>
      </c>
      <c r="I65" s="61">
        <f>ROUND(F65*Прил.10!$D$12,2)</f>
        <v>62928.28</v>
      </c>
      <c r="J65" s="61">
        <f t="shared" si="3"/>
        <v>379.61</v>
      </c>
    </row>
    <row r="66" spans="1:10" s="56" customFormat="1" ht="25.5" customHeight="1" outlineLevel="1" x14ac:dyDescent="0.2">
      <c r="A66" s="158">
        <v>38</v>
      </c>
      <c r="B66" s="68" t="s">
        <v>148</v>
      </c>
      <c r="C66" s="80" t="s">
        <v>149</v>
      </c>
      <c r="D66" s="81" t="s">
        <v>125</v>
      </c>
      <c r="E66" s="72">
        <v>2.5965343479124998E-4</v>
      </c>
      <c r="F66" s="82">
        <v>65750</v>
      </c>
      <c r="G66" s="61">
        <f t="shared" si="2"/>
        <v>17.07</v>
      </c>
      <c r="H66" s="156">
        <f t="shared" si="1"/>
        <v>9.9279811336952005E-5</v>
      </c>
      <c r="I66" s="61">
        <f>ROUND(F66*Прил.10!$D$12,2)</f>
        <v>528630</v>
      </c>
      <c r="J66" s="61">
        <f t="shared" si="3"/>
        <v>137.26</v>
      </c>
    </row>
    <row r="67" spans="1:10" s="56" customFormat="1" ht="25.5" customHeight="1" outlineLevel="1" x14ac:dyDescent="0.2">
      <c r="A67" s="158">
        <v>39</v>
      </c>
      <c r="B67" s="68" t="s">
        <v>150</v>
      </c>
      <c r="C67" s="80" t="s">
        <v>151</v>
      </c>
      <c r="D67" s="81" t="s">
        <v>133</v>
      </c>
      <c r="E67" s="66">
        <v>0.30825231673024001</v>
      </c>
      <c r="F67" s="82">
        <v>25.76</v>
      </c>
      <c r="G67" s="61">
        <f t="shared" si="2"/>
        <v>7.94</v>
      </c>
      <c r="H67" s="156">
        <f t="shared" si="1"/>
        <v>4.6179361570908E-5</v>
      </c>
      <c r="I67" s="61">
        <f>ROUND(F67*Прил.10!$D$12,2)</f>
        <v>207.11</v>
      </c>
      <c r="J67" s="61">
        <f t="shared" si="3"/>
        <v>63.84</v>
      </c>
    </row>
    <row r="68" spans="1:10" s="56" customFormat="1" ht="14.25" customHeight="1" outlineLevel="1" x14ac:dyDescent="0.2">
      <c r="A68" s="158">
        <v>40</v>
      </c>
      <c r="B68" s="68" t="s">
        <v>152</v>
      </c>
      <c r="C68" s="80" t="s">
        <v>153</v>
      </c>
      <c r="D68" s="81" t="s">
        <v>125</v>
      </c>
      <c r="E68" s="66">
        <v>8.5281810410750992E-3</v>
      </c>
      <c r="F68" s="82">
        <v>729.98</v>
      </c>
      <c r="G68" s="61">
        <f t="shared" si="2"/>
        <v>6.23</v>
      </c>
      <c r="H68" s="156">
        <f t="shared" si="1"/>
        <v>3.6233932315712002E-5</v>
      </c>
      <c r="I68" s="61">
        <f>ROUND(F68*Прил.10!$D$12,2)</f>
        <v>5869.04</v>
      </c>
      <c r="J68" s="61">
        <f t="shared" si="3"/>
        <v>50.05</v>
      </c>
    </row>
    <row r="69" spans="1:10" s="56" customFormat="1" ht="14.25" customHeight="1" outlineLevel="1" x14ac:dyDescent="0.2">
      <c r="A69" s="158">
        <v>41</v>
      </c>
      <c r="B69" s="68" t="s">
        <v>154</v>
      </c>
      <c r="C69" s="80" t="s">
        <v>155</v>
      </c>
      <c r="D69" s="81" t="s">
        <v>94</v>
      </c>
      <c r="E69" s="66">
        <v>13.062630861379001</v>
      </c>
      <c r="F69" s="82">
        <v>0.27</v>
      </c>
      <c r="G69" s="61">
        <f t="shared" si="2"/>
        <v>3.53</v>
      </c>
      <c r="H69" s="156">
        <f t="shared" si="1"/>
        <v>2.0530622965403999E-5</v>
      </c>
      <c r="I69" s="61">
        <f>ROUND(F69*Прил.10!$D$12,2)</f>
        <v>2.17</v>
      </c>
      <c r="J69" s="61">
        <f t="shared" si="3"/>
        <v>28.35</v>
      </c>
    </row>
    <row r="70" spans="1:10" s="56" customFormat="1" ht="14.25" customHeight="1" outlineLevel="1" x14ac:dyDescent="0.2">
      <c r="A70" s="158">
        <v>42</v>
      </c>
      <c r="B70" s="68" t="s">
        <v>156</v>
      </c>
      <c r="C70" s="80" t="s">
        <v>157</v>
      </c>
      <c r="D70" s="81" t="s">
        <v>125</v>
      </c>
      <c r="E70" s="72">
        <v>1.5396135110549999E-4</v>
      </c>
      <c r="F70" s="82">
        <v>10315.01</v>
      </c>
      <c r="G70" s="61">
        <f t="shared" si="2"/>
        <v>1.59</v>
      </c>
      <c r="H70" s="156">
        <f t="shared" si="1"/>
        <v>9.2475043951818003E-6</v>
      </c>
      <c r="I70" s="61">
        <f>ROUND(F70*Прил.10!$D$12,2)</f>
        <v>82932.679999999993</v>
      </c>
      <c r="J70" s="61">
        <f t="shared" si="3"/>
        <v>12.77</v>
      </c>
    </row>
    <row r="71" spans="1:10" s="56" customFormat="1" ht="14.25" customHeight="1" outlineLevel="1" x14ac:dyDescent="0.2">
      <c r="A71" s="158">
        <v>43</v>
      </c>
      <c r="B71" s="68" t="s">
        <v>158</v>
      </c>
      <c r="C71" s="80" t="s">
        <v>159</v>
      </c>
      <c r="D71" s="81" t="s">
        <v>125</v>
      </c>
      <c r="E71" s="183">
        <v>2.6374646122442E-5</v>
      </c>
      <c r="F71" s="82">
        <v>28300.400000000001</v>
      </c>
      <c r="G71" s="61">
        <f t="shared" si="2"/>
        <v>0.75</v>
      </c>
      <c r="H71" s="156">
        <f t="shared" si="1"/>
        <v>4.3620303750857999E-6</v>
      </c>
      <c r="I71" s="61">
        <f>ROUND(F71*Прил.10!$D$12,2)</f>
        <v>227535.22</v>
      </c>
      <c r="J71" s="61">
        <f t="shared" si="3"/>
        <v>6</v>
      </c>
    </row>
    <row r="72" spans="1:10" s="56" customFormat="1" ht="14.25" customHeight="1" outlineLevel="1" x14ac:dyDescent="0.2">
      <c r="A72" s="158">
        <v>44</v>
      </c>
      <c r="B72" s="68" t="s">
        <v>160</v>
      </c>
      <c r="C72" s="80" t="s">
        <v>161</v>
      </c>
      <c r="D72" s="81" t="s">
        <v>133</v>
      </c>
      <c r="E72" s="66">
        <v>2.1754931785715002E-2</v>
      </c>
      <c r="F72" s="82">
        <v>27.74</v>
      </c>
      <c r="G72" s="61">
        <f t="shared" si="2"/>
        <v>0.6</v>
      </c>
      <c r="H72" s="156">
        <f t="shared" si="1"/>
        <v>3.4896243000686E-6</v>
      </c>
      <c r="I72" s="61">
        <f>ROUND(F72*Прил.10!$D$12,2)</f>
        <v>223.03</v>
      </c>
      <c r="J72" s="61">
        <f t="shared" si="3"/>
        <v>4.8499999999999996</v>
      </c>
    </row>
    <row r="73" spans="1:10" s="56" customFormat="1" ht="14.25" customHeight="1" outlineLevel="1" x14ac:dyDescent="0.2">
      <c r="A73" s="158">
        <v>45</v>
      </c>
      <c r="B73" s="68" t="s">
        <v>162</v>
      </c>
      <c r="C73" s="80" t="s">
        <v>163</v>
      </c>
      <c r="D73" s="81" t="s">
        <v>125</v>
      </c>
      <c r="E73" s="183">
        <v>1.4234046197501001E-5</v>
      </c>
      <c r="F73" s="82">
        <v>15620</v>
      </c>
      <c r="G73" s="61">
        <f t="shared" si="2"/>
        <v>0.22</v>
      </c>
      <c r="H73" s="156">
        <f t="shared" si="1"/>
        <v>1.2795289100251999E-6</v>
      </c>
      <c r="I73" s="61">
        <f>ROUND(F73*Прил.10!$D$12,2)</f>
        <v>125584.8</v>
      </c>
      <c r="J73" s="61">
        <f t="shared" si="3"/>
        <v>1.79</v>
      </c>
    </row>
    <row r="74" spans="1:10" s="56" customFormat="1" ht="14.25" customHeight="1" outlineLevel="1" x14ac:dyDescent="0.2">
      <c r="A74" s="158">
        <v>46</v>
      </c>
      <c r="B74" s="68" t="s">
        <v>164</v>
      </c>
      <c r="C74" s="80" t="s">
        <v>165</v>
      </c>
      <c r="D74" s="81" t="s">
        <v>133</v>
      </c>
      <c r="E74" s="66">
        <v>1.0114941217534E-2</v>
      </c>
      <c r="F74" s="82">
        <v>9.42</v>
      </c>
      <c r="G74" s="61">
        <f t="shared" si="2"/>
        <v>0.1</v>
      </c>
      <c r="H74" s="156">
        <f t="shared" si="1"/>
        <v>5.8160405001143002E-7</v>
      </c>
      <c r="I74" s="61">
        <f>ROUND(F74*Прил.10!$D$12,2)</f>
        <v>75.739999999999995</v>
      </c>
      <c r="J74" s="61">
        <f t="shared" si="3"/>
        <v>0.77</v>
      </c>
    </row>
    <row r="75" spans="1:10" s="56" customFormat="1" ht="14.25" customHeight="1" outlineLevel="1" x14ac:dyDescent="0.2">
      <c r="A75" s="158">
        <v>47</v>
      </c>
      <c r="B75" s="68" t="s">
        <v>166</v>
      </c>
      <c r="C75" s="80" t="s">
        <v>167</v>
      </c>
      <c r="D75" s="81" t="s">
        <v>133</v>
      </c>
      <c r="E75" s="66">
        <v>1.4285020470184E-2</v>
      </c>
      <c r="F75" s="82">
        <v>6.67</v>
      </c>
      <c r="G75" s="61">
        <f t="shared" si="2"/>
        <v>0.1</v>
      </c>
      <c r="H75" s="156">
        <f t="shared" si="1"/>
        <v>5.8160405001143002E-7</v>
      </c>
      <c r="I75" s="61">
        <f>ROUND(F75*Прил.10!$D$12,2)</f>
        <v>53.63</v>
      </c>
      <c r="J75" s="61">
        <f t="shared" si="3"/>
        <v>0.77</v>
      </c>
    </row>
    <row r="76" spans="1:10" s="56" customFormat="1" ht="14.25" customHeight="1" x14ac:dyDescent="0.2">
      <c r="A76" s="59"/>
      <c r="B76" s="59"/>
      <c r="C76" s="65" t="s">
        <v>250</v>
      </c>
      <c r="D76" s="59"/>
      <c r="E76" s="73"/>
      <c r="F76" s="79"/>
      <c r="G76" s="61">
        <f>SUM(G52:G75)</f>
        <v>24049.119999999999</v>
      </c>
      <c r="H76" s="64">
        <f>G76/G77</f>
        <v>0.13987065591211001</v>
      </c>
      <c r="I76" s="61"/>
      <c r="J76" s="61">
        <f>SUM(J52:J75)</f>
        <v>193354.74</v>
      </c>
    </row>
    <row r="77" spans="1:10" s="56" customFormat="1" ht="14.25" customHeight="1" x14ac:dyDescent="0.2">
      <c r="A77" s="59"/>
      <c r="B77" s="59"/>
      <c r="C77" s="63" t="s">
        <v>251</v>
      </c>
      <c r="D77" s="59"/>
      <c r="E77" s="73"/>
      <c r="F77" s="79"/>
      <c r="G77" s="61">
        <f>G51+G76</f>
        <v>171938.28</v>
      </c>
      <c r="H77" s="87">
        <v>1</v>
      </c>
      <c r="I77" s="86"/>
      <c r="J77" s="61">
        <f>J51+J76</f>
        <v>1382389.78</v>
      </c>
    </row>
    <row r="78" spans="1:10" s="56" customFormat="1" ht="14.25" customHeight="1" x14ac:dyDescent="0.2">
      <c r="A78" s="59"/>
      <c r="B78" s="59"/>
      <c r="C78" s="65" t="s">
        <v>252</v>
      </c>
      <c r="D78" s="59"/>
      <c r="E78" s="73"/>
      <c r="F78" s="79"/>
      <c r="G78" s="61">
        <f>G16+G29+G77</f>
        <v>191451.75</v>
      </c>
      <c r="H78" s="64"/>
      <c r="I78" s="79"/>
      <c r="J78" s="61">
        <f>J16+J29+J77</f>
        <v>2113088.91</v>
      </c>
    </row>
    <row r="79" spans="1:10" s="56" customFormat="1" ht="14.25" customHeight="1" x14ac:dyDescent="0.2">
      <c r="A79" s="59"/>
      <c r="B79" s="59"/>
      <c r="C79" s="65" t="s">
        <v>253</v>
      </c>
      <c r="D79" s="59" t="s">
        <v>254</v>
      </c>
      <c r="E79" s="83">
        <f>ROUND(G79/(G16+G18),2)</f>
        <v>0.74</v>
      </c>
      <c r="F79" s="160"/>
      <c r="G79" s="61">
        <v>11207.74</v>
      </c>
      <c r="H79" s="64"/>
      <c r="I79" s="79"/>
      <c r="J79" s="61">
        <f>ROUND(E79*(J16+J18),2)</f>
        <v>506990.01</v>
      </c>
    </row>
    <row r="80" spans="1:10" s="56" customFormat="1" ht="14.25" customHeight="1" x14ac:dyDescent="0.2">
      <c r="A80" s="59"/>
      <c r="B80" s="59"/>
      <c r="C80" s="65" t="s">
        <v>255</v>
      </c>
      <c r="D80" s="59" t="s">
        <v>254</v>
      </c>
      <c r="E80" s="83">
        <f>ROUND(G80/(G16+G18),2)</f>
        <v>0.38</v>
      </c>
      <c r="F80" s="160"/>
      <c r="G80" s="61">
        <v>5836.44</v>
      </c>
      <c r="H80" s="64"/>
      <c r="I80" s="79"/>
      <c r="J80" s="61">
        <f>ROUND(E80*(J16+J18),2)</f>
        <v>260346.22</v>
      </c>
    </row>
    <row r="81" spans="1:10" s="56" customFormat="1" ht="14.25" customHeight="1" x14ac:dyDescent="0.2">
      <c r="A81" s="59"/>
      <c r="B81" s="59"/>
      <c r="C81" s="65" t="s">
        <v>256</v>
      </c>
      <c r="D81" s="59"/>
      <c r="E81" s="159"/>
      <c r="F81" s="160"/>
      <c r="G81" s="61">
        <f>G16+G29+G77+G79+G80</f>
        <v>208495.93</v>
      </c>
      <c r="H81" s="64"/>
      <c r="I81" s="79"/>
      <c r="J81" s="61">
        <f>J16+J29+J77+J79+J80</f>
        <v>2880425.14</v>
      </c>
    </row>
    <row r="82" spans="1:10" s="56" customFormat="1" ht="14.25" customHeight="1" x14ac:dyDescent="0.2">
      <c r="A82" s="59"/>
      <c r="B82" s="59"/>
      <c r="C82" s="65" t="s">
        <v>257</v>
      </c>
      <c r="D82" s="59"/>
      <c r="E82" s="159"/>
      <c r="F82" s="160"/>
      <c r="G82" s="61">
        <f>G81+G42</f>
        <v>1105276.8799999999</v>
      </c>
      <c r="H82" s="64"/>
      <c r="I82" s="79"/>
      <c r="J82" s="61">
        <f>J81+J42</f>
        <v>8494273.9100000001</v>
      </c>
    </row>
    <row r="83" spans="1:10" s="56" customFormat="1" ht="14.25" customHeight="1" x14ac:dyDescent="0.2">
      <c r="A83" s="59"/>
      <c r="B83" s="59"/>
      <c r="C83" s="65" t="s">
        <v>204</v>
      </c>
      <c r="D83" s="59" t="s">
        <v>258</v>
      </c>
      <c r="E83" s="167">
        <v>1</v>
      </c>
      <c r="F83" s="160"/>
      <c r="G83" s="61">
        <f>G82/E83</f>
        <v>1105276.8799999999</v>
      </c>
      <c r="H83" s="64"/>
      <c r="I83" s="79"/>
      <c r="J83" s="61">
        <f>J82/E83</f>
        <v>8494273.9100000001</v>
      </c>
    </row>
    <row r="85" spans="1:10" s="56" customFormat="1" ht="14.25" customHeight="1" x14ac:dyDescent="0.2">
      <c r="A85" s="84"/>
    </row>
    <row r="86" spans="1:10" s="56" customFormat="1" ht="14.25" customHeight="1" x14ac:dyDescent="0.2">
      <c r="A86" s="93" t="s">
        <v>31</v>
      </c>
      <c r="B86" s="94"/>
    </row>
    <row r="87" spans="1:10" s="56" customFormat="1" ht="14.25" customHeight="1" x14ac:dyDescent="0.2">
      <c r="A87" s="95" t="s">
        <v>32</v>
      </c>
      <c r="B87" s="94"/>
    </row>
    <row r="88" spans="1:10" s="56" customFormat="1" ht="14.25" customHeight="1" x14ac:dyDescent="0.2">
      <c r="A88" s="93"/>
      <c r="B88" s="94"/>
    </row>
    <row r="89" spans="1:10" s="56" customFormat="1" ht="14.25" customHeight="1" x14ac:dyDescent="0.2">
      <c r="A89" s="93" t="s">
        <v>33</v>
      </c>
      <c r="B89" s="94"/>
    </row>
    <row r="90" spans="1:10" s="56" customFormat="1" ht="14.25" customHeight="1" x14ac:dyDescent="0.2">
      <c r="A90" s="95" t="s">
        <v>34</v>
      </c>
      <c r="B90" s="94"/>
    </row>
  </sheetData>
  <sheetProtection formatCells="0" formatColumns="0" formatRows="0" insertColumns="0" insertRows="0" insertHyperlinks="0" deleteColumns="0" deleteRows="0" sort="0" autoFilter="0" pivotTables="0"/>
  <mergeCells count="19">
    <mergeCell ref="A4:H4"/>
    <mergeCell ref="A9:A10"/>
    <mergeCell ref="B9:B10"/>
    <mergeCell ref="C9:C10"/>
    <mergeCell ref="D9:D10"/>
    <mergeCell ref="E9:E10"/>
    <mergeCell ref="F9:G9"/>
    <mergeCell ref="H9:H10"/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9"/>
  <sheetViews>
    <sheetView view="pageBreakPreview" topLeftCell="A10" workbookViewId="0">
      <selection activeCell="E26" sqref="E26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32" t="s">
        <v>259</v>
      </c>
      <c r="B1" s="232"/>
      <c r="C1" s="232"/>
      <c r="D1" s="232"/>
      <c r="E1" s="232"/>
      <c r="F1" s="232"/>
      <c r="G1" s="232"/>
    </row>
    <row r="2" spans="1:7" s="101" customFormat="1" x14ac:dyDescent="0.25">
      <c r="A2" s="106"/>
      <c r="B2" s="106"/>
      <c r="C2" s="106"/>
      <c r="D2" s="106"/>
      <c r="E2" s="106"/>
      <c r="F2" s="106"/>
      <c r="G2" s="106"/>
    </row>
    <row r="3" spans="1:7" s="101" customFormat="1" x14ac:dyDescent="0.25">
      <c r="A3" s="106"/>
      <c r="B3" s="106"/>
      <c r="C3" s="106"/>
      <c r="D3" s="106"/>
      <c r="E3" s="106"/>
      <c r="F3" s="106"/>
      <c r="G3" s="106"/>
    </row>
    <row r="4" spans="1:7" x14ac:dyDescent="0.25">
      <c r="A4" s="43"/>
      <c r="B4" s="43"/>
      <c r="C4" s="43"/>
      <c r="D4" s="43"/>
      <c r="E4" s="43"/>
      <c r="F4" s="43"/>
      <c r="G4" s="43"/>
    </row>
    <row r="5" spans="1:7" x14ac:dyDescent="0.25">
      <c r="A5" s="209" t="s">
        <v>260</v>
      </c>
      <c r="B5" s="209"/>
      <c r="C5" s="209"/>
      <c r="D5" s="209"/>
      <c r="E5" s="209"/>
      <c r="F5" s="209"/>
      <c r="G5" s="209"/>
    </row>
    <row r="6" spans="1:7" ht="64.5" customHeight="1" x14ac:dyDescent="0.25">
      <c r="A6" s="196" t="str">
        <f>'Прил.1 Сравнит табл'!B7</f>
        <v>Наименование разрабатываемого показателя УНЦ - Постоянная часть ПС, система периметральной сигнализации ПС 330 кВ</v>
      </c>
      <c r="B6" s="196"/>
      <c r="C6" s="196"/>
      <c r="D6" s="196"/>
      <c r="E6" s="196"/>
      <c r="F6" s="196"/>
      <c r="G6" s="196"/>
    </row>
    <row r="7" spans="1:7" x14ac:dyDescent="0.25">
      <c r="A7" s="7"/>
      <c r="B7" s="7"/>
      <c r="C7" s="7"/>
      <c r="D7" s="7"/>
      <c r="E7" s="7"/>
      <c r="F7" s="7"/>
      <c r="G7" s="7"/>
    </row>
    <row r="8" spans="1:7" ht="30" customHeight="1" x14ac:dyDescent="0.25">
      <c r="A8" s="233" t="s">
        <v>209</v>
      </c>
      <c r="B8" s="233" t="s">
        <v>53</v>
      </c>
      <c r="C8" s="233" t="s">
        <v>170</v>
      </c>
      <c r="D8" s="233" t="s">
        <v>55</v>
      </c>
      <c r="E8" s="226" t="s">
        <v>210</v>
      </c>
      <c r="F8" s="233" t="s">
        <v>57</v>
      </c>
      <c r="G8" s="233"/>
    </row>
    <row r="9" spans="1:7" x14ac:dyDescent="0.25">
      <c r="A9" s="233"/>
      <c r="B9" s="233"/>
      <c r="C9" s="233"/>
      <c r="D9" s="233"/>
      <c r="E9" s="227"/>
      <c r="F9" s="3" t="s">
        <v>213</v>
      </c>
      <c r="G9" s="3" t="s">
        <v>59</v>
      </c>
    </row>
    <row r="10" spans="1:7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 spans="1:7" ht="15" customHeight="1" x14ac:dyDescent="0.25">
      <c r="A11" s="8"/>
      <c r="B11" s="228" t="s">
        <v>261</v>
      </c>
      <c r="C11" s="229"/>
      <c r="D11" s="229"/>
      <c r="E11" s="229"/>
      <c r="F11" s="229"/>
      <c r="G11" s="230"/>
    </row>
    <row r="12" spans="1:7" ht="27" customHeight="1" x14ac:dyDescent="0.25">
      <c r="A12" s="3"/>
      <c r="B12" s="6"/>
      <c r="C12" s="4" t="s">
        <v>262</v>
      </c>
      <c r="D12" s="6"/>
      <c r="E12" s="9"/>
      <c r="F12" s="5"/>
      <c r="G12" s="5">
        <v>0</v>
      </c>
    </row>
    <row r="13" spans="1:7" x14ac:dyDescent="0.25">
      <c r="A13" s="3"/>
      <c r="B13" s="212" t="s">
        <v>263</v>
      </c>
      <c r="C13" s="212"/>
      <c r="D13" s="212"/>
      <c r="E13" s="231"/>
      <c r="F13" s="215"/>
      <c r="G13" s="215"/>
    </row>
    <row r="14" spans="1:7" s="92" customFormat="1" ht="25.5" customHeight="1" x14ac:dyDescent="0.25">
      <c r="A14" s="164">
        <v>1</v>
      </c>
      <c r="B14" s="165" t="str">
        <f>'Прил.5 Расчет СМР и ОБ'!B32</f>
        <v>Прайс из СД ОП</v>
      </c>
      <c r="C14" s="166" t="str">
        <f>'Прил.5 Расчет СМР и ОБ'!C32</f>
        <v>Чувствительный элемент броня(180м) ЧЕБ-2</v>
      </c>
      <c r="D14" s="165" t="str">
        <f>'Прил.5 Расчет СМР и ОБ'!D32</f>
        <v>шт</v>
      </c>
      <c r="E14" s="165">
        <f>'Прил.5 Расчет СМР и ОБ'!E32</f>
        <v>7.7995154091048002</v>
      </c>
      <c r="F14" s="62">
        <f>'Прил.5 Расчет СМР и ОБ'!F32</f>
        <v>34762.120000000003</v>
      </c>
      <c r="G14" s="62">
        <f t="shared" ref="G14:G21" si="0">ROUND(E14*F14,2)</f>
        <v>271127.69</v>
      </c>
    </row>
    <row r="15" spans="1:7" s="92" customFormat="1" x14ac:dyDescent="0.25">
      <c r="A15" s="164">
        <v>2</v>
      </c>
      <c r="B15" s="165" t="str">
        <f>'Прил.5 Расчет СМР и ОБ'!B33</f>
        <v>61.3.05.04-0002</v>
      </c>
      <c r="C15" s="166" t="str">
        <f>'Прил.5 Расчет СМР и ОБ'!C33</f>
        <v>Сервер HP ProLiant DL360</v>
      </c>
      <c r="D15" s="165" t="str">
        <f>'Прил.5 Расчет СМР и ОБ'!D33</f>
        <v>компл</v>
      </c>
      <c r="E15" s="165">
        <f>'Прил.5 Расчет СМР и ОБ'!E33</f>
        <v>1.2999190248268999</v>
      </c>
      <c r="F15" s="62">
        <f>'Прил.5 Расчет СМР и ОБ'!F33</f>
        <v>167693</v>
      </c>
      <c r="G15" s="62">
        <f t="shared" si="0"/>
        <v>217987.32</v>
      </c>
    </row>
    <row r="16" spans="1:7" s="92" customFormat="1" ht="63.75" customHeight="1" x14ac:dyDescent="0.25">
      <c r="A16" s="164">
        <v>3</v>
      </c>
      <c r="B16" s="165" t="str">
        <f>'Прил.5 Расчет СМР и ОБ'!B34</f>
        <v>62.1.02.10-0124</v>
      </c>
      <c r="C16" s="166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165" t="str">
        <f>'Прил.5 Расчет СМР и ОБ'!D34</f>
        <v>компл</v>
      </c>
      <c r="E16" s="165">
        <f>'Прил.5 Расчет СМР и ОБ'!E34</f>
        <v>1.2999191309136</v>
      </c>
      <c r="F16" s="62">
        <f>'Прил.5 Расчет СМР и ОБ'!F34</f>
        <v>123565.7</v>
      </c>
      <c r="G16" s="62">
        <f t="shared" si="0"/>
        <v>160625.42000000001</v>
      </c>
    </row>
    <row r="17" spans="1:7" s="92" customFormat="1" x14ac:dyDescent="0.25">
      <c r="A17" s="164">
        <v>4</v>
      </c>
      <c r="B17" s="165" t="str">
        <f>'Прил.5 Расчет СМР и ОБ'!B35</f>
        <v>61.3.01.02-0001</v>
      </c>
      <c r="C17" s="166" t="str">
        <f>'Прил.5 Расчет СМР и ОБ'!C35</f>
        <v>Блок распознавания инцидентов VIP T</v>
      </c>
      <c r="D17" s="165" t="str">
        <f>'Прил.5 Расчет СМР и ОБ'!D35</f>
        <v>шт</v>
      </c>
      <c r="E17" s="165">
        <f>'Прил.5 Расчет СМР и ОБ'!E35</f>
        <v>2.599838072127</v>
      </c>
      <c r="F17" s="62">
        <f>'Прил.5 Расчет СМР и ОБ'!F35</f>
        <v>45204.3</v>
      </c>
      <c r="G17" s="62">
        <f t="shared" si="0"/>
        <v>117523.86</v>
      </c>
    </row>
    <row r="18" spans="1:7" s="92" customFormat="1" ht="38.25" customHeight="1" x14ac:dyDescent="0.25">
      <c r="A18" s="164">
        <v>5</v>
      </c>
      <c r="B18" s="165" t="str">
        <f>'Прил.5 Расчет СМР и ОБ'!B37</f>
        <v>61.2.07.02-0095</v>
      </c>
      <c r="C18" s="166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165" t="str">
        <f>'Прил.5 Расчет СМР и ОБ'!D37</f>
        <v>шт</v>
      </c>
      <c r="E18" s="165">
        <f>'Прил.5 Расчет СМР и ОБ'!E37</f>
        <v>5.1996769021025999</v>
      </c>
      <c r="F18" s="62">
        <f>'Прил.5 Расчет СМР и ОБ'!F37</f>
        <v>10196.26</v>
      </c>
      <c r="G18" s="62">
        <f t="shared" si="0"/>
        <v>53017.26</v>
      </c>
    </row>
    <row r="19" spans="1:7" s="92" customFormat="1" ht="25.5" customHeight="1" x14ac:dyDescent="0.25">
      <c r="A19" s="164">
        <v>6</v>
      </c>
      <c r="B19" s="165" t="str">
        <f>'Прил.5 Расчет СМР и ОБ'!B38</f>
        <v>61.2.07.05-0067</v>
      </c>
      <c r="C19" s="166" t="str">
        <f>'Прил.5 Расчет СМР и ОБ'!C38</f>
        <v>Модуль центральный ECB с Ethernet интерфейсом</v>
      </c>
      <c r="D19" s="165" t="str">
        <f>'Прил.5 Расчет СМР и ОБ'!D38</f>
        <v>шт</v>
      </c>
      <c r="E19" s="165">
        <f>'Прил.5 Расчет СМР и ОБ'!E38</f>
        <v>1.2999187287828</v>
      </c>
      <c r="F19" s="62">
        <f>'Прил.5 Расчет СМР и ОБ'!F38</f>
        <v>37158.83</v>
      </c>
      <c r="G19" s="62">
        <f t="shared" si="0"/>
        <v>48303.46</v>
      </c>
    </row>
    <row r="20" spans="1:7" s="92" customFormat="1" ht="38.25" customHeight="1" x14ac:dyDescent="0.25">
      <c r="A20" s="164">
        <v>7</v>
      </c>
      <c r="B20" s="165" t="str">
        <f>'Прил.5 Расчет СМР и ОБ'!B39</f>
        <v>61.2.01.03-0019</v>
      </c>
      <c r="C20" s="166" t="str">
        <f>'Прил.5 Расчет СМР и ОБ'!C39</f>
        <v>Извещатель охранный инфракрасный пассивный: "Пирон-1", взрывозащитное исполнение</v>
      </c>
      <c r="D20" s="165" t="str">
        <f>'Прил.5 Расчет СМР и ОБ'!D39</f>
        <v>шт</v>
      </c>
      <c r="E20" s="165">
        <f>'Прил.5 Расчет СМР и ОБ'!E39</f>
        <v>10.399332953808001</v>
      </c>
      <c r="F20" s="62">
        <f>'Прил.5 Расчет СМР и ОБ'!F39</f>
        <v>2122.7199999999998</v>
      </c>
      <c r="G20" s="62">
        <f t="shared" si="0"/>
        <v>22074.87</v>
      </c>
    </row>
    <row r="21" spans="1:7" s="92" customFormat="1" ht="25.5" customHeight="1" x14ac:dyDescent="0.25">
      <c r="A21" s="164">
        <v>8</v>
      </c>
      <c r="B21" s="165" t="str">
        <f>'Прил.5 Расчет СМР и ОБ'!B40</f>
        <v>61.3.04.01-0001</v>
      </c>
      <c r="C21" s="166" t="str">
        <f>'Прил.5 Расчет СМР и ОБ'!C40</f>
        <v>Плата дочерняя IPO IP500 TRNK PRI UNVRSL DUAL</v>
      </c>
      <c r="D21" s="165" t="str">
        <f>'Прил.5 Расчет СМР и ОБ'!D40</f>
        <v>шт</v>
      </c>
      <c r="E21" s="165">
        <f>'Прил.5 Расчет СМР и ОБ'!E40</f>
        <v>1.2999208774799</v>
      </c>
      <c r="F21" s="62">
        <f>'Прил.5 Расчет СМР и ОБ'!F40</f>
        <v>4708.8</v>
      </c>
      <c r="G21" s="62">
        <f t="shared" si="0"/>
        <v>6121.07</v>
      </c>
    </row>
    <row r="22" spans="1:7" ht="25.5" customHeight="1" x14ac:dyDescent="0.25">
      <c r="A22" s="3"/>
      <c r="B22" s="13"/>
      <c r="C22" s="13" t="s">
        <v>264</v>
      </c>
      <c r="D22" s="13"/>
      <c r="E22" s="14"/>
      <c r="F22" s="5"/>
      <c r="G22" s="15">
        <f>SUM(G14:G21)</f>
        <v>896780.95</v>
      </c>
    </row>
    <row r="23" spans="1:7" ht="19.5" customHeight="1" x14ac:dyDescent="0.25">
      <c r="A23" s="3"/>
      <c r="B23" s="4"/>
      <c r="C23" s="4" t="s">
        <v>265</v>
      </c>
      <c r="D23" s="4"/>
      <c r="E23" s="10"/>
      <c r="F23" s="5"/>
      <c r="G23" s="15">
        <f>G12+G22</f>
        <v>896780.95</v>
      </c>
    </row>
    <row r="24" spans="1:7" x14ac:dyDescent="0.25">
      <c r="A24" s="11"/>
      <c r="B24" s="12"/>
      <c r="C24" s="11"/>
      <c r="D24" s="11"/>
      <c r="E24" s="11"/>
      <c r="F24" s="11"/>
      <c r="G24" s="11"/>
    </row>
    <row r="25" spans="1:7" s="98" customFormat="1" x14ac:dyDescent="0.25">
      <c r="A25" s="93" t="s">
        <v>31</v>
      </c>
      <c r="B25" s="94"/>
      <c r="C25" s="1"/>
      <c r="D25" s="11"/>
      <c r="E25" s="11"/>
      <c r="F25" s="11"/>
      <c r="G25" s="11"/>
    </row>
    <row r="26" spans="1:7" s="98" customFormat="1" x14ac:dyDescent="0.25">
      <c r="A26" s="95" t="s">
        <v>32</v>
      </c>
      <c r="B26" s="94"/>
      <c r="C26" s="1"/>
      <c r="D26" s="11"/>
      <c r="E26" s="11"/>
      <c r="F26" s="11"/>
      <c r="G26" s="11"/>
    </row>
    <row r="27" spans="1:7" s="98" customFormat="1" x14ac:dyDescent="0.25">
      <c r="A27" s="93"/>
      <c r="B27" s="94"/>
      <c r="C27" s="1"/>
      <c r="D27" s="11"/>
      <c r="E27" s="11"/>
      <c r="F27" s="11"/>
      <c r="G27" s="11"/>
    </row>
    <row r="28" spans="1:7" s="98" customFormat="1" x14ac:dyDescent="0.25">
      <c r="A28" s="93" t="s">
        <v>33</v>
      </c>
      <c r="B28" s="94"/>
      <c r="C28" s="1"/>
      <c r="D28" s="11"/>
      <c r="E28" s="11"/>
      <c r="F28" s="11"/>
      <c r="G28" s="11"/>
    </row>
    <row r="29" spans="1:7" s="98" customFormat="1" x14ac:dyDescent="0.25">
      <c r="A29" s="95" t="s">
        <v>34</v>
      </c>
      <c r="B29" s="94"/>
      <c r="C29" s="1"/>
      <c r="D29" s="11"/>
      <c r="E29" s="11"/>
      <c r="F29" s="11"/>
      <c r="G29" s="1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L32" sqref="L32"/>
    </sheetView>
  </sheetViews>
  <sheetFormatPr defaultRowHeight="15" x14ac:dyDescent="0.25"/>
  <cols>
    <col min="1" max="1" width="12.7109375" style="172" customWidth="1"/>
    <col min="2" max="2" width="16.42578125" style="172" customWidth="1"/>
    <col min="3" max="3" width="37.140625" style="172" customWidth="1"/>
    <col min="4" max="4" width="49" style="172" customWidth="1"/>
    <col min="5" max="5" width="9.140625" style="172" customWidth="1"/>
  </cols>
  <sheetData>
    <row r="1" spans="1:4" ht="15.75" customHeight="1" x14ac:dyDescent="0.25">
      <c r="A1" s="171"/>
      <c r="B1" s="171"/>
      <c r="C1" s="171"/>
      <c r="D1" s="171" t="s">
        <v>266</v>
      </c>
    </row>
    <row r="2" spans="1:4" ht="15.75" customHeight="1" x14ac:dyDescent="0.25">
      <c r="A2" s="171"/>
      <c r="B2" s="171"/>
      <c r="C2" s="171"/>
      <c r="D2" s="171"/>
    </row>
    <row r="3" spans="1:4" ht="15.75" customHeight="1" x14ac:dyDescent="0.25">
      <c r="A3" s="171"/>
      <c r="B3" s="173" t="s">
        <v>267</v>
      </c>
      <c r="C3" s="171"/>
      <c r="D3" s="171"/>
    </row>
    <row r="4" spans="1:4" ht="15.75" customHeight="1" x14ac:dyDescent="0.25">
      <c r="A4" s="171"/>
      <c r="B4" s="171"/>
      <c r="C4" s="171"/>
      <c r="D4" s="171"/>
    </row>
    <row r="5" spans="1:4" ht="31.5" customHeight="1" x14ac:dyDescent="0.25">
      <c r="A5" s="234" t="s">
        <v>268</v>
      </c>
      <c r="B5" s="234"/>
      <c r="C5" s="234"/>
      <c r="D5" s="174" t="str">
        <f>'Прил.5 Расчет СМР и ОБ'!D6:J6</f>
        <v>Постоянная часть ПС, система периметральной сигнализации ПС 330 кВ</v>
      </c>
    </row>
    <row r="6" spans="1:4" ht="15.75" customHeight="1" x14ac:dyDescent="0.25">
      <c r="A6" s="175" t="s">
        <v>4</v>
      </c>
      <c r="B6" s="175"/>
      <c r="C6" s="175"/>
      <c r="D6" s="175"/>
    </row>
    <row r="7" spans="1:4" ht="15.75" customHeight="1" x14ac:dyDescent="0.25">
      <c r="A7" s="175"/>
      <c r="B7" s="175"/>
      <c r="C7" s="175"/>
      <c r="D7" s="175"/>
    </row>
    <row r="8" spans="1:4" x14ac:dyDescent="0.25">
      <c r="A8" s="200" t="s">
        <v>269</v>
      </c>
      <c r="B8" s="200" t="s">
        <v>270</v>
      </c>
      <c r="C8" s="200" t="s">
        <v>271</v>
      </c>
      <c r="D8" s="200" t="s">
        <v>272</v>
      </c>
    </row>
    <row r="9" spans="1:4" x14ac:dyDescent="0.25">
      <c r="A9" s="200"/>
      <c r="B9" s="200"/>
      <c r="C9" s="200"/>
      <c r="D9" s="200"/>
    </row>
    <row r="10" spans="1:4" ht="15.75" customHeight="1" x14ac:dyDescent="0.25">
      <c r="A10" s="176">
        <v>1</v>
      </c>
      <c r="B10" s="176">
        <v>2</v>
      </c>
      <c r="C10" s="176">
        <v>3</v>
      </c>
      <c r="D10" s="176">
        <v>4</v>
      </c>
    </row>
    <row r="11" spans="1:4" ht="63" customHeight="1" x14ac:dyDescent="0.25">
      <c r="A11" s="176" t="s">
        <v>273</v>
      </c>
      <c r="B11" s="176" t="s">
        <v>274</v>
      </c>
      <c r="C11" s="177" t="str">
        <f>D5</f>
        <v>Постоянная часть ПС, система периметральной сигнализации ПС 330 кВ</v>
      </c>
      <c r="D11" s="178">
        <f>'Прил.4 РМ'!C41/1000</f>
        <v>9741.2553100000005</v>
      </c>
    </row>
    <row r="13" spans="1:4" x14ac:dyDescent="0.25">
      <c r="A13" s="179" t="s">
        <v>275</v>
      </c>
      <c r="B13" s="180"/>
      <c r="C13" s="180"/>
      <c r="D13" s="181"/>
    </row>
    <row r="14" spans="1:4" x14ac:dyDescent="0.25">
      <c r="A14" s="182" t="s">
        <v>32</v>
      </c>
      <c r="B14" s="180"/>
      <c r="C14" s="180"/>
      <c r="D14" s="181"/>
    </row>
    <row r="15" spans="1:4" x14ac:dyDescent="0.25">
      <c r="A15" s="179"/>
      <c r="B15" s="180"/>
      <c r="C15" s="180"/>
      <c r="D15" s="181"/>
    </row>
    <row r="16" spans="1:4" x14ac:dyDescent="0.25">
      <c r="A16" s="179" t="s">
        <v>33</v>
      </c>
      <c r="B16" s="180"/>
      <c r="C16" s="180"/>
      <c r="D16" s="181"/>
    </row>
    <row r="17" spans="1:4" x14ac:dyDescent="0.25">
      <c r="A17" s="182" t="s">
        <v>34</v>
      </c>
      <c r="B17" s="180"/>
      <c r="C17" s="180"/>
      <c r="D17" s="18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topLeftCell="A4" zoomScale="60" zoomScaleNormal="100" workbookViewId="0">
      <selection activeCell="C24" sqref="C2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94" t="s">
        <v>276</v>
      </c>
      <c r="C4" s="194"/>
      <c r="D4" s="194"/>
    </row>
    <row r="5" spans="2:5" ht="18.75" customHeight="1" x14ac:dyDescent="0.25">
      <c r="B5" s="39"/>
    </row>
    <row r="6" spans="2:5" ht="15.75" customHeight="1" x14ac:dyDescent="0.25">
      <c r="B6" s="195" t="s">
        <v>277</v>
      </c>
      <c r="C6" s="195"/>
      <c r="D6" s="195"/>
    </row>
    <row r="7" spans="2:5" x14ac:dyDescent="0.25">
      <c r="B7" s="235"/>
      <c r="C7" s="235"/>
      <c r="D7" s="235"/>
      <c r="E7" s="235"/>
    </row>
    <row r="8" spans="2:5" ht="47.25" customHeight="1" x14ac:dyDescent="0.25">
      <c r="B8" s="41" t="s">
        <v>278</v>
      </c>
      <c r="C8" s="41" t="s">
        <v>279</v>
      </c>
      <c r="D8" s="41" t="s">
        <v>280</v>
      </c>
    </row>
    <row r="9" spans="2:5" ht="15.75" customHeight="1" x14ac:dyDescent="0.25">
      <c r="B9" s="41">
        <v>1</v>
      </c>
      <c r="C9" s="41">
        <v>2</v>
      </c>
      <c r="D9" s="41">
        <v>3</v>
      </c>
    </row>
    <row r="10" spans="2:5" ht="31.5" customHeight="1" x14ac:dyDescent="0.25">
      <c r="B10" s="41" t="s">
        <v>281</v>
      </c>
      <c r="C10" s="41" t="s">
        <v>282</v>
      </c>
      <c r="D10" s="41">
        <v>44.29</v>
      </c>
    </row>
    <row r="11" spans="2:5" ht="31.5" customHeight="1" x14ac:dyDescent="0.25">
      <c r="B11" s="41" t="s">
        <v>283</v>
      </c>
      <c r="C11" s="41" t="s">
        <v>282</v>
      </c>
      <c r="D11" s="41">
        <v>13.47</v>
      </c>
    </row>
    <row r="12" spans="2:5" ht="31.5" customHeight="1" x14ac:dyDescent="0.25">
      <c r="B12" s="41" t="s">
        <v>284</v>
      </c>
      <c r="C12" s="41" t="s">
        <v>282</v>
      </c>
      <c r="D12" s="41">
        <v>8.0399999999999991</v>
      </c>
    </row>
    <row r="13" spans="2:5" ht="31.5" customHeight="1" x14ac:dyDescent="0.25">
      <c r="B13" s="41" t="s">
        <v>285</v>
      </c>
      <c r="C13" s="42" t="s">
        <v>286</v>
      </c>
      <c r="D13" s="41">
        <v>6.26</v>
      </c>
    </row>
    <row r="14" spans="2:5" ht="78.75" customHeight="1" x14ac:dyDescent="0.25">
      <c r="B14" s="41" t="s">
        <v>287</v>
      </c>
      <c r="C14" s="41" t="s">
        <v>288</v>
      </c>
      <c r="D14" s="44">
        <v>3.9E-2</v>
      </c>
    </row>
    <row r="15" spans="2:5" ht="78.75" customHeight="1" x14ac:dyDescent="0.25">
      <c r="B15" s="41" t="s">
        <v>289</v>
      </c>
      <c r="C15" s="41" t="s">
        <v>290</v>
      </c>
      <c r="D15" s="44">
        <v>2.1000000000000001E-2</v>
      </c>
    </row>
    <row r="16" spans="2:5" ht="15.75" customHeight="1" x14ac:dyDescent="0.25">
      <c r="B16" s="41" t="s">
        <v>194</v>
      </c>
      <c r="C16" s="41"/>
      <c r="D16" s="133"/>
    </row>
    <row r="17" spans="2:4" ht="31.5" customHeight="1" x14ac:dyDescent="0.25">
      <c r="B17" s="41" t="s">
        <v>291</v>
      </c>
      <c r="C17" s="41" t="s">
        <v>292</v>
      </c>
      <c r="D17" s="44">
        <v>2.1399999999999999E-2</v>
      </c>
    </row>
    <row r="18" spans="2:4" ht="31.5" customHeight="1" x14ac:dyDescent="0.25">
      <c r="B18" s="47" t="s">
        <v>200</v>
      </c>
      <c r="C18" s="47" t="s">
        <v>293</v>
      </c>
      <c r="D18" s="48">
        <v>2E-3</v>
      </c>
    </row>
    <row r="19" spans="2:4" ht="24" customHeight="1" x14ac:dyDescent="0.25">
      <c r="B19" s="41" t="s">
        <v>202</v>
      </c>
      <c r="C19" s="41" t="s">
        <v>294</v>
      </c>
      <c r="D19" s="44">
        <v>0.03</v>
      </c>
    </row>
    <row r="20" spans="2:4" ht="18.75" customHeight="1" x14ac:dyDescent="0.25">
      <c r="B20" s="40"/>
    </row>
    <row r="21" spans="2:4" ht="18.75" customHeight="1" x14ac:dyDescent="0.25">
      <c r="B21" s="40"/>
    </row>
    <row r="22" spans="2:4" ht="18.75" customHeight="1" x14ac:dyDescent="0.25">
      <c r="B22" s="40"/>
    </row>
    <row r="23" spans="2:4" ht="18.75" customHeight="1" x14ac:dyDescent="0.25">
      <c r="B23" s="40"/>
    </row>
    <row r="26" spans="2:4" x14ac:dyDescent="0.25">
      <c r="B26" s="93" t="s">
        <v>31</v>
      </c>
      <c r="C26" s="94"/>
    </row>
    <row r="27" spans="2:4" x14ac:dyDescent="0.25">
      <c r="B27" s="95" t="s">
        <v>32</v>
      </c>
      <c r="C27" s="94"/>
    </row>
    <row r="28" spans="2:4" x14ac:dyDescent="0.25">
      <c r="B28" s="93"/>
      <c r="C28" s="94"/>
    </row>
    <row r="29" spans="2:4" x14ac:dyDescent="0.25">
      <c r="B29" s="93" t="s">
        <v>33</v>
      </c>
      <c r="C29" s="94"/>
    </row>
    <row r="30" spans="2:4" x14ac:dyDescent="0.25">
      <c r="B30" s="95" t="s">
        <v>34</v>
      </c>
      <c r="C30" s="9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I12" sqref="I12"/>
    </sheetView>
  </sheetViews>
  <sheetFormatPr defaultRowHeight="15" x14ac:dyDescent="0.25"/>
  <cols>
    <col min="1" max="1" width="9.140625" style="21" customWidth="1"/>
    <col min="2" max="2" width="44.85546875" style="21" customWidth="1"/>
    <col min="3" max="3" width="13" style="21" customWidth="1"/>
    <col min="4" max="4" width="22.85546875" style="21" customWidth="1"/>
    <col min="5" max="5" width="21.5703125" style="21" customWidth="1"/>
    <col min="6" max="6" width="43.85546875" style="21" customWidth="1"/>
    <col min="7" max="7" width="9.140625" style="21" customWidth="1"/>
  </cols>
  <sheetData>
    <row r="2" spans="1:7" ht="18" customHeight="1" x14ac:dyDescent="0.25">
      <c r="A2" s="236" t="s">
        <v>295</v>
      </c>
      <c r="B2" s="236"/>
      <c r="C2" s="236"/>
      <c r="D2" s="236"/>
      <c r="E2" s="236"/>
      <c r="F2" s="236"/>
    </row>
    <row r="4" spans="1:7" ht="18" customHeight="1" x14ac:dyDescent="0.25">
      <c r="A4" s="22" t="s">
        <v>296</v>
      </c>
    </row>
    <row r="5" spans="1:7" x14ac:dyDescent="0.25">
      <c r="A5" s="23" t="s">
        <v>209</v>
      </c>
      <c r="B5" s="23" t="s">
        <v>297</v>
      </c>
      <c r="C5" s="23" t="s">
        <v>298</v>
      </c>
      <c r="D5" s="23" t="s">
        <v>299</v>
      </c>
      <c r="E5" s="23" t="s">
        <v>300</v>
      </c>
      <c r="F5" s="23" t="s">
        <v>301</v>
      </c>
    </row>
    <row r="6" spans="1:7" x14ac:dyDescent="0.25">
      <c r="A6" s="23">
        <v>1</v>
      </c>
      <c r="B6" s="23">
        <v>2</v>
      </c>
      <c r="C6" s="23">
        <v>3</v>
      </c>
      <c r="D6" s="23">
        <v>4</v>
      </c>
      <c r="E6" s="23">
        <v>5</v>
      </c>
      <c r="F6" s="23">
        <v>6</v>
      </c>
    </row>
    <row r="7" spans="1:7" ht="90" customHeight="1" x14ac:dyDescent="0.25">
      <c r="A7" s="24" t="s">
        <v>302</v>
      </c>
      <c r="B7" s="46" t="s">
        <v>303</v>
      </c>
      <c r="C7" s="25" t="s">
        <v>304</v>
      </c>
      <c r="D7" s="25" t="s">
        <v>305</v>
      </c>
      <c r="E7" s="45">
        <v>47872.94</v>
      </c>
      <c r="F7" s="26" t="s">
        <v>306</v>
      </c>
    </row>
    <row r="8" spans="1:7" ht="30" customHeight="1" x14ac:dyDescent="0.25">
      <c r="A8" s="24" t="s">
        <v>307</v>
      </c>
      <c r="B8" s="26" t="s">
        <v>308</v>
      </c>
      <c r="C8" s="27" t="s">
        <v>309</v>
      </c>
      <c r="D8" s="27" t="s">
        <v>310</v>
      </c>
      <c r="E8" s="28">
        <f>1973/12</f>
        <v>164.41666666667001</v>
      </c>
      <c r="F8" s="29" t="s">
        <v>311</v>
      </c>
      <c r="G8" s="30"/>
    </row>
    <row r="9" spans="1:7" x14ac:dyDescent="0.25">
      <c r="A9" s="24" t="s">
        <v>312</v>
      </c>
      <c r="B9" s="26" t="s">
        <v>313</v>
      </c>
      <c r="C9" s="27" t="s">
        <v>314</v>
      </c>
      <c r="D9" s="27" t="s">
        <v>305</v>
      </c>
      <c r="E9" s="28">
        <v>1</v>
      </c>
      <c r="F9" s="29"/>
      <c r="G9" s="31"/>
    </row>
    <row r="10" spans="1:7" x14ac:dyDescent="0.25">
      <c r="A10" s="24" t="s">
        <v>315</v>
      </c>
      <c r="B10" s="26" t="s">
        <v>316</v>
      </c>
      <c r="C10" s="27"/>
      <c r="D10" s="27"/>
      <c r="E10" s="32">
        <v>3.9</v>
      </c>
      <c r="F10" s="29" t="s">
        <v>317</v>
      </c>
      <c r="G10" s="31"/>
    </row>
    <row r="11" spans="1:7" ht="75" customHeight="1" x14ac:dyDescent="0.25">
      <c r="A11" s="24" t="s">
        <v>318</v>
      </c>
      <c r="B11" s="26" t="s">
        <v>319</v>
      </c>
      <c r="C11" s="27" t="s">
        <v>320</v>
      </c>
      <c r="D11" s="27" t="s">
        <v>305</v>
      </c>
      <c r="E11" s="33">
        <v>1.3240000000000001</v>
      </c>
      <c r="F11" s="26" t="s">
        <v>321</v>
      </c>
    </row>
    <row r="12" spans="1:7" ht="75" customHeight="1" x14ac:dyDescent="0.25">
      <c r="A12" s="24" t="s">
        <v>322</v>
      </c>
      <c r="B12" s="34" t="s">
        <v>323</v>
      </c>
      <c r="C12" s="27" t="s">
        <v>324</v>
      </c>
      <c r="D12" s="27" t="s">
        <v>305</v>
      </c>
      <c r="E12" s="35">
        <v>1.139</v>
      </c>
      <c r="F12" s="36" t="s">
        <v>325</v>
      </c>
      <c r="G12" s="31"/>
    </row>
    <row r="13" spans="1:7" ht="60" customHeight="1" x14ac:dyDescent="0.25">
      <c r="A13" s="24" t="s">
        <v>326</v>
      </c>
      <c r="B13" s="37" t="s">
        <v>327</v>
      </c>
      <c r="C13" s="25" t="s">
        <v>328</v>
      </c>
      <c r="D13" s="25" t="s">
        <v>329</v>
      </c>
      <c r="E13" s="38">
        <f>((E7*E9/E8)*E11)*E12</f>
        <v>439.09244974661999</v>
      </c>
      <c r="F13" s="26" t="s">
        <v>330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2023-11-25T09:59:09Z</cp:lastPrinted>
  <dcterms:created xsi:type="dcterms:W3CDTF">2020-09-30T08:50:27Z</dcterms:created>
  <dcterms:modified xsi:type="dcterms:W3CDTF">2023-11-25T09:59:21Z</dcterms:modified>
  <cp:category/>
</cp:coreProperties>
</file>