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499E1694-8F32-44E4-A82E-2362EE2BED15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Прил.3!$A$1:$H$27</definedName>
    <definedName name="_xlnm.Print_Area" localSheetId="6">'Прил.4 РМ'!$A$1:$E$48</definedName>
    <definedName name="_xlnm.Print_Area" localSheetId="7">'Прил.5 Расчет СМР и ОБ'!$A$1:$J$45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2" i="9"/>
  <c r="G12" i="9" s="1"/>
  <c r="G13" i="9" s="1"/>
  <c r="E12" i="9"/>
  <c r="D12" i="9"/>
  <c r="C12" i="9"/>
  <c r="B12" i="9"/>
  <c r="J31" i="8"/>
  <c r="G31" i="8"/>
  <c r="J25" i="8"/>
  <c r="J23" i="8"/>
  <c r="J22" i="8"/>
  <c r="G22" i="8"/>
  <c r="G23" i="8" s="1"/>
  <c r="G25" i="8" s="1"/>
  <c r="F22" i="8"/>
  <c r="J19" i="8"/>
  <c r="G19" i="8"/>
  <c r="J14" i="8"/>
  <c r="E14" i="8"/>
  <c r="J13" i="8"/>
  <c r="I13" i="8"/>
  <c r="G13" i="8"/>
  <c r="G14" i="8" s="1"/>
  <c r="C25" i="7"/>
  <c r="C22" i="7"/>
  <c r="C18" i="7"/>
  <c r="C17" i="7"/>
  <c r="C16" i="7"/>
  <c r="C14" i="7"/>
  <c r="C13" i="7"/>
  <c r="C12" i="7"/>
  <c r="C11" i="7"/>
  <c r="C20" i="7" s="1"/>
  <c r="H17" i="6"/>
  <c r="H16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D33" i="8" l="1"/>
  <c r="J33" i="8" s="1"/>
  <c r="D34" i="8"/>
  <c r="J34" i="8" s="1"/>
  <c r="D20" i="7"/>
  <c r="H24" i="8"/>
  <c r="H23" i="8"/>
  <c r="G26" i="8"/>
  <c r="J26" i="8" s="1"/>
  <c r="C26" i="7" s="1"/>
  <c r="G14" i="9"/>
  <c r="H22" i="8"/>
  <c r="G32" i="8"/>
  <c r="G35" i="8"/>
  <c r="G36" i="8" s="1"/>
  <c r="G37" i="8" s="1"/>
  <c r="C19" i="7"/>
  <c r="C24" i="7" s="1"/>
  <c r="D18" i="7" s="1"/>
  <c r="J32" i="8"/>
  <c r="H13" i="8"/>
  <c r="J35" i="8" l="1"/>
  <c r="J36" i="8" s="1"/>
  <c r="J37" i="8" s="1"/>
  <c r="D22" i="7"/>
  <c r="D17" i="7"/>
  <c r="D15" i="7"/>
  <c r="D14" i="7"/>
  <c r="C29" i="7"/>
  <c r="C27" i="7"/>
  <c r="D13" i="7"/>
  <c r="D12" i="7"/>
  <c r="D16" i="7"/>
  <c r="D24" i="7"/>
  <c r="D11" i="7"/>
  <c r="C30" i="7" l="1"/>
  <c r="C36" i="7"/>
  <c r="C38" i="7" s="1"/>
  <c r="C37" i="7"/>
  <c r="C39" i="7" l="1"/>
  <c r="C40" i="7" l="1"/>
  <c r="E39" i="7"/>
  <c r="E40" i="7" l="1"/>
  <c r="E33" i="7"/>
  <c r="E11" i="7"/>
  <c r="E17" i="7"/>
  <c r="E35" i="7"/>
  <c r="E14" i="7"/>
  <c r="E12" i="7"/>
  <c r="C41" i="7"/>
  <c r="D11" i="10" s="1"/>
  <c r="E34" i="7"/>
  <c r="E16" i="7"/>
  <c r="E32" i="7"/>
  <c r="E13" i="7"/>
  <c r="E31" i="7"/>
  <c r="E15" i="7"/>
  <c r="E22" i="7"/>
  <c r="E20" i="7"/>
  <c r="E18" i="7"/>
  <c r="E25" i="7"/>
  <c r="E26" i="7"/>
  <c r="E24" i="7"/>
  <c r="E27" i="7"/>
  <c r="E29" i="7"/>
  <c r="E38" i="7"/>
  <c r="E37" i="7"/>
  <c r="E36" i="7"/>
  <c r="E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<sst xmlns="http://schemas.openxmlformats.org/spreadsheetml/2006/main" count="498" uniqueCount="360">
  <si>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</si>
  <si>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</si>
  <si>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</si>
  <si>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</si>
  <si>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</si>
  <si>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</si>
  <si>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</si>
  <si>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</si>
  <si>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</si>
  <si>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</si>
  <si>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</si>
  <si>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</si>
  <si>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</si>
  <si>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</si>
  <si>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</si>
  <si>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</si>
  <si>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</si>
  <si>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</si>
  <si>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</si>
  <si>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</si>
  <si>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</si>
  <si>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</si>
  <si>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</si>
  <si>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</si>
  <si>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</si>
  <si>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</si>
  <si>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</si>
  <si>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</si>
  <si>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</si>
  <si>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</si>
  <si>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</si>
  <si>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</si>
  <si>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</si>
  <si>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</si>
  <si>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</si>
  <si>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</si>
  <si>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</si>
  <si>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</si>
  <si>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</si>
  <si>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</si>
  <si>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</si>
  <si>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</si>
  <si>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</si>
  <si>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</si>
  <si>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</si>
  <si>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</si>
  <si>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</si>
  <si>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ПС 220 кВ</t>
  </si>
  <si>
    <t>Сопоставимый уровень цен: 3 квартал 2021г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</si>
  <si>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</si>
  <si>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</si>
  <si>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</si>
  <si>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</si>
  <si>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</si>
  <si>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</si>
  <si>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</si>
  <si>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</si>
  <si>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</si>
  <si>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</si>
  <si>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</si>
  <si>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Подвесная купольная IP поворотная видеокамера с термокожухом и кронштейном IP66 - 20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</si>
  <si>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</si>
  <si>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</si>
  <si>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</si>
  <si>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</si>
  <si>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</si>
  <si>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</si>
  <si>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</si>
  <si>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</si>
  <si>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</si>
  <si>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</si>
  <si>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</si>
  <si>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</si>
  <si>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</si>
  <si>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</si>
  <si>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</si>
  <si>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</si>
  <si>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</si>
  <si>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</si>
  <si>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</si>
  <si>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</si>
  <si>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ПС 220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</si>
  <si>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</si>
  <si>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</si>
  <si>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</si>
  <si>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</si>
  <si>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</si>
  <si>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</si>
  <si>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</si>
  <si>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</si>
  <si>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Комплекс поворотных камер охранного (технологического) видеонаблюдения ПС 220 кВ</t>
  </si>
  <si>
    <t>Всего по объекту:</t>
  </si>
  <si>
    <t>Всего по объекту в сопоставимом уровне цен 3 кв. 2016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</si>
  <si>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</si>
  <si>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</si>
  <si>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</si>
  <si>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</si>
  <si>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</si>
  <si>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</si>
  <si>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</si>
  <si>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</si>
  <si>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</si>
  <si>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</si>
  <si>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</si>
  <si>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</si>
  <si>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</si>
  <si>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</si>
  <si>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</si>
  <si>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</si>
  <si>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</si>
  <si>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</si>
  <si>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</si>
  <si>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</si>
  <si>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</si>
  <si>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</si>
  <si>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</si>
  <si>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</si>
  <si>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</si>
  <si>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</si>
  <si>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</si>
  <si>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</si>
  <si>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</si>
  <si>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</si>
  <si>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</si>
  <si>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</si>
  <si>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</si>
  <si>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</si>
  <si>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</si>
  <si>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</si>
  <si>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</si>
  <si>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</si>
  <si>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</si>
  <si>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</si>
  <si>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</si>
  <si>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</si>
  <si>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</si>
  <si>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</si>
  <si>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</si>
  <si>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</si>
  <si>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</si>
  <si>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</si>
  <si>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</si>
  <si>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</si>
  <si>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</si>
  <si>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</si>
  <si>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</si>
  <si>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</si>
  <si>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</si>
  <si>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</si>
  <si>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</si>
  <si>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</si>
  <si>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</si>
  <si>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</si>
  <si>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</si>
  <si>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</si>
  <si>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</si>
  <si>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</si>
  <si>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</si>
  <si>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</si>
  <si>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</si>
  <si>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</si>
  <si>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поворотных камер охранного (технологического) видеонаблюдения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</si>
  <si>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</si>
  <si>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</si>
  <si>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</si>
  <si>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</si>
  <si>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</si>
  <si>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</si>
  <si>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</si>
  <si>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</si>
  <si>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</si>
  <si>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</si>
  <si>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</si>
  <si>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</si>
  <si>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</si>
  <si>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Поворотная камера видеонаблюдения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</si>
  <si>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</si>
  <si>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</si>
  <si>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</si>
  <si>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</si>
  <si>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</si>
  <si>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</si>
  <si>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</si>
  <si>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</si>
  <si>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</si>
  <si>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</si>
  <si>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</si>
  <si>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</si>
  <si>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</si>
  <si>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</si>
  <si>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</si>
  <si>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</si>
  <si>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</si>
  <si>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</si>
  <si>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</si>
  <si>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</si>
  <si>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</si>
  <si>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</si>
  <si>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</si>
  <si>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</si>
  <si>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</si>
  <si>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</si>
  <si>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</si>
  <si>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</si>
  <si>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</si>
  <si>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</si>
  <si>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З1_ПС_пов.кам._220_кВ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</si>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</sst>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222250</xdr:colOff>
      <xdr:row>28</xdr:row>
      <xdr:rowOff>102959</xdr:rowOff>
    </xdr:from>
    <xdr:to>
      <xdr:col>2</xdr:col>
      <xdr:colOff>1167052</xdr:colOff>
      <xdr:row>31</xdr:row>
      <xdr:rowOff>10769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8C69307-1677-4FBC-9C17-E2E0A223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893" y="14118316"/>
          <a:ext cx="944802" cy="520132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355601</xdr:colOff>
      <xdr:row>26</xdr:row>
      <xdr:rowOff>245836</xdr:rowOff>
    </xdr:from>
    <xdr:to>
      <xdr:col>2</xdr:col>
      <xdr:colOff>1193800</xdr:colOff>
      <xdr:row>28</xdr:row>
      <xdr:rowOff>20938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DE9FEDE-04E7-4A2D-A8F1-A18DA3E03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244" y="13580836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483054</xdr:colOff>
      <xdr:row>18</xdr:row>
      <xdr:rowOff>96156</xdr:rowOff>
    </xdr:from>
    <xdr:to>
      <xdr:col>2</xdr:col>
      <xdr:colOff>1427856</xdr:colOff>
      <xdr:row>21</xdr:row>
      <xdr:rowOff>8048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448E994-1940-43F6-8A33-E1CA8E42B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768" y="49402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616405</xdr:colOff>
      <xdr:row>15</xdr:row>
      <xdr:rowOff>175078</xdr:rowOff>
    </xdr:from>
    <xdr:to>
      <xdr:col>2</xdr:col>
      <xdr:colOff>1454604</xdr:colOff>
      <xdr:row>18</xdr:row>
      <xdr:rowOff>18217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A5620B-BCCF-4E6D-A2B3-F0705E61A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119" y="4406899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21</xdr:row>
      <xdr:rowOff>168088</xdr:rowOff>
    </xdr:from>
    <xdr:to>
      <xdr:col>2</xdr:col>
      <xdr:colOff>1440102</xdr:colOff>
      <xdr:row>24</xdr:row>
      <xdr:rowOff>87183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4A010B8-0CCD-4437-9915-620345961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235388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628651</xdr:colOff>
      <xdr:row>19</xdr:row>
      <xdr:rowOff>38100</xdr:rowOff>
    </xdr:from>
    <xdr:to>
      <xdr:col>2</xdr:col>
      <xdr:colOff>1466850</xdr:colOff>
      <xdr:row>21</xdr:row>
      <xdr:rowOff>90149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3FFCAC5-60B1-465A-8906-F5A300B8F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1" y="4724400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85724</xdr:rowOff>
    </xdr:from>
    <xdr:to>
      <xdr:col>1</xdr:col>
      <xdr:colOff>1725852</xdr:colOff>
      <xdr:row>46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D9FE98-8431-40C4-BF76-1D503CAAF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062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914401</xdr:colOff>
      <xdr:row>40</xdr:row>
      <xdr:rowOff>123825</xdr:rowOff>
    </xdr:from>
    <xdr:to>
      <xdr:col>1</xdr:col>
      <xdr:colOff>1752600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8C4DAED-A3E9-4218-82C0-3F0B9D7B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759599</xdr:colOff>
      <xdr:row>39</xdr:row>
      <xdr:rowOff>106775</xdr:rowOff>
    </xdr:from>
    <xdr:to>
      <xdr:col>2</xdr:col>
      <xdr:colOff>199451</xdr:colOff>
      <xdr:row>42</xdr:row>
      <xdr:rowOff>59488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66F0042-13F2-4E01-BB7C-A0296A8F0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599" y="9060275"/>
          <a:ext cx="950245" cy="483392"/>
        </a:xfrm>
        <a:prstGeom prst="rect">
          <a:avLst/>
        </a:prstGeom>
      </xdr:spPr>
    </xdr:pic>
    <xdr:clientData/>
  </xdr:twoCellAnchor>
  <xdr:twoCellAnchor editAs="oneCell">
    <xdr:from>
      <xdr:col>1</xdr:col>
      <xdr:colOff>906557</xdr:colOff>
      <xdr:row>37</xdr:row>
      <xdr:rowOff>22412</xdr:rowOff>
    </xdr:from>
    <xdr:to>
      <xdr:col>2</xdr:col>
      <xdr:colOff>239806</xdr:colOff>
      <xdr:row>39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558A14E-739C-4CEA-8C64-6711B9B64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557" y="88616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16</xdr:row>
      <xdr:rowOff>85724</xdr:rowOff>
    </xdr:from>
    <xdr:to>
      <xdr:col>2</xdr:col>
      <xdr:colOff>201852</xdr:colOff>
      <xdr:row>19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4775AD5-2182-4064-BCB4-B668FFE21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3433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13</xdr:row>
      <xdr:rowOff>180975</xdr:rowOff>
    </xdr:from>
    <xdr:to>
      <xdr:col>2</xdr:col>
      <xdr:colOff>228600</xdr:colOff>
      <xdr:row>16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BDB756A-73B7-4DF7-9E11-AE35B9C3B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38100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133349</xdr:rowOff>
    </xdr:from>
    <xdr:to>
      <xdr:col>1</xdr:col>
      <xdr:colOff>801927</xdr:colOff>
      <xdr:row>16</xdr:row>
      <xdr:rowOff>86062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81436F2-04F5-489B-A3D6-4FB7011EC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956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838201</xdr:colOff>
      <xdr:row>10</xdr:row>
      <xdr:rowOff>781050</xdr:rowOff>
    </xdr:from>
    <xdr:to>
      <xdr:col>1</xdr:col>
      <xdr:colOff>828675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31CBB55-1CA9-4A1E-8CC5-B90BE2D2E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1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27</xdr:row>
      <xdr:rowOff>41274</xdr:rowOff>
    </xdr:from>
    <xdr:to>
      <xdr:col>1</xdr:col>
      <xdr:colOff>1897302</xdr:colOff>
      <xdr:row>29</xdr:row>
      <xdr:rowOff>184487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984A599-B410-424C-8115-7157F0596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93440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1085851</xdr:colOff>
      <xdr:row>24</xdr:row>
      <xdr:rowOff>79375</xdr:rowOff>
    </xdr:from>
    <xdr:to>
      <xdr:col>1</xdr:col>
      <xdr:colOff>1924050</xdr:colOff>
      <xdr:row>26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C6F8939-0661-49EA-AB63-21BDAFBBE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1" y="88106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5" t="s">
        <v>0</v>
      </c>
      <c r="B2" s="205"/>
      <c r="C2" s="205"/>
    </row>
    <row r="3" spans="1:3" x14ac:dyDescent="0.25">
      <c r="A3" s="1"/>
      <c r="B3" s="1"/>
      <c r="C3" s="1"/>
    </row>
    <row r="4" spans="1:3" x14ac:dyDescent="0.25">
      <c r="A4" s="206" t="s">
        <v>1</v>
      </c>
      <c r="B4" s="206"/>
      <c r="C4" s="20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7" t="s">
        <v>3</v>
      </c>
      <c r="C6" s="207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1"/>
      <c r="B1" s="111"/>
      <c r="C1" s="111"/>
      <c r="D1" s="111" t="s">
        <v>199</v>
      </c>
    </row>
    <row r="2" spans="1:4" ht="15.75" customHeight="1" x14ac:dyDescent="0.25">
      <c r="A2" s="111"/>
      <c r="B2" s="111"/>
      <c r="C2" s="111"/>
      <c r="D2" s="111"/>
    </row>
    <row r="3" spans="1:4" ht="15.75" customHeight="1" x14ac:dyDescent="0.25">
      <c r="A3" s="111"/>
      <c r="B3" s="137" t="s">
        <v>200</v>
      </c>
      <c r="C3" s="111"/>
      <c r="D3" s="111"/>
    </row>
    <row r="4" spans="1:4" ht="15.75" customHeight="1" x14ac:dyDescent="0.25">
      <c r="A4" s="111"/>
      <c r="B4" s="111"/>
      <c r="C4" s="111"/>
      <c r="D4" s="111"/>
    </row>
    <row r="5" spans="1:4" ht="47.25" customHeight="1" x14ac:dyDescent="0.25">
      <c r="A5" s="260" t="s">
        <v>201</v>
      </c>
      <c r="B5" s="260"/>
      <c r="C5" s="260"/>
      <c r="D5" s="202" t="str">
        <f>'Прил.5 Расчет СМР и ОБ'!D6:J6</f>
        <v>Постоянная часть ПС, комплекс поворотных камер охранного (технологического) видеонаблюдения ПС 220 кВ</v>
      </c>
    </row>
    <row r="6" spans="1:4" ht="15.75" customHeight="1" x14ac:dyDescent="0.25">
      <c r="A6" s="111" t="s">
        <v>49</v>
      </c>
      <c r="B6" s="111"/>
      <c r="C6" s="111"/>
      <c r="D6" s="111"/>
    </row>
    <row r="7" spans="1:4" ht="15.75" customHeight="1" x14ac:dyDescent="0.25">
      <c r="A7" s="111"/>
      <c r="B7" s="111"/>
      <c r="C7" s="111"/>
      <c r="D7" s="111"/>
    </row>
    <row r="8" spans="1:4" x14ac:dyDescent="0.25">
      <c r="A8" s="218" t="s">
        <v>5</v>
      </c>
      <c r="B8" s="218" t="s">
        <v>6</v>
      </c>
      <c r="C8" s="218" t="s">
        <v>202</v>
      </c>
      <c r="D8" s="218" t="s">
        <v>203</v>
      </c>
    </row>
    <row r="9" spans="1:4" x14ac:dyDescent="0.25">
      <c r="A9" s="218"/>
      <c r="B9" s="218"/>
      <c r="C9" s="218"/>
      <c r="D9" s="218"/>
    </row>
    <row r="10" spans="1:4" ht="15.75" customHeight="1" x14ac:dyDescent="0.25">
      <c r="A10" s="120">
        <v>1</v>
      </c>
      <c r="B10" s="120">
        <v>2</v>
      </c>
      <c r="C10" s="120">
        <v>3</v>
      </c>
      <c r="D10" s="120">
        <v>4</v>
      </c>
    </row>
    <row r="11" spans="1:4" ht="63" customHeight="1" x14ac:dyDescent="0.25">
      <c r="A11" s="203" t="s">
        <v>204</v>
      </c>
      <c r="B11" s="203" t="s">
        <v>205</v>
      </c>
      <c r="C11" s="204" t="s">
        <v>206</v>
      </c>
      <c r="D11" s="173">
        <f>'Прил.4 РМ'!C41/1000</f>
        <v>20748.349810000003</v>
      </c>
    </row>
    <row r="13" spans="1:4" x14ac:dyDescent="0.25">
      <c r="A13" s="4" t="s">
        <v>207</v>
      </c>
      <c r="B13" s="12"/>
      <c r="C13" s="12"/>
      <c r="D13" s="24"/>
    </row>
    <row r="14" spans="1:4" x14ac:dyDescent="0.25">
      <c r="A14" s="163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3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11" zoomScale="60" zoomScaleNormal="85" workbookViewId="0">
      <selection activeCell="D30" sqref="D30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2" t="s">
        <v>208</v>
      </c>
      <c r="C4" s="212"/>
      <c r="D4" s="212"/>
    </row>
    <row r="5" spans="2:5" ht="18.75" customHeight="1" x14ac:dyDescent="0.25">
      <c r="B5" s="167"/>
    </row>
    <row r="6" spans="2:5" ht="15.75" customHeight="1" x14ac:dyDescent="0.25">
      <c r="B6" s="213" t="s">
        <v>209</v>
      </c>
      <c r="C6" s="213"/>
      <c r="D6" s="213"/>
    </row>
    <row r="7" spans="2:5" x14ac:dyDescent="0.25">
      <c r="B7" s="261"/>
      <c r="C7" s="261"/>
      <c r="D7" s="261"/>
      <c r="E7" s="261"/>
    </row>
    <row r="8" spans="2:5" x14ac:dyDescent="0.25">
      <c r="B8" s="187"/>
      <c r="C8" s="187"/>
      <c r="D8" s="187"/>
      <c r="E8" s="187"/>
    </row>
    <row r="9" spans="2:5" ht="47.25" customHeight="1" x14ac:dyDescent="0.25">
      <c r="B9" s="120" t="s">
        <v>210</v>
      </c>
      <c r="C9" s="120" t="s">
        <v>211</v>
      </c>
      <c r="D9" s="120" t="s">
        <v>212</v>
      </c>
    </row>
    <row r="10" spans="2:5" ht="15.75" customHeight="1" x14ac:dyDescent="0.25">
      <c r="B10" s="120">
        <v>1</v>
      </c>
      <c r="C10" s="120">
        <v>2</v>
      </c>
      <c r="D10" s="120">
        <v>3</v>
      </c>
    </row>
    <row r="11" spans="2:5" ht="45" customHeight="1" x14ac:dyDescent="0.25">
      <c r="B11" s="120" t="s">
        <v>213</v>
      </c>
      <c r="C11" s="120" t="s">
        <v>214</v>
      </c>
      <c r="D11" s="120">
        <v>44.29</v>
      </c>
    </row>
    <row r="12" spans="2:5" ht="29.25" customHeight="1" x14ac:dyDescent="0.25">
      <c r="B12" s="120" t="s">
        <v>215</v>
      </c>
      <c r="C12" s="120" t="s">
        <v>214</v>
      </c>
      <c r="D12" s="120">
        <v>13.47</v>
      </c>
    </row>
    <row r="13" spans="2:5" ht="29.25" customHeight="1" x14ac:dyDescent="0.25">
      <c r="B13" s="120" t="s">
        <v>216</v>
      </c>
      <c r="C13" s="120" t="s">
        <v>214</v>
      </c>
      <c r="D13" s="120">
        <v>8.0399999999999991</v>
      </c>
    </row>
    <row r="14" spans="2:5" ht="30.75" customHeight="1" x14ac:dyDescent="0.25">
      <c r="B14" s="120" t="s">
        <v>217</v>
      </c>
      <c r="C14" s="115" t="s">
        <v>218</v>
      </c>
      <c r="D14" s="120">
        <v>6.26</v>
      </c>
    </row>
    <row r="15" spans="2:5" ht="89.25" customHeight="1" x14ac:dyDescent="0.25">
      <c r="B15" s="120" t="s">
        <v>219</v>
      </c>
      <c r="C15" s="120" t="s">
        <v>220</v>
      </c>
      <c r="D15" s="168">
        <v>3.9E-2</v>
      </c>
    </row>
    <row r="16" spans="2:5" ht="78.75" customHeight="1" x14ac:dyDescent="0.25">
      <c r="B16" s="120" t="s">
        <v>221</v>
      </c>
      <c r="C16" s="120" t="s">
        <v>222</v>
      </c>
      <c r="D16" s="168">
        <v>2.1000000000000001E-2</v>
      </c>
    </row>
    <row r="17" spans="2:4" ht="34.5" customHeight="1" x14ac:dyDescent="0.25">
      <c r="B17" s="120"/>
      <c r="C17" s="120"/>
      <c r="D17" s="120"/>
    </row>
    <row r="18" spans="2:4" ht="31.5" customHeight="1" x14ac:dyDescent="0.25">
      <c r="B18" s="120" t="s">
        <v>223</v>
      </c>
      <c r="C18" s="120" t="s">
        <v>224</v>
      </c>
      <c r="D18" s="168">
        <v>2.1399999999999999E-2</v>
      </c>
    </row>
    <row r="19" spans="2:4" ht="31.5" customHeight="1" x14ac:dyDescent="0.25">
      <c r="B19" s="120" t="s">
        <v>149</v>
      </c>
      <c r="C19" s="120" t="s">
        <v>225</v>
      </c>
      <c r="D19" s="168">
        <v>2E-3</v>
      </c>
    </row>
    <row r="20" spans="2:4" ht="24" customHeight="1" x14ac:dyDescent="0.25">
      <c r="B20" s="120" t="s">
        <v>151</v>
      </c>
      <c r="C20" s="120" t="s">
        <v>226</v>
      </c>
      <c r="D20" s="168">
        <v>0.03</v>
      </c>
    </row>
    <row r="21" spans="2:4" ht="18.75" customHeight="1" x14ac:dyDescent="0.25">
      <c r="B21" s="169"/>
    </row>
    <row r="22" spans="2:4" ht="18.75" customHeight="1" x14ac:dyDescent="0.25">
      <c r="B22" s="169"/>
    </row>
    <row r="23" spans="2:4" ht="18.75" customHeight="1" x14ac:dyDescent="0.25">
      <c r="B23" s="169"/>
    </row>
    <row r="24" spans="2:4" ht="18.75" customHeight="1" x14ac:dyDescent="0.25">
      <c r="B24" s="169"/>
    </row>
    <row r="27" spans="2:4" x14ac:dyDescent="0.25">
      <c r="B27" s="4" t="s">
        <v>227</v>
      </c>
      <c r="C27" s="12"/>
    </row>
    <row r="28" spans="2:4" x14ac:dyDescent="0.25">
      <c r="B28" s="16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191</v>
      </c>
      <c r="C30" s="12"/>
    </row>
    <row r="31" spans="2:4" x14ac:dyDescent="0.25">
      <c r="B31" s="16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3" t="s">
        <v>228</v>
      </c>
      <c r="B2" s="213"/>
      <c r="C2" s="213"/>
      <c r="D2" s="213"/>
      <c r="E2" s="213"/>
      <c r="F2" s="213"/>
    </row>
    <row r="4" spans="1:7" ht="18" customHeight="1" x14ac:dyDescent="0.25">
      <c r="A4" s="170" t="s">
        <v>229</v>
      </c>
      <c r="B4" s="111"/>
      <c r="C4" s="111"/>
      <c r="D4" s="111"/>
      <c r="E4" s="111"/>
      <c r="F4" s="111"/>
      <c r="G4" s="111"/>
    </row>
    <row r="5" spans="1:7" ht="15.75" customHeight="1" x14ac:dyDescent="0.25">
      <c r="A5" s="171" t="s">
        <v>13</v>
      </c>
      <c r="B5" s="171" t="s">
        <v>230</v>
      </c>
      <c r="C5" s="171" t="s">
        <v>231</v>
      </c>
      <c r="D5" s="171" t="s">
        <v>232</v>
      </c>
      <c r="E5" s="171" t="s">
        <v>233</v>
      </c>
      <c r="F5" s="171" t="s">
        <v>234</v>
      </c>
      <c r="G5" s="111"/>
    </row>
    <row r="6" spans="1:7" ht="15.75" customHeight="1" x14ac:dyDescent="0.25">
      <c r="A6" s="171">
        <v>1</v>
      </c>
      <c r="B6" s="171">
        <v>2</v>
      </c>
      <c r="C6" s="171">
        <v>3</v>
      </c>
      <c r="D6" s="171">
        <v>4</v>
      </c>
      <c r="E6" s="171">
        <v>5</v>
      </c>
      <c r="F6" s="171">
        <v>6</v>
      </c>
      <c r="G6" s="111"/>
    </row>
    <row r="7" spans="1:7" ht="110.25" customHeight="1" x14ac:dyDescent="0.25">
      <c r="A7" s="172" t="s">
        <v>235</v>
      </c>
      <c r="B7" s="114" t="s">
        <v>236</v>
      </c>
      <c r="C7" s="120" t="s">
        <v>237</v>
      </c>
      <c r="D7" s="120" t="s">
        <v>238</v>
      </c>
      <c r="E7" s="173">
        <v>47872.94</v>
      </c>
      <c r="F7" s="114" t="s">
        <v>239</v>
      </c>
      <c r="G7" s="111"/>
    </row>
    <row r="8" spans="1:7" ht="31.5" customHeight="1" x14ac:dyDescent="0.25">
      <c r="A8" s="172" t="s">
        <v>240</v>
      </c>
      <c r="B8" s="114" t="s">
        <v>241</v>
      </c>
      <c r="C8" s="120" t="s">
        <v>242</v>
      </c>
      <c r="D8" s="120" t="s">
        <v>243</v>
      </c>
      <c r="E8" s="173">
        <f>1973/12</f>
        <v>164.41666666667001</v>
      </c>
      <c r="F8" s="114" t="s">
        <v>244</v>
      </c>
      <c r="G8" s="174"/>
    </row>
    <row r="9" spans="1:7" ht="15.75" customHeight="1" x14ac:dyDescent="0.25">
      <c r="A9" s="172" t="s">
        <v>245</v>
      </c>
      <c r="B9" s="114" t="s">
        <v>246</v>
      </c>
      <c r="C9" s="120" t="s">
        <v>247</v>
      </c>
      <c r="D9" s="120" t="s">
        <v>238</v>
      </c>
      <c r="E9" s="173">
        <v>1</v>
      </c>
      <c r="F9" s="114"/>
      <c r="G9" s="174"/>
    </row>
    <row r="10" spans="1:7" ht="15.75" customHeight="1" x14ac:dyDescent="0.25">
      <c r="A10" s="172" t="s">
        <v>248</v>
      </c>
      <c r="B10" s="114" t="s">
        <v>249</v>
      </c>
      <c r="C10" s="120"/>
      <c r="D10" s="120"/>
      <c r="E10" s="175">
        <v>4.9000000000000004</v>
      </c>
      <c r="F10" s="114" t="s">
        <v>250</v>
      </c>
      <c r="G10" s="174"/>
    </row>
    <row r="11" spans="1:7" ht="78.75" customHeight="1" x14ac:dyDescent="0.25">
      <c r="A11" s="172" t="s">
        <v>251</v>
      </c>
      <c r="B11" s="114" t="s">
        <v>252</v>
      </c>
      <c r="C11" s="120" t="s">
        <v>253</v>
      </c>
      <c r="D11" s="120" t="s">
        <v>238</v>
      </c>
      <c r="E11" s="176">
        <v>1.522</v>
      </c>
      <c r="F11" s="114" t="s">
        <v>254</v>
      </c>
      <c r="G11" s="111"/>
    </row>
    <row r="12" spans="1:7" ht="78.75" customHeight="1" x14ac:dyDescent="0.25">
      <c r="A12" s="172" t="s">
        <v>255</v>
      </c>
      <c r="B12" s="113" t="s">
        <v>256</v>
      </c>
      <c r="C12" s="120" t="s">
        <v>257</v>
      </c>
      <c r="D12" s="120" t="s">
        <v>238</v>
      </c>
      <c r="E12" s="177">
        <v>1.139</v>
      </c>
      <c r="F12" s="178" t="s">
        <v>258</v>
      </c>
      <c r="G12" s="174"/>
    </row>
    <row r="13" spans="1:7" ht="63" customHeight="1" x14ac:dyDescent="0.25">
      <c r="A13" s="172" t="s">
        <v>259</v>
      </c>
      <c r="B13" s="131" t="s">
        <v>260</v>
      </c>
      <c r="C13" s="120" t="s">
        <v>261</v>
      </c>
      <c r="D13" s="120" t="s">
        <v>262</v>
      </c>
      <c r="E13" s="179">
        <f>((E7*E9/E8)*E11)*E12</f>
        <v>504.75733271476997</v>
      </c>
      <c r="F13" s="114" t="s">
        <v>263</v>
      </c>
      <c r="G13" s="11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62" t="s">
        <v>264</v>
      </c>
      <c r="B1" s="262"/>
      <c r="C1" s="262"/>
      <c r="D1" s="262"/>
      <c r="E1" s="262"/>
      <c r="F1" s="262"/>
      <c r="G1" s="262"/>
      <c r="H1" s="262"/>
      <c r="I1" s="262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8" t="e">
        <f>#REF!</f>
        <v>#REF!</v>
      </c>
      <c r="B3" s="208"/>
      <c r="C3" s="208"/>
      <c r="D3" s="208"/>
      <c r="E3" s="208"/>
      <c r="F3" s="208"/>
      <c r="G3" s="208"/>
      <c r="H3" s="208"/>
      <c r="I3" s="208"/>
    </row>
    <row r="4" spans="1:13" s="4" customFormat="1" ht="15.75" customHeight="1" x14ac:dyDescent="0.2">
      <c r="A4" s="263"/>
      <c r="B4" s="263"/>
      <c r="C4" s="263"/>
      <c r="D4" s="263"/>
      <c r="E4" s="263"/>
      <c r="F4" s="263"/>
      <c r="G4" s="263"/>
      <c r="H4" s="263"/>
      <c r="I4" s="263"/>
    </row>
    <row r="5" spans="1:13" s="29" customFormat="1" ht="36.6" customHeight="1" x14ac:dyDescent="0.35">
      <c r="A5" s="264" t="s">
        <v>13</v>
      </c>
      <c r="B5" s="264" t="s">
        <v>265</v>
      </c>
      <c r="C5" s="264" t="s">
        <v>266</v>
      </c>
      <c r="D5" s="264" t="s">
        <v>267</v>
      </c>
      <c r="E5" s="259" t="s">
        <v>268</v>
      </c>
      <c r="F5" s="259"/>
      <c r="G5" s="259"/>
      <c r="H5" s="259"/>
      <c r="I5" s="259"/>
    </row>
    <row r="6" spans="1:13" s="24" customFormat="1" ht="31.5" customHeight="1" x14ac:dyDescent="0.2">
      <c r="A6" s="264"/>
      <c r="B6" s="264"/>
      <c r="C6" s="264"/>
      <c r="D6" s="264"/>
      <c r="E6" s="30" t="s">
        <v>86</v>
      </c>
      <c r="F6" s="30" t="s">
        <v>87</v>
      </c>
      <c r="G6" s="30" t="s">
        <v>43</v>
      </c>
      <c r="H6" s="30" t="s">
        <v>269</v>
      </c>
      <c r="I6" s="30" t="s">
        <v>270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139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271</v>
      </c>
      <c r="C9" s="8" t="s">
        <v>272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273</v>
      </c>
      <c r="C11" s="8" t="s">
        <v>221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274</v>
      </c>
      <c r="C12" s="8" t="s">
        <v>275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276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224</v>
      </c>
      <c r="C14" s="8" t="s">
        <v>277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278</v>
      </c>
      <c r="C16" s="8" t="s">
        <v>279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280</v>
      </c>
    </row>
    <row r="17" spans="1:10" s="24" customFormat="1" ht="81.75" customHeight="1" x14ac:dyDescent="0.2">
      <c r="A17" s="31">
        <v>7</v>
      </c>
      <c r="B17" s="8" t="s">
        <v>278</v>
      </c>
      <c r="C17" s="8" t="s">
        <v>281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282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283</v>
      </c>
      <c r="C20" s="8" t="s">
        <v>151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284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285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286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287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288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6" t="s">
        <v>289</v>
      </c>
      <c r="O2" s="266"/>
    </row>
    <row r="3" spans="1:16" x14ac:dyDescent="0.25">
      <c r="A3" s="267" t="s">
        <v>290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5" spans="1:16" ht="37.5" customHeight="1" x14ac:dyDescent="0.25">
      <c r="A5" s="268" t="s">
        <v>291</v>
      </c>
      <c r="B5" s="271" t="s">
        <v>292</v>
      </c>
      <c r="C5" s="274" t="s">
        <v>293</v>
      </c>
      <c r="D5" s="277" t="s">
        <v>294</v>
      </c>
      <c r="E5" s="278"/>
      <c r="F5" s="278"/>
      <c r="G5" s="278"/>
      <c r="H5" s="278"/>
      <c r="I5" s="277" t="s">
        <v>295</v>
      </c>
      <c r="J5" s="278"/>
      <c r="K5" s="278"/>
      <c r="L5" s="278"/>
      <c r="M5" s="278"/>
      <c r="N5" s="278"/>
      <c r="O5" s="47" t="s">
        <v>296</v>
      </c>
    </row>
    <row r="6" spans="1:16" s="50" customFormat="1" ht="150" customHeight="1" x14ac:dyDescent="0.25">
      <c r="A6" s="269"/>
      <c r="B6" s="272"/>
      <c r="C6" s="275"/>
      <c r="D6" s="274" t="s">
        <v>297</v>
      </c>
      <c r="E6" s="279" t="s">
        <v>298</v>
      </c>
      <c r="F6" s="280"/>
      <c r="G6" s="281"/>
      <c r="H6" s="48" t="s">
        <v>299</v>
      </c>
      <c r="I6" s="282" t="s">
        <v>300</v>
      </c>
      <c r="J6" s="282" t="s">
        <v>297</v>
      </c>
      <c r="K6" s="283" t="s">
        <v>298</v>
      </c>
      <c r="L6" s="283"/>
      <c r="M6" s="283"/>
      <c r="N6" s="48" t="s">
        <v>299</v>
      </c>
      <c r="O6" s="49" t="s">
        <v>301</v>
      </c>
    </row>
    <row r="7" spans="1:16" s="50" customFormat="1" ht="30.75" customHeight="1" x14ac:dyDescent="0.25">
      <c r="A7" s="270"/>
      <c r="B7" s="273"/>
      <c r="C7" s="276"/>
      <c r="D7" s="276"/>
      <c r="E7" s="47" t="s">
        <v>86</v>
      </c>
      <c r="F7" s="47" t="s">
        <v>87</v>
      </c>
      <c r="G7" s="47" t="s">
        <v>43</v>
      </c>
      <c r="H7" s="51" t="s">
        <v>302</v>
      </c>
      <c r="I7" s="282"/>
      <c r="J7" s="282"/>
      <c r="K7" s="47" t="s">
        <v>86</v>
      </c>
      <c r="L7" s="47" t="s">
        <v>87</v>
      </c>
      <c r="M7" s="47" t="s">
        <v>43</v>
      </c>
      <c r="N7" s="51" t="s">
        <v>302</v>
      </c>
      <c r="O7" s="47" t="s">
        <v>303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8" t="s">
        <v>304</v>
      </c>
      <c r="C9" s="53" t="s">
        <v>305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70"/>
      <c r="C10" s="56" t="s">
        <v>306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8" t="s">
        <v>307</v>
      </c>
      <c r="C11" s="56" t="s">
        <v>308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70"/>
      <c r="C12" s="56" t="s">
        <v>309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8" t="s">
        <v>310</v>
      </c>
      <c r="C13" s="53" t="s">
        <v>311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70"/>
      <c r="C14" s="56" t="s">
        <v>312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313</v>
      </c>
      <c r="C15" s="56" t="s">
        <v>314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315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316</v>
      </c>
    </row>
    <row r="19" spans="1:15" ht="30.75" customHeight="1" x14ac:dyDescent="0.25">
      <c r="L19" s="68"/>
    </row>
    <row r="20" spans="1:15" ht="15" customHeight="1" outlineLevel="1" x14ac:dyDescent="0.25">
      <c r="G20" s="265" t="s">
        <v>317</v>
      </c>
      <c r="H20" s="265"/>
      <c r="I20" s="265"/>
      <c r="J20" s="265"/>
      <c r="K20" s="265"/>
      <c r="L20" s="265"/>
      <c r="M20" s="265"/>
      <c r="N20" s="265"/>
    </row>
    <row r="21" spans="1:15" ht="15.75" customHeight="1" outlineLevel="1" x14ac:dyDescent="0.25">
      <c r="G21" s="69"/>
      <c r="H21" s="69" t="s">
        <v>318</v>
      </c>
      <c r="I21" s="69" t="s">
        <v>319</v>
      </c>
      <c r="J21" s="69" t="s">
        <v>320</v>
      </c>
      <c r="K21" s="70" t="s">
        <v>321</v>
      </c>
      <c r="L21" s="69" t="s">
        <v>322</v>
      </c>
      <c r="M21" s="69" t="s">
        <v>323</v>
      </c>
      <c r="N21" s="69" t="s">
        <v>324</v>
      </c>
      <c r="O21" s="63"/>
    </row>
    <row r="22" spans="1:15" ht="15.75" customHeight="1" outlineLevel="1" x14ac:dyDescent="0.25">
      <c r="G22" s="285" t="s">
        <v>325</v>
      </c>
      <c r="H22" s="284">
        <v>6.09</v>
      </c>
      <c r="I22" s="286">
        <v>6.44</v>
      </c>
      <c r="J22" s="284">
        <v>5.77</v>
      </c>
      <c r="K22" s="286">
        <v>5.77</v>
      </c>
      <c r="L22" s="284">
        <v>5.23</v>
      </c>
      <c r="M22" s="284">
        <v>5.77</v>
      </c>
      <c r="N22" s="71">
        <v>6.29</v>
      </c>
      <c r="O22" t="s">
        <v>326</v>
      </c>
    </row>
    <row r="23" spans="1:15" ht="15.75" customHeight="1" outlineLevel="1" x14ac:dyDescent="0.25">
      <c r="G23" s="285"/>
      <c r="H23" s="284"/>
      <c r="I23" s="286"/>
      <c r="J23" s="284"/>
      <c r="K23" s="286"/>
      <c r="L23" s="284"/>
      <c r="M23" s="284"/>
      <c r="N23" s="71">
        <v>6.56</v>
      </c>
      <c r="O23" t="s">
        <v>327</v>
      </c>
    </row>
    <row r="24" spans="1:15" ht="15.75" customHeight="1" outlineLevel="1" x14ac:dyDescent="0.25">
      <c r="G24" s="72" t="s">
        <v>328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302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329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330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269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302" t="s">
        <v>331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4" spans="1:18" ht="36.75" customHeight="1" x14ac:dyDescent="0.25">
      <c r="A4" s="268" t="s">
        <v>291</v>
      </c>
      <c r="B4" s="271" t="s">
        <v>292</v>
      </c>
      <c r="C4" s="274" t="s">
        <v>332</v>
      </c>
      <c r="D4" s="274" t="s">
        <v>333</v>
      </c>
      <c r="E4" s="277" t="s">
        <v>334</v>
      </c>
      <c r="F4" s="278"/>
      <c r="G4" s="278"/>
      <c r="H4" s="278"/>
      <c r="I4" s="278"/>
      <c r="J4" s="278"/>
      <c r="K4" s="278"/>
      <c r="L4" s="278"/>
      <c r="M4" s="278"/>
      <c r="N4" s="303" t="s">
        <v>335</v>
      </c>
      <c r="O4" s="304"/>
      <c r="P4" s="304"/>
      <c r="Q4" s="304"/>
      <c r="R4" s="305"/>
    </row>
    <row r="5" spans="1:18" ht="60" customHeight="1" x14ac:dyDescent="0.25">
      <c r="A5" s="269"/>
      <c r="B5" s="272"/>
      <c r="C5" s="275"/>
      <c r="D5" s="275"/>
      <c r="E5" s="282" t="s">
        <v>336</v>
      </c>
      <c r="F5" s="282" t="s">
        <v>337</v>
      </c>
      <c r="G5" s="279" t="s">
        <v>298</v>
      </c>
      <c r="H5" s="280"/>
      <c r="I5" s="280"/>
      <c r="J5" s="281"/>
      <c r="K5" s="282" t="s">
        <v>338</v>
      </c>
      <c r="L5" s="282"/>
      <c r="M5" s="282"/>
      <c r="N5" s="74" t="s">
        <v>339</v>
      </c>
      <c r="O5" s="74" t="s">
        <v>340</v>
      </c>
      <c r="P5" s="74" t="s">
        <v>341</v>
      </c>
      <c r="Q5" s="75" t="s">
        <v>342</v>
      </c>
      <c r="R5" s="74" t="s">
        <v>343</v>
      </c>
    </row>
    <row r="6" spans="1:18" ht="49.5" customHeight="1" x14ac:dyDescent="0.25">
      <c r="A6" s="270"/>
      <c r="B6" s="273"/>
      <c r="C6" s="276"/>
      <c r="D6" s="276"/>
      <c r="E6" s="282"/>
      <c r="F6" s="282"/>
      <c r="G6" s="47" t="s">
        <v>86</v>
      </c>
      <c r="H6" s="47" t="s">
        <v>87</v>
      </c>
      <c r="I6" s="47" t="s">
        <v>43</v>
      </c>
      <c r="J6" s="47" t="s">
        <v>269</v>
      </c>
      <c r="K6" s="47" t="s">
        <v>339</v>
      </c>
      <c r="L6" s="47" t="s">
        <v>340</v>
      </c>
      <c r="M6" s="47" t="s">
        <v>341</v>
      </c>
      <c r="N6" s="47" t="s">
        <v>344</v>
      </c>
      <c r="O6" s="47" t="s">
        <v>345</v>
      </c>
      <c r="P6" s="47" t="s">
        <v>346</v>
      </c>
      <c r="Q6" s="48" t="s">
        <v>347</v>
      </c>
      <c r="R6" s="47" t="s">
        <v>348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8">
        <v>1</v>
      </c>
      <c r="B9" s="268" t="s">
        <v>349</v>
      </c>
      <c r="C9" s="295" t="s">
        <v>305</v>
      </c>
      <c r="D9" s="53" t="s">
        <v>350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70"/>
      <c r="B10" s="269"/>
      <c r="C10" s="296"/>
      <c r="D10" s="53" t="s">
        <v>351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8">
        <v>2</v>
      </c>
      <c r="B11" s="269"/>
      <c r="C11" s="295" t="s">
        <v>352</v>
      </c>
      <c r="D11" s="53" t="s">
        <v>350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70"/>
      <c r="B12" s="270"/>
      <c r="C12" s="296"/>
      <c r="D12" s="53" t="s">
        <v>351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68">
        <v>3</v>
      </c>
      <c r="B13" s="268" t="s">
        <v>307</v>
      </c>
      <c r="C13" s="298" t="s">
        <v>308</v>
      </c>
      <c r="D13" s="53" t="s">
        <v>353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70"/>
      <c r="B14" s="269"/>
      <c r="C14" s="299"/>
      <c r="D14" s="53" t="s">
        <v>351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8">
        <v>4</v>
      </c>
      <c r="B15" s="269"/>
      <c r="C15" s="300" t="s">
        <v>309</v>
      </c>
      <c r="D15" s="56" t="s">
        <v>353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70"/>
      <c r="B16" s="270"/>
      <c r="C16" s="301"/>
      <c r="D16" s="56" t="s">
        <v>351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8">
        <v>5</v>
      </c>
      <c r="B17" s="283" t="s">
        <v>310</v>
      </c>
      <c r="C17" s="295" t="s">
        <v>354</v>
      </c>
      <c r="D17" s="53" t="s">
        <v>355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70"/>
      <c r="B18" s="283"/>
      <c r="C18" s="296"/>
      <c r="D18" s="53" t="s">
        <v>351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8">
        <v>6</v>
      </c>
      <c r="B19" s="283"/>
      <c r="C19" s="295" t="s">
        <v>312</v>
      </c>
      <c r="D19" s="56" t="s">
        <v>353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70"/>
      <c r="B20" s="283"/>
      <c r="C20" s="296"/>
      <c r="D20" s="56" t="s">
        <v>351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8">
        <v>7</v>
      </c>
      <c r="B21" s="268" t="s">
        <v>313</v>
      </c>
      <c r="C21" s="295" t="s">
        <v>314</v>
      </c>
      <c r="D21" s="56" t="s">
        <v>356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70"/>
      <c r="B22" s="270"/>
      <c r="C22" s="296"/>
      <c r="D22" s="79" t="s">
        <v>351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357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7" t="s">
        <v>358</v>
      </c>
      <c r="E26" s="297"/>
      <c r="F26" s="297"/>
      <c r="G26" s="297"/>
      <c r="H26" s="297"/>
      <c r="I26" s="297"/>
      <c r="J26" s="297"/>
      <c r="K26" s="297"/>
      <c r="L26" s="68"/>
      <c r="R26" s="86"/>
    </row>
    <row r="27" spans="1:18" outlineLevel="1" x14ac:dyDescent="0.25">
      <c r="D27" s="87"/>
      <c r="E27" s="87" t="s">
        <v>318</v>
      </c>
      <c r="F27" s="87" t="s">
        <v>319</v>
      </c>
      <c r="G27" s="87" t="s">
        <v>320</v>
      </c>
      <c r="H27" s="88" t="s">
        <v>321</v>
      </c>
      <c r="I27" s="88" t="s">
        <v>322</v>
      </c>
      <c r="J27" s="88" t="s">
        <v>323</v>
      </c>
      <c r="K27" s="59" t="s">
        <v>324</v>
      </c>
    </row>
    <row r="28" spans="1:18" outlineLevel="1" x14ac:dyDescent="0.25">
      <c r="D28" s="291" t="s">
        <v>325</v>
      </c>
      <c r="E28" s="289">
        <v>6.09</v>
      </c>
      <c r="F28" s="293">
        <v>6.63</v>
      </c>
      <c r="G28" s="289">
        <v>5.77</v>
      </c>
      <c r="H28" s="287">
        <v>5.77</v>
      </c>
      <c r="I28" s="287">
        <v>6.35</v>
      </c>
      <c r="J28" s="289">
        <v>5.77</v>
      </c>
      <c r="K28" s="89">
        <v>6.29</v>
      </c>
      <c r="L28" t="s">
        <v>326</v>
      </c>
    </row>
    <row r="29" spans="1:18" outlineLevel="1" x14ac:dyDescent="0.25">
      <c r="D29" s="292"/>
      <c r="E29" s="290"/>
      <c r="F29" s="294"/>
      <c r="G29" s="290"/>
      <c r="H29" s="288"/>
      <c r="I29" s="288"/>
      <c r="J29" s="290"/>
      <c r="K29" s="89">
        <v>6.56</v>
      </c>
      <c r="L29" t="s">
        <v>327</v>
      </c>
    </row>
    <row r="30" spans="1:18" outlineLevel="1" x14ac:dyDescent="0.25">
      <c r="D30" s="90" t="s">
        <v>328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91" t="s">
        <v>302</v>
      </c>
      <c r="E31" s="289">
        <v>11.37</v>
      </c>
      <c r="F31" s="293">
        <v>13.56</v>
      </c>
      <c r="G31" s="289">
        <v>15.91</v>
      </c>
      <c r="H31" s="287">
        <v>15.91</v>
      </c>
      <c r="I31" s="287">
        <v>14.03</v>
      </c>
      <c r="J31" s="289">
        <v>15.91</v>
      </c>
      <c r="K31" s="89">
        <v>8.2899999999999991</v>
      </c>
      <c r="L31" t="s">
        <v>326</v>
      </c>
    </row>
    <row r="32" spans="1:18" outlineLevel="1" x14ac:dyDescent="0.25">
      <c r="D32" s="292"/>
      <c r="E32" s="290"/>
      <c r="F32" s="294"/>
      <c r="G32" s="290"/>
      <c r="H32" s="288"/>
      <c r="I32" s="288"/>
      <c r="J32" s="290"/>
      <c r="K32" s="89">
        <v>11.84</v>
      </c>
      <c r="L32" t="s">
        <v>327</v>
      </c>
    </row>
    <row r="33" spans="4:12" ht="15" customHeight="1" outlineLevel="1" x14ac:dyDescent="0.25">
      <c r="D33" s="91" t="s">
        <v>329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359</v>
      </c>
    </row>
    <row r="34" spans="4:12" outlineLevel="1" x14ac:dyDescent="0.25">
      <c r="D34" s="91" t="s">
        <v>330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359</v>
      </c>
    </row>
    <row r="35" spans="4:12" outlineLevel="1" x14ac:dyDescent="0.25">
      <c r="D35" s="90" t="s">
        <v>269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5" t="s">
        <v>10</v>
      </c>
      <c r="B2" s="205"/>
      <c r="C2" s="205"/>
      <c r="D2" s="205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8"/>
    </row>
    <row r="5" spans="1:4" x14ac:dyDescent="0.25">
      <c r="A5" s="5"/>
      <c r="B5" s="1"/>
      <c r="C5" s="1"/>
    </row>
    <row r="6" spans="1:4" x14ac:dyDescent="0.25">
      <c r="A6" s="205" t="s">
        <v>12</v>
      </c>
      <c r="B6" s="205"/>
      <c r="C6" s="205"/>
      <c r="D6" s="20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9" t="s">
        <v>5</v>
      </c>
      <c r="B15" s="210" t="s">
        <v>15</v>
      </c>
      <c r="C15" s="210"/>
      <c r="D15" s="210"/>
    </row>
    <row r="16" spans="1:4" x14ac:dyDescent="0.25">
      <c r="A16" s="209"/>
      <c r="B16" s="209" t="s">
        <v>17</v>
      </c>
      <c r="C16" s="210" t="s">
        <v>28</v>
      </c>
      <c r="D16" s="210"/>
    </row>
    <row r="17" spans="1:4" ht="39" customHeight="1" x14ac:dyDescent="0.25">
      <c r="A17" s="209"/>
      <c r="B17" s="209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1" t="s">
        <v>29</v>
      </c>
      <c r="B2" s="211"/>
      <c r="C2" s="211"/>
      <c r="D2" s="211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zoomScaleSheetLayoutView="70" workbookViewId="0">
      <selection activeCell="D28" sqref="D28"/>
    </sheetView>
  </sheetViews>
  <sheetFormatPr defaultColWidth="9.140625" defaultRowHeight="15.75" x14ac:dyDescent="0.25"/>
  <cols>
    <col min="1" max="2" width="9.140625" style="111"/>
    <col min="3" max="3" width="36.85546875" style="111" customWidth="1"/>
    <col min="4" max="4" width="36.5703125" style="111" customWidth="1"/>
    <col min="5" max="5" width="17.5703125" style="111" customWidth="1"/>
    <col min="6" max="6" width="18.7109375" style="111" customWidth="1"/>
    <col min="7" max="7" width="9.140625" style="111"/>
  </cols>
  <sheetData>
    <row r="3" spans="2:4" x14ac:dyDescent="0.25">
      <c r="B3" s="212" t="s">
        <v>45</v>
      </c>
      <c r="C3" s="212"/>
      <c r="D3" s="212"/>
    </row>
    <row r="4" spans="2:4" x14ac:dyDescent="0.25">
      <c r="B4" s="213" t="s">
        <v>46</v>
      </c>
      <c r="C4" s="213"/>
      <c r="D4" s="213"/>
    </row>
    <row r="5" spans="2:4" x14ac:dyDescent="0.25">
      <c r="B5" s="112"/>
      <c r="C5" s="112"/>
      <c r="D5" s="112"/>
    </row>
    <row r="6" spans="2:4" x14ac:dyDescent="0.25">
      <c r="B6" s="112"/>
      <c r="C6" s="112"/>
      <c r="D6" s="112"/>
    </row>
    <row r="7" spans="2:4" ht="61.5" customHeight="1" x14ac:dyDescent="0.25">
      <c r="B7" s="214" t="s">
        <v>47</v>
      </c>
      <c r="C7" s="215"/>
      <c r="D7" s="215"/>
    </row>
    <row r="8" spans="2:4" ht="31.5" customHeight="1" x14ac:dyDescent="0.25">
      <c r="B8" s="215" t="s">
        <v>48</v>
      </c>
      <c r="C8" s="215"/>
      <c r="D8" s="215"/>
    </row>
    <row r="9" spans="2:4" x14ac:dyDescent="0.25">
      <c r="B9" s="215" t="s">
        <v>49</v>
      </c>
      <c r="C9" s="215"/>
      <c r="D9" s="215"/>
    </row>
    <row r="10" spans="2:4" x14ac:dyDescent="0.25">
      <c r="B10" s="180"/>
    </row>
    <row r="11" spans="2:4" x14ac:dyDescent="0.25">
      <c r="B11" s="120" t="s">
        <v>33</v>
      </c>
      <c r="C11" s="120" t="s">
        <v>50</v>
      </c>
      <c r="D11" s="113" t="s">
        <v>51</v>
      </c>
    </row>
    <row r="12" spans="2:4" ht="157.5" customHeight="1" x14ac:dyDescent="0.25">
      <c r="B12" s="120">
        <v>1</v>
      </c>
      <c r="C12" s="113" t="s">
        <v>52</v>
      </c>
      <c r="D12" s="203" t="s">
        <v>53</v>
      </c>
    </row>
    <row r="13" spans="2:4" ht="31.5" customHeight="1" x14ac:dyDescent="0.25">
      <c r="B13" s="120">
        <v>2</v>
      </c>
      <c r="C13" s="113" t="s">
        <v>54</v>
      </c>
      <c r="D13" s="203" t="s">
        <v>55</v>
      </c>
    </row>
    <row r="14" spans="2:4" x14ac:dyDescent="0.25">
      <c r="B14" s="120">
        <v>3</v>
      </c>
      <c r="C14" s="113" t="s">
        <v>56</v>
      </c>
      <c r="D14" s="203" t="s">
        <v>57</v>
      </c>
    </row>
    <row r="15" spans="2:4" x14ac:dyDescent="0.25">
      <c r="B15" s="120">
        <v>4</v>
      </c>
      <c r="C15" s="113" t="s">
        <v>58</v>
      </c>
      <c r="D15" s="203">
        <v>1</v>
      </c>
    </row>
    <row r="16" spans="2:4" ht="94.5" customHeight="1" x14ac:dyDescent="0.25">
      <c r="B16" s="120">
        <v>5</v>
      </c>
      <c r="C16" s="115" t="s">
        <v>59</v>
      </c>
      <c r="D16" s="113" t="s">
        <v>60</v>
      </c>
    </row>
    <row r="17" spans="2:6" ht="78.75" customHeight="1" x14ac:dyDescent="0.25">
      <c r="B17" s="120">
        <v>6</v>
      </c>
      <c r="C17" s="115" t="s">
        <v>61</v>
      </c>
      <c r="D17" s="116">
        <f>D18+D19</f>
        <v>17036.170161800001</v>
      </c>
    </row>
    <row r="18" spans="2:6" x14ac:dyDescent="0.25">
      <c r="B18" s="117" t="s">
        <v>62</v>
      </c>
      <c r="C18" s="113" t="s">
        <v>63</v>
      </c>
      <c r="D18" s="116">
        <f>'Прил.2 Расч стоим'!F14</f>
        <v>5.8723698000000004</v>
      </c>
    </row>
    <row r="19" spans="2:6" ht="15.75" customHeight="1" x14ac:dyDescent="0.25">
      <c r="B19" s="117" t="s">
        <v>64</v>
      </c>
      <c r="C19" s="113" t="s">
        <v>65</v>
      </c>
      <c r="D19" s="116">
        <f>'Прил.2 Расч стоим'!H14</f>
        <v>17030.297792000001</v>
      </c>
    </row>
    <row r="20" spans="2:6" ht="16.5" customHeight="1" x14ac:dyDescent="0.25">
      <c r="B20" s="117" t="s">
        <v>66</v>
      </c>
      <c r="C20" s="113" t="s">
        <v>67</v>
      </c>
      <c r="D20" s="116"/>
      <c r="F20" s="118"/>
    </row>
    <row r="21" spans="2:6" ht="35.25" customHeight="1" x14ac:dyDescent="0.25">
      <c r="B21" s="117" t="s">
        <v>68</v>
      </c>
      <c r="C21" s="119" t="s">
        <v>69</v>
      </c>
      <c r="D21" s="116"/>
    </row>
    <row r="22" spans="2:6" x14ac:dyDescent="0.25">
      <c r="B22" s="120">
        <v>7</v>
      </c>
      <c r="C22" s="119" t="s">
        <v>70</v>
      </c>
      <c r="D22" s="120" t="s">
        <v>71</v>
      </c>
    </row>
    <row r="23" spans="2:6" ht="123" customHeight="1" x14ac:dyDescent="0.25">
      <c r="B23" s="120">
        <v>8</v>
      </c>
      <c r="C23" s="121" t="s">
        <v>72</v>
      </c>
      <c r="D23" s="116">
        <f>D17</f>
        <v>17036.170161800001</v>
      </c>
    </row>
    <row r="24" spans="2:6" ht="60.75" customHeight="1" x14ac:dyDescent="0.25">
      <c r="B24" s="120">
        <v>9</v>
      </c>
      <c r="C24" s="115" t="s">
        <v>73</v>
      </c>
      <c r="D24" s="116">
        <f>D17/D15</f>
        <v>17036.170161800001</v>
      </c>
    </row>
    <row r="25" spans="2:6" ht="118.5" customHeight="1" x14ac:dyDescent="0.25">
      <c r="B25" s="120">
        <v>10</v>
      </c>
      <c r="C25" s="113" t="s">
        <v>74</v>
      </c>
      <c r="D25" s="113"/>
    </row>
    <row r="26" spans="2:6" x14ac:dyDescent="0.25">
      <c r="B26" s="122"/>
      <c r="C26" s="123"/>
      <c r="D26" s="123"/>
    </row>
    <row r="27" spans="2:6" ht="37.5" customHeight="1" x14ac:dyDescent="0.25">
      <c r="B27" s="124"/>
    </row>
    <row r="28" spans="2:6" x14ac:dyDescent="0.25">
      <c r="B28" s="111" t="s">
        <v>75</v>
      </c>
    </row>
    <row r="29" spans="2:6" x14ac:dyDescent="0.25">
      <c r="B29" s="124" t="s">
        <v>76</v>
      </c>
    </row>
    <row r="31" spans="2:6" x14ac:dyDescent="0.25">
      <c r="B31" s="111" t="s">
        <v>77</v>
      </c>
    </row>
    <row r="32" spans="2:6" x14ac:dyDescent="0.25">
      <c r="B32" s="12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F18" sqref="F18"/>
    </sheetView>
  </sheetViews>
  <sheetFormatPr defaultColWidth="9.140625" defaultRowHeight="15.75" x14ac:dyDescent="0.25"/>
  <cols>
    <col min="1" max="1" width="5.5703125" style="111" customWidth="1"/>
    <col min="2" max="2" width="9.140625" style="111"/>
    <col min="3" max="3" width="35.28515625" style="111" customWidth="1"/>
    <col min="4" max="4" width="13.85546875" style="111" customWidth="1"/>
    <col min="5" max="5" width="24.85546875" style="111" customWidth="1"/>
    <col min="6" max="6" width="15.5703125" style="111" customWidth="1"/>
    <col min="7" max="7" width="14.85546875" style="111" customWidth="1"/>
    <col min="8" max="8" width="16.7109375" style="111" customWidth="1"/>
    <col min="9" max="10" width="13" style="111" customWidth="1"/>
    <col min="11" max="11" width="18" style="111" customWidth="1"/>
    <col min="12" max="12" width="9.140625" style="111"/>
  </cols>
  <sheetData>
    <row r="3" spans="2:12" x14ac:dyDescent="0.25">
      <c r="B3" s="212" t="s">
        <v>79</v>
      </c>
      <c r="C3" s="212"/>
      <c r="D3" s="212"/>
      <c r="E3" s="212"/>
      <c r="F3" s="212"/>
      <c r="G3" s="212"/>
      <c r="H3" s="212"/>
      <c r="I3" s="212"/>
      <c r="J3" s="212"/>
      <c r="K3" s="124"/>
    </row>
    <row r="4" spans="2:12" x14ac:dyDescent="0.25">
      <c r="B4" s="213" t="s">
        <v>80</v>
      </c>
      <c r="C4" s="213"/>
      <c r="D4" s="213"/>
      <c r="E4" s="213"/>
      <c r="F4" s="213"/>
      <c r="G4" s="213"/>
      <c r="H4" s="213"/>
      <c r="I4" s="213"/>
      <c r="J4" s="213"/>
      <c r="K4" s="213"/>
    </row>
    <row r="5" spans="2:12" x14ac:dyDescent="0.25">
      <c r="B5" s="112"/>
      <c r="C5" s="112"/>
      <c r="D5" s="112"/>
      <c r="E5" s="112"/>
      <c r="F5" s="112"/>
      <c r="G5" s="112"/>
      <c r="H5" s="112"/>
      <c r="I5" s="112"/>
      <c r="J5" s="112"/>
      <c r="K5" s="112"/>
    </row>
    <row r="6" spans="2:12" ht="33" customHeight="1" x14ac:dyDescent="0.25">
      <c r="B6" s="217" t="s">
        <v>81</v>
      </c>
      <c r="C6" s="217"/>
      <c r="D6" s="217"/>
      <c r="E6" s="217"/>
      <c r="F6" s="217"/>
      <c r="G6" s="217"/>
      <c r="H6" s="217"/>
      <c r="I6" s="217"/>
      <c r="J6" s="217"/>
      <c r="K6" s="124"/>
      <c r="L6" s="125"/>
    </row>
    <row r="7" spans="2:12" x14ac:dyDescent="0.25">
      <c r="B7" s="215" t="s">
        <v>49</v>
      </c>
      <c r="C7" s="215"/>
      <c r="D7" s="215"/>
      <c r="E7" s="215"/>
      <c r="F7" s="215"/>
      <c r="G7" s="215"/>
      <c r="H7" s="215"/>
      <c r="I7" s="215"/>
      <c r="J7" s="215"/>
      <c r="K7" s="215"/>
      <c r="L7" s="125"/>
    </row>
    <row r="8" spans="2:12" x14ac:dyDescent="0.25">
      <c r="B8" s="180"/>
    </row>
    <row r="9" spans="2:12" ht="15.75" customHeight="1" x14ac:dyDescent="0.25">
      <c r="B9" s="218" t="s">
        <v>33</v>
      </c>
      <c r="C9" s="218" t="s">
        <v>82</v>
      </c>
      <c r="D9" s="218" t="s">
        <v>51</v>
      </c>
      <c r="E9" s="218"/>
      <c r="F9" s="218"/>
      <c r="G9" s="218"/>
      <c r="H9" s="218"/>
      <c r="I9" s="218"/>
      <c r="J9" s="218"/>
    </row>
    <row r="10" spans="2:12" ht="15.75" customHeight="1" x14ac:dyDescent="0.25">
      <c r="B10" s="218"/>
      <c r="C10" s="218"/>
      <c r="D10" s="218" t="s">
        <v>83</v>
      </c>
      <c r="E10" s="218" t="s">
        <v>84</v>
      </c>
      <c r="F10" s="218" t="s">
        <v>85</v>
      </c>
      <c r="G10" s="218"/>
      <c r="H10" s="218"/>
      <c r="I10" s="218"/>
      <c r="J10" s="218"/>
    </row>
    <row r="11" spans="2:12" ht="31.5" customHeight="1" x14ac:dyDescent="0.25">
      <c r="B11" s="218"/>
      <c r="C11" s="218"/>
      <c r="D11" s="218"/>
      <c r="E11" s="218"/>
      <c r="F11" s="120" t="s">
        <v>86</v>
      </c>
      <c r="G11" s="120" t="s">
        <v>87</v>
      </c>
      <c r="H11" s="120" t="s">
        <v>43</v>
      </c>
      <c r="I11" s="120" t="s">
        <v>88</v>
      </c>
      <c r="J11" s="120" t="s">
        <v>89</v>
      </c>
    </row>
    <row r="12" spans="2:12" ht="63" customHeight="1" x14ac:dyDescent="0.25">
      <c r="B12" s="181"/>
      <c r="C12" s="135" t="s">
        <v>90</v>
      </c>
      <c r="D12" s="126"/>
      <c r="E12" s="114"/>
      <c r="F12" s="219">
        <v>5.8723698000000004</v>
      </c>
      <c r="G12" s="220"/>
      <c r="H12" s="127">
        <v>17030.297792000001</v>
      </c>
      <c r="I12" s="128"/>
      <c r="J12" s="129">
        <v>17036.170161800001</v>
      </c>
    </row>
    <row r="13" spans="2:12" ht="15.75" customHeight="1" x14ac:dyDescent="0.25">
      <c r="B13" s="216" t="s">
        <v>91</v>
      </c>
      <c r="C13" s="216"/>
      <c r="D13" s="216"/>
      <c r="E13" s="216"/>
      <c r="F13" s="130"/>
      <c r="G13" s="130"/>
      <c r="H13" s="130"/>
      <c r="I13" s="131"/>
      <c r="J13" s="132"/>
    </row>
    <row r="14" spans="2:12" ht="28.5" customHeight="1" x14ac:dyDescent="0.25">
      <c r="B14" s="216" t="s">
        <v>92</v>
      </c>
      <c r="C14" s="216"/>
      <c r="D14" s="216"/>
      <c r="E14" s="216"/>
      <c r="F14" s="221">
        <f>F12</f>
        <v>5.8723698000000004</v>
      </c>
      <c r="G14" s="222"/>
      <c r="H14" s="130">
        <f>H12</f>
        <v>17030.297792000001</v>
      </c>
      <c r="I14" s="131"/>
      <c r="J14" s="132">
        <f>J12</f>
        <v>17036.170161800001</v>
      </c>
    </row>
    <row r="15" spans="2:12" x14ac:dyDescent="0.25">
      <c r="B15" s="180"/>
    </row>
    <row r="18" spans="2:2" x14ac:dyDescent="0.25">
      <c r="B18" s="111" t="s">
        <v>75</v>
      </c>
    </row>
    <row r="19" spans="2:2" x14ac:dyDescent="0.25">
      <c r="B19" s="124" t="s">
        <v>76</v>
      </c>
    </row>
    <row r="21" spans="2:2" x14ac:dyDescent="0.25">
      <c r="B21" s="111" t="s">
        <v>77</v>
      </c>
    </row>
    <row r="22" spans="2:2" x14ac:dyDescent="0.25">
      <c r="B22" s="12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L25"/>
  <sheetViews>
    <sheetView view="pageBreakPreview" zoomScale="70" zoomScaleSheetLayoutView="70" workbookViewId="0">
      <selection activeCell="G181" sqref="G181"/>
    </sheetView>
  </sheetViews>
  <sheetFormatPr defaultColWidth="9.140625" defaultRowHeight="15.75" x14ac:dyDescent="0.25"/>
  <cols>
    <col min="1" max="1" width="9.140625" style="111"/>
    <col min="2" max="2" width="12.5703125" style="111" customWidth="1"/>
    <col min="3" max="3" width="22.42578125" style="111" customWidth="1"/>
    <col min="4" max="4" width="49.7109375" style="111" customWidth="1"/>
    <col min="5" max="5" width="10.140625" style="133" customWidth="1"/>
    <col min="6" max="6" width="20.7109375" style="111" customWidth="1"/>
    <col min="7" max="7" width="16.140625" style="111" customWidth="1"/>
    <col min="8" max="8" width="16.7109375" style="111" customWidth="1"/>
    <col min="9" max="9" width="9.140625" style="111"/>
    <col min="10" max="10" width="10.28515625" style="111" customWidth="1"/>
    <col min="11" max="11" width="9.140625" style="111"/>
  </cols>
  <sheetData>
    <row r="4" spans="1:12" x14ac:dyDescent="0.25">
      <c r="A4" s="212" t="s">
        <v>93</v>
      </c>
      <c r="B4" s="212"/>
      <c r="C4" s="212"/>
      <c r="D4" s="212"/>
      <c r="E4" s="212"/>
      <c r="F4" s="212"/>
      <c r="G4" s="212"/>
      <c r="H4" s="212"/>
    </row>
    <row r="5" spans="1:12" x14ac:dyDescent="0.25">
      <c r="A5" s="213" t="s">
        <v>94</v>
      </c>
      <c r="B5" s="213"/>
      <c r="C5" s="213"/>
      <c r="D5" s="213"/>
      <c r="E5" s="213"/>
      <c r="F5" s="213"/>
      <c r="G5" s="213"/>
      <c r="H5" s="213"/>
    </row>
    <row r="6" spans="1:12" x14ac:dyDescent="0.25">
      <c r="A6" s="180"/>
    </row>
    <row r="7" spans="1:12" x14ac:dyDescent="0.25">
      <c r="A7" s="226" t="s">
        <v>95</v>
      </c>
      <c r="B7" s="226"/>
      <c r="C7" s="226"/>
      <c r="D7" s="226"/>
      <c r="E7" s="226"/>
      <c r="F7" s="226"/>
      <c r="G7" s="226"/>
      <c r="H7" s="226"/>
    </row>
    <row r="8" spans="1:12" x14ac:dyDescent="0.25">
      <c r="A8" s="134"/>
      <c r="B8" s="134"/>
      <c r="C8" s="134"/>
      <c r="D8" s="134"/>
      <c r="E8" s="112"/>
      <c r="F8" s="134"/>
      <c r="G8" s="134"/>
      <c r="H8" s="134"/>
    </row>
    <row r="9" spans="1:12" ht="38.25" customHeight="1" x14ac:dyDescent="0.25">
      <c r="A9" s="218" t="s">
        <v>96</v>
      </c>
      <c r="B9" s="218" t="s">
        <v>97</v>
      </c>
      <c r="C9" s="218" t="s">
        <v>98</v>
      </c>
      <c r="D9" s="218" t="s">
        <v>99</v>
      </c>
      <c r="E9" s="218" t="s">
        <v>100</v>
      </c>
      <c r="F9" s="218" t="s">
        <v>101</v>
      </c>
      <c r="G9" s="218" t="s">
        <v>102</v>
      </c>
      <c r="H9" s="218"/>
    </row>
    <row r="10" spans="1:12" ht="40.5" customHeight="1" x14ac:dyDescent="0.25">
      <c r="A10" s="218"/>
      <c r="B10" s="218"/>
      <c r="C10" s="218"/>
      <c r="D10" s="218"/>
      <c r="E10" s="218"/>
      <c r="F10" s="218"/>
      <c r="G10" s="120" t="s">
        <v>103</v>
      </c>
      <c r="H10" s="120" t="s">
        <v>104</v>
      </c>
    </row>
    <row r="11" spans="1:12" x14ac:dyDescent="0.25">
      <c r="A11" s="135">
        <v>1</v>
      </c>
      <c r="B11" s="135"/>
      <c r="C11" s="135">
        <v>2</v>
      </c>
      <c r="D11" s="135" t="s">
        <v>105</v>
      </c>
      <c r="E11" s="135">
        <v>4</v>
      </c>
      <c r="F11" s="135">
        <v>5</v>
      </c>
      <c r="G11" s="135">
        <v>6</v>
      </c>
      <c r="H11" s="135">
        <v>7</v>
      </c>
    </row>
    <row r="12" spans="1:12" s="137" customFormat="1" x14ac:dyDescent="0.25">
      <c r="A12" s="223" t="s">
        <v>106</v>
      </c>
      <c r="B12" s="224"/>
      <c r="C12" s="225"/>
      <c r="D12" s="225"/>
      <c r="E12" s="224"/>
      <c r="F12" s="136">
        <f>SUM(F13:F13)</f>
        <v>62.199145776370003</v>
      </c>
      <c r="G12" s="136"/>
      <c r="H12" s="136">
        <f>SUM(H13:H13)</f>
        <v>680.46</v>
      </c>
      <c r="I12" s="111"/>
      <c r="J12" s="111"/>
      <c r="K12" s="111"/>
      <c r="L12" s="111"/>
    </row>
    <row r="13" spans="1:12" x14ac:dyDescent="0.25">
      <c r="A13" s="138">
        <v>1</v>
      </c>
      <c r="B13" s="139" t="s">
        <v>107</v>
      </c>
      <c r="C13" s="140" t="s">
        <v>108</v>
      </c>
      <c r="D13" s="141" t="s">
        <v>109</v>
      </c>
      <c r="E13" s="142" t="s">
        <v>110</v>
      </c>
      <c r="F13" s="149">
        <v>62.199145776370003</v>
      </c>
      <c r="G13" s="143">
        <v>10.94</v>
      </c>
      <c r="H13" s="143">
        <f>ROUND(F13*G13,2)</f>
        <v>680.46</v>
      </c>
    </row>
    <row r="14" spans="1:12" x14ac:dyDescent="0.25">
      <c r="A14" s="223" t="s">
        <v>111</v>
      </c>
      <c r="B14" s="224"/>
      <c r="C14" s="225"/>
      <c r="D14" s="225"/>
      <c r="E14" s="224"/>
      <c r="F14" s="182"/>
      <c r="G14" s="136"/>
      <c r="H14" s="136"/>
    </row>
    <row r="15" spans="1:12" s="137" customFormat="1" x14ac:dyDescent="0.25">
      <c r="A15" s="223" t="s">
        <v>112</v>
      </c>
      <c r="B15" s="224"/>
      <c r="C15" s="225"/>
      <c r="D15" s="225"/>
      <c r="E15" s="224"/>
      <c r="F15" s="182"/>
      <c r="G15" s="136"/>
      <c r="H15" s="136">
        <v>0</v>
      </c>
      <c r="I15" s="111"/>
      <c r="J15" s="111"/>
      <c r="K15" s="111"/>
      <c r="L15" s="111"/>
    </row>
    <row r="16" spans="1:12" x14ac:dyDescent="0.25">
      <c r="A16" s="223" t="s">
        <v>43</v>
      </c>
      <c r="B16" s="224"/>
      <c r="C16" s="225"/>
      <c r="D16" s="225"/>
      <c r="E16" s="224"/>
      <c r="F16" s="182"/>
      <c r="G16" s="136"/>
      <c r="H16" s="136">
        <f>SUM(H17:H17)</f>
        <v>3063003.2</v>
      </c>
    </row>
    <row r="17" spans="1:12" s="137" customFormat="1" ht="47.25" customHeight="1" x14ac:dyDescent="0.25">
      <c r="A17" s="138">
        <v>2</v>
      </c>
      <c r="B17" s="138" t="s">
        <v>107</v>
      </c>
      <c r="C17" s="141" t="s">
        <v>113</v>
      </c>
      <c r="D17" s="141" t="s">
        <v>114</v>
      </c>
      <c r="E17" s="142" t="s">
        <v>115</v>
      </c>
      <c r="F17" s="138">
        <v>20</v>
      </c>
      <c r="G17" s="143">
        <v>153150.16</v>
      </c>
      <c r="H17" s="143">
        <f>ROUND(F17*G17,2)</f>
        <v>3063003.2</v>
      </c>
      <c r="I17" s="111"/>
      <c r="J17" s="111"/>
      <c r="K17" s="111"/>
      <c r="L17" s="111"/>
    </row>
    <row r="18" spans="1:12" x14ac:dyDescent="0.25">
      <c r="A18" s="223" t="s">
        <v>116</v>
      </c>
      <c r="B18" s="224"/>
      <c r="C18" s="225"/>
      <c r="D18" s="225"/>
      <c r="E18" s="224"/>
      <c r="F18" s="182"/>
      <c r="G18" s="136"/>
      <c r="H18" s="136">
        <v>0</v>
      </c>
    </row>
    <row r="21" spans="1:12" x14ac:dyDescent="0.25">
      <c r="B21" s="111" t="s">
        <v>75</v>
      </c>
    </row>
    <row r="22" spans="1:12" x14ac:dyDescent="0.25">
      <c r="B22" s="124" t="s">
        <v>76</v>
      </c>
    </row>
    <row r="24" spans="1:12" x14ac:dyDescent="0.25">
      <c r="B24" s="111" t="s">
        <v>77</v>
      </c>
    </row>
    <row r="25" spans="1:12" x14ac:dyDescent="0.25">
      <c r="B25" s="124" t="s">
        <v>78</v>
      </c>
    </row>
  </sheetData>
  <mergeCells count="15">
    <mergeCell ref="A14:E14"/>
    <mergeCell ref="A18:E18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G50"/>
  <sheetViews>
    <sheetView view="pageBreakPreview" topLeftCell="A33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3.5703125" customWidth="1"/>
    <col min="8" max="8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5" t="s">
        <v>118</v>
      </c>
      <c r="C5" s="205"/>
      <c r="D5" s="205"/>
      <c r="E5" s="205"/>
    </row>
    <row r="6" spans="2:5" x14ac:dyDescent="0.25">
      <c r="B6" s="144"/>
      <c r="C6" s="4"/>
      <c r="D6" s="4"/>
      <c r="E6" s="4"/>
    </row>
    <row r="7" spans="2:5" ht="25.5" customHeight="1" x14ac:dyDescent="0.25">
      <c r="B7" s="227" t="s">
        <v>47</v>
      </c>
      <c r="C7" s="227"/>
      <c r="D7" s="227"/>
      <c r="E7" s="227"/>
    </row>
    <row r="8" spans="2:5" x14ac:dyDescent="0.25">
      <c r="B8" s="228" t="s">
        <v>49</v>
      </c>
      <c r="C8" s="228"/>
      <c r="D8" s="228"/>
      <c r="E8" s="228"/>
    </row>
    <row r="9" spans="2:5" x14ac:dyDescent="0.25">
      <c r="B9" s="144"/>
      <c r="C9" s="4"/>
      <c r="D9" s="4"/>
      <c r="E9" s="4"/>
    </row>
    <row r="10" spans="2:5" ht="51" customHeight="1" x14ac:dyDescent="0.25">
      <c r="B10" s="2" t="s">
        <v>119</v>
      </c>
      <c r="C10" s="2" t="s">
        <v>120</v>
      </c>
      <c r="D10" s="2" t="s">
        <v>121</v>
      </c>
      <c r="E10" s="2" t="s">
        <v>122</v>
      </c>
    </row>
    <row r="11" spans="2:5" x14ac:dyDescent="0.25">
      <c r="B11" s="105" t="s">
        <v>123</v>
      </c>
      <c r="C11" s="106">
        <f>'Прил.5 Расчет СМР и ОБ'!J14</f>
        <v>31395.47</v>
      </c>
      <c r="D11" s="107">
        <f t="shared" ref="D11:D18" si="0">C11/$C$24</f>
        <v>0.42372880898423898</v>
      </c>
      <c r="E11" s="107">
        <f t="shared" ref="E11:E18" si="1">C11/$C$40</f>
        <v>1.5131550358220994E-3</v>
      </c>
    </row>
    <row r="12" spans="2:5" x14ac:dyDescent="0.25">
      <c r="B12" s="105" t="s">
        <v>124</v>
      </c>
      <c r="C12" s="106">
        <f>'Прил.5 Расчет СМР и ОБ'!J17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125</v>
      </c>
      <c r="C13" s="106">
        <f>'Прил.5 Расчет СМР и ОБ'!J18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126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127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128</v>
      </c>
      <c r="C16" s="106">
        <f>'Прил.5 Расчет СМР и ОБ'!J29</f>
        <v>0</v>
      </c>
      <c r="D16" s="107">
        <f t="shared" si="0"/>
        <v>0</v>
      </c>
      <c r="E16" s="107">
        <f t="shared" si="1"/>
        <v>0</v>
      </c>
    </row>
    <row r="17" spans="2:5" x14ac:dyDescent="0.25">
      <c r="B17" s="105" t="s">
        <v>129</v>
      </c>
      <c r="C17" s="106">
        <f>'Прил.5 Расчет СМР и ОБ'!J30</f>
        <v>0</v>
      </c>
      <c r="D17" s="107">
        <f t="shared" si="0"/>
        <v>0</v>
      </c>
      <c r="E17" s="107">
        <f t="shared" si="1"/>
        <v>0</v>
      </c>
    </row>
    <row r="18" spans="2:5" x14ac:dyDescent="0.25">
      <c r="B18" s="105" t="s">
        <v>130</v>
      </c>
      <c r="C18" s="106">
        <f>C17+C16</f>
        <v>0</v>
      </c>
      <c r="D18" s="107">
        <f t="shared" si="0"/>
        <v>0</v>
      </c>
      <c r="E18" s="107">
        <f t="shared" si="1"/>
        <v>0</v>
      </c>
    </row>
    <row r="19" spans="2:5" x14ac:dyDescent="0.25">
      <c r="B19" s="105" t="s">
        <v>131</v>
      </c>
      <c r="C19" s="106">
        <f>C18+C14+C11</f>
        <v>31395.47</v>
      </c>
      <c r="D19" s="107"/>
      <c r="E19" s="105"/>
    </row>
    <row r="20" spans="2:5" x14ac:dyDescent="0.25">
      <c r="B20" s="105" t="s">
        <v>132</v>
      </c>
      <c r="C20" s="106">
        <f>ROUND(C21*(C11+C15),2)</f>
        <v>14441.92</v>
      </c>
      <c r="D20" s="107">
        <f>C20/$C$24</f>
        <v>0.19491530341943153</v>
      </c>
      <c r="E20" s="107">
        <f>C20/$C$40</f>
        <v>6.9605149962526092E-4</v>
      </c>
    </row>
    <row r="21" spans="2:5" x14ac:dyDescent="0.25">
      <c r="B21" s="105" t="s">
        <v>133</v>
      </c>
      <c r="C21" s="189">
        <v>0.46</v>
      </c>
      <c r="D21" s="107"/>
      <c r="E21" s="105"/>
    </row>
    <row r="22" spans="2:5" x14ac:dyDescent="0.25">
      <c r="B22" s="105" t="s">
        <v>134</v>
      </c>
      <c r="C22" s="106">
        <f>ROUND(C23*(C11+C15),2)</f>
        <v>28255.919999999998</v>
      </c>
      <c r="D22" s="107">
        <f>C22/$C$24</f>
        <v>0.38135588759632955</v>
      </c>
      <c r="E22" s="107">
        <f>C22/$C$40</f>
        <v>1.3618393876500771E-3</v>
      </c>
    </row>
    <row r="23" spans="2:5" x14ac:dyDescent="0.25">
      <c r="B23" s="105" t="s">
        <v>135</v>
      </c>
      <c r="C23" s="189">
        <v>0.9</v>
      </c>
      <c r="D23" s="107"/>
      <c r="E23" s="105"/>
    </row>
    <row r="24" spans="2:5" x14ac:dyDescent="0.25">
      <c r="B24" s="105" t="s">
        <v>136</v>
      </c>
      <c r="C24" s="106">
        <f>C19+C20+C22</f>
        <v>74093.31</v>
      </c>
      <c r="D24" s="107">
        <f>C24/$C$24</f>
        <v>1</v>
      </c>
      <c r="E24" s="107">
        <f>C24/$C$40</f>
        <v>3.5710459230974372E-3</v>
      </c>
    </row>
    <row r="25" spans="2:5" ht="25.5" customHeight="1" x14ac:dyDescent="0.25">
      <c r="B25" s="105" t="s">
        <v>137</v>
      </c>
      <c r="C25" s="106">
        <f>'Прил.5 Расчет СМР и ОБ'!J25</f>
        <v>19174400</v>
      </c>
      <c r="D25" s="107"/>
      <c r="E25" s="107">
        <f>C25/$C$40</f>
        <v>0.92414096424953218</v>
      </c>
    </row>
    <row r="26" spans="2:5" ht="25.5" customHeight="1" x14ac:dyDescent="0.25">
      <c r="B26" s="105" t="s">
        <v>138</v>
      </c>
      <c r="C26" s="106">
        <f>'Прил.5 Расчет СМР и ОБ'!J26</f>
        <v>19174400.030000001</v>
      </c>
      <c r="D26" s="107"/>
      <c r="E26" s="107">
        <f>C26/$C$40</f>
        <v>0.92414096569543036</v>
      </c>
    </row>
    <row r="27" spans="2:5" x14ac:dyDescent="0.25">
      <c r="B27" s="105" t="s">
        <v>139</v>
      </c>
      <c r="C27" s="109">
        <f>C24+C25</f>
        <v>19248493.309999999</v>
      </c>
      <c r="D27" s="107"/>
      <c r="E27" s="107">
        <f>C27/$C$40</f>
        <v>0.9277120101726295</v>
      </c>
    </row>
    <row r="28" spans="2:5" ht="33" customHeight="1" x14ac:dyDescent="0.25">
      <c r="B28" s="105" t="s">
        <v>140</v>
      </c>
      <c r="C28" s="105"/>
      <c r="D28" s="105"/>
      <c r="E28" s="105"/>
    </row>
    <row r="29" spans="2:5" ht="25.5" customHeight="1" x14ac:dyDescent="0.25">
      <c r="B29" s="105" t="s">
        <v>141</v>
      </c>
      <c r="C29" s="109">
        <f>ROUND(C24*3.9%,2)</f>
        <v>2889.64</v>
      </c>
      <c r="D29" s="105"/>
      <c r="E29" s="107">
        <f t="shared" ref="E29:E38" si="2">C29/$C$40</f>
        <v>1.3927083485970972E-4</v>
      </c>
    </row>
    <row r="30" spans="2:5" ht="38.25" customHeight="1" x14ac:dyDescent="0.25">
      <c r="B30" s="105" t="s">
        <v>142</v>
      </c>
      <c r="C30" s="200">
        <f>ROUND((C24+C29)*2.1%,2)</f>
        <v>1616.64</v>
      </c>
      <c r="D30" s="201"/>
      <c r="E30" s="107">
        <f t="shared" si="2"/>
        <v>7.7916557933722244E-5</v>
      </c>
    </row>
    <row r="31" spans="2:5" x14ac:dyDescent="0.25">
      <c r="B31" s="105" t="s">
        <v>143</v>
      </c>
      <c r="C31" s="200">
        <v>511550</v>
      </c>
      <c r="D31" s="201"/>
      <c r="E31" s="107">
        <f t="shared" si="2"/>
        <v>2.4654972789857735E-2</v>
      </c>
    </row>
    <row r="32" spans="2:5" ht="25.5" customHeight="1" x14ac:dyDescent="0.25">
      <c r="B32" s="105" t="s">
        <v>144</v>
      </c>
      <c r="C32" s="200">
        <v>0</v>
      </c>
      <c r="D32" s="201"/>
      <c r="E32" s="107">
        <f t="shared" si="2"/>
        <v>0</v>
      </c>
    </row>
    <row r="33" spans="2:7" ht="25.5" customHeight="1" x14ac:dyDescent="0.25">
      <c r="B33" s="105" t="s">
        <v>145</v>
      </c>
      <c r="C33" s="109">
        <v>0</v>
      </c>
      <c r="D33" s="105"/>
      <c r="E33" s="107">
        <f t="shared" si="2"/>
        <v>0</v>
      </c>
    </row>
    <row r="34" spans="2:7" ht="51" customHeight="1" x14ac:dyDescent="0.25">
      <c r="B34" s="105" t="s">
        <v>146</v>
      </c>
      <c r="C34" s="109">
        <v>0</v>
      </c>
      <c r="D34" s="105"/>
      <c r="E34" s="107">
        <f t="shared" si="2"/>
        <v>0</v>
      </c>
    </row>
    <row r="35" spans="2:7" ht="76.5" customHeight="1" x14ac:dyDescent="0.25">
      <c r="B35" s="105" t="s">
        <v>147</v>
      </c>
      <c r="C35" s="109">
        <v>0</v>
      </c>
      <c r="D35" s="105"/>
      <c r="E35" s="107">
        <f t="shared" si="2"/>
        <v>0</v>
      </c>
    </row>
    <row r="36" spans="2:7" ht="25.5" customHeight="1" x14ac:dyDescent="0.25">
      <c r="B36" s="105" t="s">
        <v>148</v>
      </c>
      <c r="C36" s="109">
        <f>ROUND((C27+C32+C33+C34+C35+C29+C31+C30)*1.72%,2)</f>
        <v>339950.25</v>
      </c>
      <c r="D36" s="105"/>
      <c r="E36" s="107">
        <f t="shared" si="2"/>
        <v>1.6384447588027241E-2</v>
      </c>
      <c r="G36" s="108"/>
    </row>
    <row r="37" spans="2:7" x14ac:dyDescent="0.25">
      <c r="B37" s="105" t="s">
        <v>149</v>
      </c>
      <c r="C37" s="109">
        <f>ROUND((C27+C32+C33+C34+C35+C29+C31+C30)*0.2%,2)</f>
        <v>39529.1</v>
      </c>
      <c r="D37" s="105"/>
      <c r="E37" s="107">
        <f t="shared" si="2"/>
        <v>1.9051683802317769E-3</v>
      </c>
      <c r="G37" s="108"/>
    </row>
    <row r="38" spans="2:7" ht="38.25" customHeight="1" x14ac:dyDescent="0.25">
      <c r="B38" s="105" t="s">
        <v>150</v>
      </c>
      <c r="C38" s="106">
        <f>C27+C32+C33+C34+C35+C29+C31+C30+C36+C37</f>
        <v>20144028.940000001</v>
      </c>
      <c r="D38" s="105"/>
      <c r="E38" s="107">
        <f t="shared" si="2"/>
        <v>0.97087378632353982</v>
      </c>
    </row>
    <row r="39" spans="2:7" ht="13.5" customHeight="1" x14ac:dyDescent="0.25">
      <c r="B39" s="105" t="s">
        <v>151</v>
      </c>
      <c r="C39" s="106">
        <f>ROUND(C38*3%,2)</f>
        <v>604320.87</v>
      </c>
      <c r="D39" s="105"/>
      <c r="E39" s="107">
        <f>C39/$C$38</f>
        <v>3.00000000893565E-2</v>
      </c>
    </row>
    <row r="40" spans="2:7" x14ac:dyDescent="0.25">
      <c r="B40" s="105" t="s">
        <v>152</v>
      </c>
      <c r="C40" s="106">
        <f>C39+C38</f>
        <v>20748349.810000002</v>
      </c>
      <c r="D40" s="105"/>
      <c r="E40" s="107">
        <f>C40/$C$40</f>
        <v>1</v>
      </c>
    </row>
    <row r="41" spans="2:7" x14ac:dyDescent="0.25">
      <c r="B41" s="105" t="s">
        <v>153</v>
      </c>
      <c r="C41" s="106">
        <f>C40/'Прил.5 Расчет СМР и ОБ'!E37</f>
        <v>20748349.810000002</v>
      </c>
      <c r="D41" s="105"/>
      <c r="E41" s="105"/>
    </row>
    <row r="42" spans="2:7" x14ac:dyDescent="0.25">
      <c r="B42" s="110"/>
      <c r="C42" s="4"/>
      <c r="D42" s="4"/>
      <c r="E42" s="4"/>
    </row>
    <row r="43" spans="2:7" x14ac:dyDescent="0.25">
      <c r="B43" s="110" t="s">
        <v>154</v>
      </c>
      <c r="C43" s="4"/>
      <c r="D43" s="4"/>
      <c r="E43" s="4"/>
    </row>
    <row r="44" spans="2:7" x14ac:dyDescent="0.25">
      <c r="B44" s="110" t="s">
        <v>155</v>
      </c>
      <c r="C44" s="4"/>
      <c r="D44" s="4"/>
      <c r="E44" s="4"/>
    </row>
    <row r="45" spans="2:7" x14ac:dyDescent="0.25">
      <c r="B45" s="110"/>
      <c r="C45" s="4"/>
      <c r="D45" s="4"/>
      <c r="E45" s="4"/>
    </row>
    <row r="46" spans="2:7" x14ac:dyDescent="0.25">
      <c r="B46" s="110" t="s">
        <v>156</v>
      </c>
      <c r="C46" s="4"/>
      <c r="D46" s="4"/>
      <c r="E46" s="4"/>
    </row>
    <row r="47" spans="2:7" x14ac:dyDescent="0.25">
      <c r="B47" s="228" t="s">
        <v>157</v>
      </c>
      <c r="C47" s="22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3"/>
  <sheetViews>
    <sheetView tabSelected="1" view="pageBreakPreview" zoomScale="70" zoomScaleSheetLayoutView="70" workbookViewId="0">
      <selection activeCell="X32" sqref="X32"/>
    </sheetView>
  </sheetViews>
  <sheetFormatPr defaultColWidth="9.140625" defaultRowHeight="15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1.4257812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49" t="s">
        <v>158</v>
      </c>
      <c r="I2" s="249"/>
      <c r="J2" s="249"/>
    </row>
    <row r="4" spans="1:10" s="4" customFormat="1" ht="12.75" customHeight="1" x14ac:dyDescent="0.2">
      <c r="A4" s="205" t="s">
        <v>159</v>
      </c>
      <c r="B4" s="205"/>
      <c r="C4" s="205"/>
      <c r="D4" s="205"/>
      <c r="E4" s="205"/>
      <c r="F4" s="205"/>
      <c r="G4" s="205"/>
      <c r="H4" s="205"/>
      <c r="I4" s="205"/>
      <c r="J4" s="205"/>
    </row>
    <row r="5" spans="1:10" s="4" customFormat="1" ht="12.75" customHeight="1" x14ac:dyDescent="0.2">
      <c r="A5" s="186"/>
      <c r="B5" s="186"/>
      <c r="C5" s="28"/>
      <c r="D5" s="186"/>
      <c r="E5" s="186"/>
      <c r="F5" s="186"/>
      <c r="G5" s="186"/>
      <c r="H5" s="186"/>
      <c r="I5" s="186"/>
      <c r="J5" s="186"/>
    </row>
    <row r="6" spans="1:10" s="4" customFormat="1" ht="21.75" customHeight="1" x14ac:dyDescent="0.2">
      <c r="A6" s="145" t="s">
        <v>160</v>
      </c>
      <c r="B6" s="146"/>
      <c r="C6" s="146"/>
      <c r="D6" s="253" t="s">
        <v>161</v>
      </c>
      <c r="E6" s="253"/>
      <c r="F6" s="253"/>
      <c r="G6" s="253"/>
      <c r="H6" s="253"/>
      <c r="I6" s="253"/>
      <c r="J6" s="253"/>
    </row>
    <row r="7" spans="1:10" s="4" customFormat="1" ht="12.75" customHeight="1" x14ac:dyDescent="0.2">
      <c r="A7" s="208" t="s">
        <v>49</v>
      </c>
      <c r="B7" s="227"/>
      <c r="C7" s="227"/>
      <c r="D7" s="227"/>
      <c r="E7" s="227"/>
      <c r="F7" s="227"/>
      <c r="G7" s="227"/>
      <c r="H7" s="227"/>
      <c r="I7" s="42"/>
      <c r="J7" s="42"/>
    </row>
    <row r="8" spans="1:10" s="4" customFormat="1" ht="13.5" customHeight="1" x14ac:dyDescent="0.2">
      <c r="A8" s="208"/>
      <c r="B8" s="227"/>
      <c r="C8" s="227"/>
      <c r="D8" s="227"/>
      <c r="E8" s="227"/>
      <c r="F8" s="227"/>
      <c r="G8" s="227"/>
      <c r="H8" s="227"/>
    </row>
    <row r="9" spans="1:10" ht="27" customHeight="1" x14ac:dyDescent="0.25">
      <c r="A9" s="236" t="s">
        <v>13</v>
      </c>
      <c r="B9" s="236" t="s">
        <v>98</v>
      </c>
      <c r="C9" s="236" t="s">
        <v>119</v>
      </c>
      <c r="D9" s="236" t="s">
        <v>100</v>
      </c>
      <c r="E9" s="230" t="s">
        <v>162</v>
      </c>
      <c r="F9" s="250" t="s">
        <v>102</v>
      </c>
      <c r="G9" s="251"/>
      <c r="H9" s="230" t="s">
        <v>163</v>
      </c>
      <c r="I9" s="250" t="s">
        <v>164</v>
      </c>
      <c r="J9" s="251"/>
    </row>
    <row r="10" spans="1:10" ht="28.5" customHeight="1" x14ac:dyDescent="0.25">
      <c r="A10" s="236"/>
      <c r="B10" s="236"/>
      <c r="C10" s="236"/>
      <c r="D10" s="236"/>
      <c r="E10" s="252"/>
      <c r="F10" s="2" t="s">
        <v>165</v>
      </c>
      <c r="G10" s="2" t="s">
        <v>104</v>
      </c>
      <c r="H10" s="252"/>
      <c r="I10" s="2" t="s">
        <v>165</v>
      </c>
      <c r="J10" s="2" t="s">
        <v>104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3">
        <v>9</v>
      </c>
      <c r="J11" s="183">
        <v>10</v>
      </c>
    </row>
    <row r="12" spans="1:10" x14ac:dyDescent="0.25">
      <c r="A12" s="2"/>
      <c r="B12" s="234" t="s">
        <v>166</v>
      </c>
      <c r="C12" s="235"/>
      <c r="D12" s="236"/>
      <c r="E12" s="237"/>
      <c r="F12" s="238"/>
      <c r="G12" s="238"/>
      <c r="H12" s="239"/>
      <c r="I12" s="147"/>
      <c r="J12" s="147"/>
    </row>
    <row r="13" spans="1:10" ht="25.5" customHeight="1" x14ac:dyDescent="0.25">
      <c r="A13" s="2">
        <v>1</v>
      </c>
      <c r="B13" s="148" t="s">
        <v>108</v>
      </c>
      <c r="C13" s="8" t="s">
        <v>167</v>
      </c>
      <c r="D13" s="2" t="s">
        <v>168</v>
      </c>
      <c r="E13" s="149">
        <v>62.199145776370003</v>
      </c>
      <c r="F13" s="26">
        <v>10.94</v>
      </c>
      <c r="G13" s="26">
        <f>Прил.3!H12</f>
        <v>680.46</v>
      </c>
      <c r="H13" s="150">
        <f>G13/$G$14</f>
        <v>1</v>
      </c>
      <c r="I13" s="26">
        <f>ФОТр.тек.!E13</f>
        <v>504.75733271476997</v>
      </c>
      <c r="J13" s="26">
        <f>ROUND(I13*E13,2)</f>
        <v>31395.47</v>
      </c>
    </row>
    <row r="14" spans="1:10" s="12" customFormat="1" ht="25.5" customHeight="1" x14ac:dyDescent="0.2">
      <c r="A14" s="2"/>
      <c r="B14" s="2"/>
      <c r="C14" s="156" t="s">
        <v>169</v>
      </c>
      <c r="D14" s="2" t="s">
        <v>168</v>
      </c>
      <c r="E14" s="149">
        <f>SUM(E13:E13)</f>
        <v>62.199145776370003</v>
      </c>
      <c r="F14" s="26"/>
      <c r="G14" s="26">
        <f>SUM(G13:G13)</f>
        <v>680.46</v>
      </c>
      <c r="H14" s="185">
        <v>1</v>
      </c>
      <c r="I14" s="147"/>
      <c r="J14" s="26">
        <f>SUM(J13:J13)</f>
        <v>31395.47</v>
      </c>
    </row>
    <row r="15" spans="1:10" s="12" customFormat="1" ht="14.25" customHeight="1" x14ac:dyDescent="0.2">
      <c r="A15" s="2"/>
      <c r="B15" s="235" t="s">
        <v>111</v>
      </c>
      <c r="C15" s="235"/>
      <c r="D15" s="236"/>
      <c r="E15" s="237"/>
      <c r="F15" s="238"/>
      <c r="G15" s="238"/>
      <c r="H15" s="239"/>
      <c r="I15" s="147"/>
      <c r="J15" s="147"/>
    </row>
    <row r="16" spans="1:10" s="12" customFormat="1" ht="14.25" customHeight="1" x14ac:dyDescent="0.2">
      <c r="A16" s="2"/>
      <c r="B16" s="234" t="s">
        <v>112</v>
      </c>
      <c r="C16" s="235"/>
      <c r="D16" s="236"/>
      <c r="E16" s="237"/>
      <c r="F16" s="238"/>
      <c r="G16" s="238"/>
      <c r="H16" s="239"/>
      <c r="I16" s="147"/>
      <c r="J16" s="147"/>
    </row>
    <row r="17" spans="1:10" s="12" customFormat="1" ht="14.25" customHeight="1" x14ac:dyDescent="0.2">
      <c r="A17" s="2"/>
      <c r="B17" s="2"/>
      <c r="C17" s="8" t="s">
        <v>170</v>
      </c>
      <c r="D17" s="2"/>
      <c r="E17" s="149"/>
      <c r="F17" s="26"/>
      <c r="G17" s="26">
        <v>0</v>
      </c>
      <c r="H17" s="185">
        <v>0</v>
      </c>
      <c r="I17" s="152"/>
      <c r="J17" s="26">
        <v>0</v>
      </c>
    </row>
    <row r="18" spans="1:10" s="12" customFormat="1" ht="14.25" customHeight="1" x14ac:dyDescent="0.2">
      <c r="A18" s="2"/>
      <c r="B18" s="2"/>
      <c r="C18" s="8" t="s">
        <v>171</v>
      </c>
      <c r="D18" s="2"/>
      <c r="E18" s="184"/>
      <c r="F18" s="26"/>
      <c r="G18" s="152">
        <v>0</v>
      </c>
      <c r="H18" s="150">
        <v>0</v>
      </c>
      <c r="I18" s="26"/>
      <c r="J18" s="26">
        <v>0</v>
      </c>
    </row>
    <row r="19" spans="1:10" s="12" customFormat="1" ht="25.5" customHeight="1" x14ac:dyDescent="0.2">
      <c r="A19" s="2"/>
      <c r="B19" s="2"/>
      <c r="C19" s="156" t="s">
        <v>172</v>
      </c>
      <c r="D19" s="2"/>
      <c r="E19" s="184"/>
      <c r="F19" s="26"/>
      <c r="G19" s="26">
        <f>G18+G17</f>
        <v>0</v>
      </c>
      <c r="H19" s="153">
        <v>1</v>
      </c>
      <c r="I19" s="154"/>
      <c r="J19" s="155">
        <f>J18+J17</f>
        <v>0</v>
      </c>
    </row>
    <row r="20" spans="1:10" s="12" customFormat="1" ht="14.25" customHeight="1" x14ac:dyDescent="0.2">
      <c r="A20" s="2"/>
      <c r="B20" s="234" t="s">
        <v>43</v>
      </c>
      <c r="C20" s="234"/>
      <c r="D20" s="240"/>
      <c r="E20" s="241"/>
      <c r="F20" s="242"/>
      <c r="G20" s="242"/>
      <c r="H20" s="243"/>
      <c r="I20" s="147"/>
      <c r="J20" s="147"/>
    </row>
    <row r="21" spans="1:10" x14ac:dyDescent="0.25">
      <c r="A21" s="2"/>
      <c r="B21" s="235" t="s">
        <v>173</v>
      </c>
      <c r="C21" s="235"/>
      <c r="D21" s="236"/>
      <c r="E21" s="237"/>
      <c r="F21" s="238"/>
      <c r="G21" s="238"/>
      <c r="H21" s="239"/>
      <c r="I21" s="147"/>
      <c r="J21" s="147"/>
    </row>
    <row r="22" spans="1:10" s="12" customFormat="1" ht="63.75" customHeight="1" x14ac:dyDescent="0.2">
      <c r="A22" s="2">
        <v>2</v>
      </c>
      <c r="B22" s="190" t="s">
        <v>174</v>
      </c>
      <c r="C22" s="191" t="s">
        <v>175</v>
      </c>
      <c r="D22" s="190" t="s">
        <v>115</v>
      </c>
      <c r="E22" s="192">
        <v>20</v>
      </c>
      <c r="F22" s="193">
        <f>ROUND(I22/Прил.10!$D$14,2)</f>
        <v>153150.16</v>
      </c>
      <c r="G22" s="194">
        <f>ROUND(E22*F22,2)</f>
        <v>3063003.2</v>
      </c>
      <c r="H22" s="195">
        <f>G22/$G$25</f>
        <v>1</v>
      </c>
      <c r="I22" s="26">
        <v>958720</v>
      </c>
      <c r="J22" s="26">
        <f>ROUND(I22*E22,2)</f>
        <v>19174400</v>
      </c>
    </row>
    <row r="23" spans="1:10" x14ac:dyDescent="0.25">
      <c r="A23" s="2"/>
      <c r="B23" s="190"/>
      <c r="C23" s="191" t="s">
        <v>176</v>
      </c>
      <c r="D23" s="190"/>
      <c r="E23" s="196"/>
      <c r="F23" s="193"/>
      <c r="G23" s="194">
        <f>SUM(G22)</f>
        <v>3063003.2</v>
      </c>
      <c r="H23" s="195">
        <f>G22/$G$25</f>
        <v>1</v>
      </c>
      <c r="I23" s="152"/>
      <c r="J23" s="26">
        <f>SUM(J22)</f>
        <v>19174400</v>
      </c>
    </row>
    <row r="24" spans="1:10" x14ac:dyDescent="0.25">
      <c r="A24" s="2"/>
      <c r="B24" s="190"/>
      <c r="C24" s="191" t="s">
        <v>177</v>
      </c>
      <c r="D24" s="190"/>
      <c r="E24" s="196"/>
      <c r="F24" s="193"/>
      <c r="G24" s="194">
        <v>0</v>
      </c>
      <c r="H24" s="195">
        <f>G24/$G$25</f>
        <v>0</v>
      </c>
      <c r="I24" s="152"/>
      <c r="J24" s="26">
        <v>0</v>
      </c>
    </row>
    <row r="25" spans="1:10" x14ac:dyDescent="0.25">
      <c r="A25" s="2"/>
      <c r="B25" s="190"/>
      <c r="C25" s="197" t="s">
        <v>178</v>
      </c>
      <c r="D25" s="190"/>
      <c r="E25" s="198"/>
      <c r="F25" s="193"/>
      <c r="G25" s="194">
        <f>G23+G24</f>
        <v>3063003.2</v>
      </c>
      <c r="H25" s="199">
        <v>1</v>
      </c>
      <c r="I25" s="152"/>
      <c r="J25" s="26">
        <f>J24+J23</f>
        <v>19174400</v>
      </c>
    </row>
    <row r="26" spans="1:10" ht="25.5" customHeight="1" x14ac:dyDescent="0.25">
      <c r="A26" s="2"/>
      <c r="B26" s="190"/>
      <c r="C26" s="191" t="s">
        <v>179</v>
      </c>
      <c r="D26" s="190"/>
      <c r="E26" s="192"/>
      <c r="F26" s="193"/>
      <c r="G26" s="194">
        <f>'Прил.6 Расчет ОБ'!G13</f>
        <v>3063003.2</v>
      </c>
      <c r="H26" s="199"/>
      <c r="I26" s="152"/>
      <c r="J26" s="26">
        <f>ROUND(G26*Прил.10!D14,2)</f>
        <v>19174400.030000001</v>
      </c>
    </row>
    <row r="27" spans="1:10" s="12" customFormat="1" ht="14.25" customHeight="1" x14ac:dyDescent="0.2">
      <c r="A27" s="2"/>
      <c r="B27" s="244" t="s">
        <v>116</v>
      </c>
      <c r="C27" s="244"/>
      <c r="D27" s="245"/>
      <c r="E27" s="246"/>
      <c r="F27" s="247"/>
      <c r="G27" s="247"/>
      <c r="H27" s="248"/>
      <c r="I27" s="147"/>
      <c r="J27" s="147"/>
    </row>
    <row r="28" spans="1:10" s="12" customFormat="1" ht="14.25" customHeight="1" x14ac:dyDescent="0.2">
      <c r="A28" s="183"/>
      <c r="B28" s="229" t="s">
        <v>180</v>
      </c>
      <c r="C28" s="229"/>
      <c r="D28" s="230"/>
      <c r="E28" s="231"/>
      <c r="F28" s="232"/>
      <c r="G28" s="232"/>
      <c r="H28" s="233"/>
      <c r="I28" s="157"/>
      <c r="J28" s="157"/>
    </row>
    <row r="29" spans="1:10" s="12" customFormat="1" ht="14.25" customHeight="1" x14ac:dyDescent="0.2">
      <c r="A29" s="158"/>
      <c r="B29" s="159"/>
      <c r="C29" s="160" t="s">
        <v>181</v>
      </c>
      <c r="D29" s="158"/>
      <c r="E29" s="161"/>
      <c r="F29" s="155"/>
      <c r="G29" s="155">
        <v>0</v>
      </c>
      <c r="H29" s="150">
        <v>0</v>
      </c>
      <c r="I29" s="26"/>
      <c r="J29" s="155">
        <v>0</v>
      </c>
    </row>
    <row r="30" spans="1:10" s="12" customFormat="1" ht="14.25" customHeight="1" x14ac:dyDescent="0.2">
      <c r="A30" s="2"/>
      <c r="B30" s="2"/>
      <c r="C30" s="8" t="s">
        <v>182</v>
      </c>
      <c r="D30" s="2"/>
      <c r="E30" s="184"/>
      <c r="F30" s="151"/>
      <c r="G30" s="26">
        <v>0</v>
      </c>
      <c r="H30" s="150">
        <v>0</v>
      </c>
      <c r="I30" s="26"/>
      <c r="J30" s="26">
        <v>0</v>
      </c>
    </row>
    <row r="31" spans="1:10" s="12" customFormat="1" ht="14.25" customHeight="1" x14ac:dyDescent="0.2">
      <c r="A31" s="2"/>
      <c r="B31" s="2"/>
      <c r="C31" s="156" t="s">
        <v>183</v>
      </c>
      <c r="D31" s="2"/>
      <c r="E31" s="184"/>
      <c r="F31" s="151"/>
      <c r="G31" s="26">
        <f>G29+G30</f>
        <v>0</v>
      </c>
      <c r="H31" s="185">
        <v>0</v>
      </c>
      <c r="I31" s="26"/>
      <c r="J31" s="26">
        <f>J29+J30</f>
        <v>0</v>
      </c>
    </row>
    <row r="32" spans="1:10" s="12" customFormat="1" ht="14.25" customHeight="1" x14ac:dyDescent="0.2">
      <c r="A32" s="2"/>
      <c r="B32" s="2"/>
      <c r="C32" s="8" t="s">
        <v>184</v>
      </c>
      <c r="D32" s="2"/>
      <c r="E32" s="184"/>
      <c r="F32" s="151"/>
      <c r="G32" s="26">
        <f>G14+G19+G31</f>
        <v>680.46</v>
      </c>
      <c r="H32" s="185"/>
      <c r="I32" s="26"/>
      <c r="J32" s="26">
        <f>J14+J19+J31</f>
        <v>31395.47</v>
      </c>
    </row>
    <row r="33" spans="1:10" s="12" customFormat="1" ht="14.25" customHeight="1" x14ac:dyDescent="0.2">
      <c r="A33" s="2"/>
      <c r="B33" s="2"/>
      <c r="C33" s="8" t="s">
        <v>185</v>
      </c>
      <c r="D33" s="162">
        <f>ROUND(G33/(0+$G$14),2)</f>
        <v>0.49</v>
      </c>
      <c r="E33" s="184"/>
      <c r="F33" s="151"/>
      <c r="G33" s="26">
        <v>336.8</v>
      </c>
      <c r="H33" s="185"/>
      <c r="I33" s="26"/>
      <c r="J33" s="26">
        <f>ROUND(D33*(J14+0),2)</f>
        <v>15383.78</v>
      </c>
    </row>
    <row r="34" spans="1:10" s="12" customFormat="1" ht="14.25" customHeight="1" x14ac:dyDescent="0.2">
      <c r="A34" s="2"/>
      <c r="B34" s="2"/>
      <c r="C34" s="8" t="s">
        <v>186</v>
      </c>
      <c r="D34" s="162">
        <f>ROUND(G34/(G$14+0),2)</f>
        <v>0.25</v>
      </c>
      <c r="E34" s="184"/>
      <c r="F34" s="151"/>
      <c r="G34" s="26">
        <v>172.14</v>
      </c>
      <c r="H34" s="185"/>
      <c r="I34" s="26"/>
      <c r="J34" s="26">
        <f>ROUND(D34*(J14+0),2)</f>
        <v>7848.87</v>
      </c>
    </row>
    <row r="35" spans="1:10" s="12" customFormat="1" ht="14.25" customHeight="1" x14ac:dyDescent="0.2">
      <c r="A35" s="2"/>
      <c r="B35" s="2"/>
      <c r="C35" s="8" t="s">
        <v>187</v>
      </c>
      <c r="D35" s="2"/>
      <c r="E35" s="184"/>
      <c r="F35" s="151"/>
      <c r="G35" s="26">
        <f>G14+G19+G31+G33+G34</f>
        <v>1189.4000000000001</v>
      </c>
      <c r="H35" s="185"/>
      <c r="I35" s="26"/>
      <c r="J35" s="26">
        <f>J14+J19+J31+J33+J34</f>
        <v>54628.12</v>
      </c>
    </row>
    <row r="36" spans="1:10" s="12" customFormat="1" ht="14.25" customHeight="1" x14ac:dyDescent="0.2">
      <c r="A36" s="2"/>
      <c r="B36" s="2"/>
      <c r="C36" s="8" t="s">
        <v>188</v>
      </c>
      <c r="D36" s="2"/>
      <c r="E36" s="184"/>
      <c r="F36" s="151"/>
      <c r="G36" s="26">
        <f>G35+G25</f>
        <v>3064192.6</v>
      </c>
      <c r="H36" s="185"/>
      <c r="I36" s="26"/>
      <c r="J36" s="26">
        <f>J35+J25</f>
        <v>19229028.120000001</v>
      </c>
    </row>
    <row r="37" spans="1:10" s="12" customFormat="1" ht="34.5" customHeight="1" x14ac:dyDescent="0.2">
      <c r="A37" s="2"/>
      <c r="B37" s="2"/>
      <c r="C37" s="8" t="s">
        <v>153</v>
      </c>
      <c r="D37" s="2" t="s">
        <v>189</v>
      </c>
      <c r="E37" s="188">
        <v>1</v>
      </c>
      <c r="F37" s="151"/>
      <c r="G37" s="26">
        <f>G36/E37</f>
        <v>3064192.6</v>
      </c>
      <c r="H37" s="185"/>
      <c r="I37" s="26"/>
      <c r="J37" s="26">
        <f>J36/E37</f>
        <v>19229028.120000001</v>
      </c>
    </row>
    <row r="39" spans="1:10" s="12" customFormat="1" ht="14.25" customHeight="1" x14ac:dyDescent="0.2">
      <c r="A39" s="4" t="s">
        <v>190</v>
      </c>
    </row>
    <row r="40" spans="1:10" s="12" customFormat="1" ht="14.25" customHeight="1" x14ac:dyDescent="0.2">
      <c r="A40" s="163" t="s">
        <v>76</v>
      </c>
    </row>
    <row r="41" spans="1:10" s="12" customFormat="1" ht="14.25" customHeight="1" x14ac:dyDescent="0.2">
      <c r="A41" s="4"/>
    </row>
    <row r="42" spans="1:10" s="12" customFormat="1" ht="14.25" customHeight="1" x14ac:dyDescent="0.2">
      <c r="A42" s="4" t="s">
        <v>191</v>
      </c>
    </row>
    <row r="43" spans="1:10" s="12" customFormat="1" ht="14.25" customHeight="1" x14ac:dyDescent="0.2">
      <c r="A43" s="16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28:H28"/>
    <mergeCell ref="B12:H12"/>
    <mergeCell ref="B15:H15"/>
    <mergeCell ref="B16:H16"/>
    <mergeCell ref="B21:H21"/>
    <mergeCell ref="B20:H20"/>
    <mergeCell ref="B27:H27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workbookViewId="0">
      <selection activeCell="D17" sqref="D1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4" t="s">
        <v>192</v>
      </c>
      <c r="B1" s="254"/>
      <c r="C1" s="254"/>
      <c r="D1" s="254"/>
      <c r="E1" s="254"/>
      <c r="F1" s="254"/>
      <c r="G1" s="254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5" t="s">
        <v>193</v>
      </c>
      <c r="B3" s="205"/>
      <c r="C3" s="205"/>
      <c r="D3" s="205"/>
      <c r="E3" s="205"/>
      <c r="F3" s="205"/>
      <c r="G3" s="205"/>
    </row>
    <row r="4" spans="1:7" ht="25.5" customHeight="1" x14ac:dyDescent="0.25">
      <c r="A4" s="208" t="s">
        <v>47</v>
      </c>
      <c r="B4" s="208"/>
      <c r="C4" s="208"/>
      <c r="D4" s="208"/>
      <c r="E4" s="208"/>
      <c r="F4" s="208"/>
      <c r="G4" s="208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9" t="s">
        <v>13</v>
      </c>
      <c r="B6" s="259" t="s">
        <v>98</v>
      </c>
      <c r="C6" s="259" t="s">
        <v>119</v>
      </c>
      <c r="D6" s="259" t="s">
        <v>100</v>
      </c>
      <c r="E6" s="230" t="s">
        <v>162</v>
      </c>
      <c r="F6" s="259" t="s">
        <v>102</v>
      </c>
      <c r="G6" s="259"/>
    </row>
    <row r="7" spans="1:7" x14ac:dyDescent="0.25">
      <c r="A7" s="259"/>
      <c r="B7" s="259"/>
      <c r="C7" s="259"/>
      <c r="D7" s="259"/>
      <c r="E7" s="252"/>
      <c r="F7" s="2" t="s">
        <v>165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55" t="s">
        <v>194</v>
      </c>
      <c r="C9" s="256"/>
      <c r="D9" s="256"/>
      <c r="E9" s="256"/>
      <c r="F9" s="256"/>
      <c r="G9" s="257"/>
    </row>
    <row r="10" spans="1:7" ht="27" customHeight="1" x14ac:dyDescent="0.25">
      <c r="A10" s="2"/>
      <c r="B10" s="156"/>
      <c r="C10" s="8" t="s">
        <v>195</v>
      </c>
      <c r="D10" s="156"/>
      <c r="E10" s="164"/>
      <c r="F10" s="151"/>
      <c r="G10" s="26">
        <v>0</v>
      </c>
    </row>
    <row r="11" spans="1:7" x14ac:dyDescent="0.25">
      <c r="A11" s="2"/>
      <c r="B11" s="235" t="s">
        <v>196</v>
      </c>
      <c r="C11" s="235"/>
      <c r="D11" s="235"/>
      <c r="E11" s="258"/>
      <c r="F11" s="238"/>
      <c r="G11" s="238"/>
    </row>
    <row r="12" spans="1:7" s="111" customFormat="1" ht="51" customHeight="1" x14ac:dyDescent="0.25">
      <c r="A12" s="2">
        <v>1</v>
      </c>
      <c r="B12" s="8" t="str">
        <f>'Прил.5 Расчет СМР и ОБ'!B22</f>
        <v>БЦ.54.13</v>
      </c>
      <c r="C12" s="8" t="str">
        <f>'Прил.5 Расчет СМР и ОБ'!C22</f>
        <v>Поворотная камера видеонаблюдения</v>
      </c>
      <c r="D12" s="2" t="str">
        <f>'Прил.5 Расчет СМР и ОБ'!D22</f>
        <v>шт.</v>
      </c>
      <c r="E12" s="165">
        <f>'Прил.5 Расчет СМР и ОБ'!E22</f>
        <v>20</v>
      </c>
      <c r="F12" s="151">
        <f>'Прил.5 Расчет СМР и ОБ'!F22</f>
        <v>153150.16</v>
      </c>
      <c r="G12" s="26">
        <f>ROUND(E12*F12,2)</f>
        <v>3063003.2</v>
      </c>
    </row>
    <row r="13" spans="1:7" ht="25.5" customHeight="1" x14ac:dyDescent="0.25">
      <c r="A13" s="2"/>
      <c r="B13" s="8"/>
      <c r="C13" s="8" t="s">
        <v>197</v>
      </c>
      <c r="D13" s="8"/>
      <c r="E13" s="40"/>
      <c r="F13" s="151"/>
      <c r="G13" s="26">
        <f>SUM(G12:G12)</f>
        <v>3063003.2</v>
      </c>
    </row>
    <row r="14" spans="1:7" ht="19.5" customHeight="1" x14ac:dyDescent="0.25">
      <c r="A14" s="2"/>
      <c r="B14" s="8"/>
      <c r="C14" s="8" t="s">
        <v>198</v>
      </c>
      <c r="D14" s="8"/>
      <c r="E14" s="40"/>
      <c r="F14" s="151"/>
      <c r="G14" s="26">
        <f>G10+G13</f>
        <v>3063003.2</v>
      </c>
    </row>
    <row r="15" spans="1:7" x14ac:dyDescent="0.25">
      <c r="A15" s="24"/>
      <c r="B15" s="166"/>
      <c r="C15" s="24"/>
      <c r="D15" s="24"/>
      <c r="E15" s="24"/>
      <c r="F15" s="24"/>
      <c r="G15" s="24"/>
    </row>
    <row r="16" spans="1:7" x14ac:dyDescent="0.25">
      <c r="A16" s="4" t="s">
        <v>190</v>
      </c>
      <c r="B16" s="12"/>
      <c r="C16" s="12"/>
      <c r="D16" s="24"/>
      <c r="E16" s="24"/>
      <c r="F16" s="24"/>
      <c r="G16" s="24"/>
    </row>
    <row r="17" spans="1:7" x14ac:dyDescent="0.25">
      <c r="A17" s="163" t="s">
        <v>76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191</v>
      </c>
      <c r="B19" s="12"/>
      <c r="C19" s="12"/>
      <c r="D19" s="24"/>
      <c r="E19" s="24"/>
      <c r="F19" s="24"/>
      <c r="G19" s="24"/>
    </row>
    <row r="20" spans="1:7" x14ac:dyDescent="0.25">
      <c r="A20" s="163" t="s">
        <v>78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2023-11-25T10:19:28Z</cp:lastPrinted>
  <dcterms:created xsi:type="dcterms:W3CDTF">2020-09-30T08:50:27Z</dcterms:created>
  <dcterms:modified xsi:type="dcterms:W3CDTF">2023-11-25T10:19:45Z</dcterms:modified>
  <cp:category/>
</cp:coreProperties>
</file>