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62EC15A4-648E-4575-98D0-84D4D306C485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стоим'!$A$1:$J$24</definedName>
    <definedName name="_xlnm.Print_Area" localSheetId="5">Прил.3!$A$1:$H$28</definedName>
    <definedName name="_xlnm.Print_Area" localSheetId="6">'Прил.4 РМ'!$A$1:$E$48</definedName>
    <definedName name="_xlnm.Print_Area" localSheetId="7">'Прил.5 Расчет СМР и ОБ'!$A$1:$J$46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G12" i="9"/>
  <c r="G13" i="9" s="1"/>
  <c r="F12" i="9"/>
  <c r="E12" i="9"/>
  <c r="D12" i="9"/>
  <c r="C12" i="9"/>
  <c r="B12" i="9"/>
  <c r="J31" i="8"/>
  <c r="G31" i="8"/>
  <c r="J23" i="8"/>
  <c r="J25" i="8" s="1"/>
  <c r="C25" i="7" s="1"/>
  <c r="G23" i="8"/>
  <c r="G25" i="8" s="1"/>
  <c r="J22" i="8"/>
  <c r="G22" i="8"/>
  <c r="F22" i="8"/>
  <c r="J19" i="8"/>
  <c r="G19" i="8"/>
  <c r="J14" i="8"/>
  <c r="E14" i="8"/>
  <c r="J13" i="8"/>
  <c r="I13" i="8"/>
  <c r="G13" i="8"/>
  <c r="C18" i="7"/>
  <c r="C19" i="7" s="1"/>
  <c r="C17" i="7"/>
  <c r="C16" i="7"/>
  <c r="C14" i="7"/>
  <c r="C13" i="7"/>
  <c r="C12" i="7"/>
  <c r="C11" i="7"/>
  <c r="H19" i="6"/>
  <c r="H18" i="6"/>
  <c r="H17" i="6"/>
  <c r="H16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14" i="8" l="1"/>
  <c r="G32" i="8" s="1"/>
  <c r="D34" i="8"/>
  <c r="J34" i="8" s="1"/>
  <c r="D33" i="8"/>
  <c r="J33" i="8" s="1"/>
  <c r="G26" i="8"/>
  <c r="J26" i="8" s="1"/>
  <c r="C26" i="7" s="1"/>
  <c r="G14" i="9"/>
  <c r="H23" i="8"/>
  <c r="H22" i="8"/>
  <c r="H24" i="8"/>
  <c r="C22" i="7"/>
  <c r="J32" i="8"/>
  <c r="C20" i="7"/>
  <c r="C24" i="7" s="1"/>
  <c r="G35" i="8" l="1"/>
  <c r="G36" i="8" s="1"/>
  <c r="G37" i="8" s="1"/>
  <c r="J35" i="8"/>
  <c r="J36" i="8" s="1"/>
  <c r="J37" i="8" s="1"/>
  <c r="H13" i="8"/>
  <c r="C27" i="7"/>
  <c r="D24" i="7"/>
  <c r="D13" i="7"/>
  <c r="D12" i="7"/>
  <c r="C29" i="7"/>
  <c r="C30" i="7" s="1"/>
  <c r="D18" i="7"/>
  <c r="D16" i="7"/>
  <c r="D17" i="7"/>
  <c r="D15" i="7"/>
  <c r="D14" i="7"/>
  <c r="D11" i="7"/>
  <c r="D22" i="7"/>
  <c r="D20" i="7"/>
  <c r="C37" i="7" l="1"/>
  <c r="C36" i="7"/>
  <c r="C38" i="7" s="1"/>
  <c r="C39" i="7" l="1"/>
  <c r="C40" i="7" l="1"/>
  <c r="E39" i="7"/>
  <c r="E32" i="7" l="1"/>
  <c r="E13" i="7"/>
  <c r="E17" i="7"/>
  <c r="E15" i="7"/>
  <c r="E31" i="7"/>
  <c r="E35" i="7"/>
  <c r="E12" i="7"/>
  <c r="C41" i="7"/>
  <c r="D11" i="10" s="1"/>
  <c r="E34" i="7"/>
  <c r="E18" i="7"/>
  <c r="E16" i="7"/>
  <c r="E40" i="7"/>
  <c r="E33" i="7"/>
  <c r="E14" i="7"/>
  <c r="E11" i="7"/>
  <c r="E25" i="7"/>
  <c r="E24" i="7"/>
  <c r="E26" i="7"/>
  <c r="E22" i="7"/>
  <c r="E20" i="7"/>
  <c r="E30" i="7"/>
  <c r="E27" i="7"/>
  <c r="E29" i="7"/>
  <c r="E38" i="7"/>
  <c r="E37" i="7"/>
  <c r="E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<sst xmlns="http://schemas.openxmlformats.org/spreadsheetml/2006/main" count="503" uniqueCount="363">
  <si>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</si>
  <si>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</si>
  <si>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</si>
  <si>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</si>
  <si>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</si>
  <si>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</si>
  <si>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</si>
  <si>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</si>
  <si>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</si>
  <si>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</si>
  <si>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</si>
  <si>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</si>
  <si>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</si>
  <si>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</si>
  <si>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</si>
  <si>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</si>
  <si>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</si>
  <si>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</si>
  <si>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</si>
  <si>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</si>
  <si>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</si>
  <si>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</si>
  <si>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</si>
  <si>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</si>
  <si>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</si>
  <si>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</si>
  <si>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</si>
  <si>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</si>
  <si>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</si>
  <si>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</si>
  <si>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</si>
  <si>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</si>
  <si>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</si>
  <si>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</si>
  <si>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</si>
  <si>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</si>
  <si>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</si>
  <si>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</si>
  <si>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</si>
  <si>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</si>
  <si>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</si>
  <si>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</si>
  <si>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</si>
  <si>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</si>
  <si>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</si>
  <si>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</si>
  <si>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</si>
  <si>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комплекс поворотных камер охранного (технологического) видеонаблюдения ПС 330 кВ</t>
  </si>
  <si>
    <t>Сопоставимый уровень цен: 4 квартал 2019 г.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</si>
  <si>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</si>
  <si>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</si>
  <si>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</si>
  <si>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</si>
  <si>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Мурманская</t>
  </si>
  <si>
    <t>Наименование субъекта Российской Федерации</t>
  </si>
  <si>
    <t>Мурманская область</t>
  </si>
  <si>
    <t>Климатический район и подрайон</t>
  </si>
  <si>
    <t xml:space="preserve"> 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</si>
  <si>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</si>
  <si>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</si>
  <si>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Комплекс поворотных камер охранного (технологического) видеонаблюдения ПС 330 кВ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</si>
  <si>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</si>
  <si>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</si>
  <si>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</si>
  <si>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</si>
  <si>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</si>
  <si>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</si>
  <si>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</si>
  <si>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</si>
  <si>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</si>
  <si>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</si>
  <si>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</si>
  <si>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</si>
  <si>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</si>
  <si>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</si>
  <si>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</si>
  <si>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</si>
  <si>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</si>
  <si>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</si>
  <si>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</si>
  <si>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</si>
  <si>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комплекс поворотных камер охранного (технологического) видеонаблюдения ПС 330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</si>
  <si>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</si>
  <si>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</si>
  <si>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</si>
  <si>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</si>
  <si>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</si>
  <si>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</si>
  <si>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</si>
  <si>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</si>
  <si>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</si>
  <si>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Всего по объекту в сопоставимом уровне цен 4 кв. 2019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</si>
  <si>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</si>
  <si>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</si>
  <si>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</si>
  <si>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</si>
  <si>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комплекс поворотных камер охранного (технологического) видеонаблюдения 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</si>
  <si>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</si>
  <si>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</si>
  <si>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</si>
  <si>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</si>
  <si>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</si>
  <si>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</si>
  <si>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</si>
  <si>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</si>
  <si>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</si>
  <si>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</si>
  <si>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</si>
  <si>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</si>
  <si>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</si>
  <si>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</si>
  <si>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</si>
  <si>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</si>
  <si>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</si>
  <si>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Прайс из СД ОП</t>
  </si>
  <si>
    <t>Подвесная купольная IP поворотная видеокамера с термокожухом и кронштейном IP66 от -40 до +50 градусов В85-20</t>
  </si>
  <si>
    <t>шт.</t>
  </si>
  <si>
    <t>Материалы</t>
  </si>
  <si>
    <t>999-9950</t>
  </si>
  <si>
    <t>Вспомогательные ненормируемые ресурсы (2% от Оплаты труда рабочих)</t>
  </si>
  <si>
    <t>руб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</si>
  <si>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</si>
  <si>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</si>
  <si>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</si>
  <si>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</si>
  <si>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</si>
  <si>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</si>
  <si>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</si>
  <si>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</si>
  <si>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</si>
  <si>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</si>
  <si>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</si>
  <si>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</si>
  <si>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</si>
  <si>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</si>
  <si>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</si>
  <si>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</si>
  <si>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</si>
  <si>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</si>
  <si>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</si>
  <si>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</si>
  <si>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</si>
  <si>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</si>
  <si>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</si>
  <si>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</si>
  <si>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</si>
  <si>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</si>
  <si>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</si>
  <si>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</si>
  <si>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</si>
  <si>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</si>
  <si>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</si>
  <si>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</si>
  <si>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</si>
  <si>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</si>
  <si>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</si>
  <si>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</si>
  <si>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</si>
  <si>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</si>
  <si>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</si>
  <si>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</si>
  <si>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</si>
  <si>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</si>
  <si>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</si>
  <si>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</si>
  <si>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комплекс поворотных камер охранного (технологического) видеонаблюдения 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</si>
  <si>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</si>
  <si>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</si>
  <si>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</si>
  <si>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</si>
  <si>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</si>
  <si>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</si>
  <si>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</si>
  <si>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</si>
  <si>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</si>
  <si>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</si>
  <si>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</si>
  <si>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</si>
  <si>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БЦ.54.13</t>
  </si>
  <si>
    <t>Подвесная купольная IP поворотная видеокамера с термокожухом и кронштейном IP66 от -40 до +50 градусов В85-20
Коммутационный шкаф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</si>
  <si>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</si>
  <si>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</si>
  <si>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</si>
  <si>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</si>
  <si>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</si>
  <si>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</si>
  <si>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</si>
  <si>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</si>
  <si>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</si>
  <si>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</si>
  <si>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</si>
  <si>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</si>
  <si>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</si>
  <si>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</si>
  <si>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</si>
  <si>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</si>
  <si>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</si>
  <si>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</si>
  <si>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</si>
  <si>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</si>
  <si>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</si>
  <si>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</si>
  <si>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</si>
  <si>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</si>
  <si>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</si>
  <si>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</si>
  <si>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</si>
  <si>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</si>
  <si>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З1-04</t>
  </si>
  <si>
    <t>УНЦ постоянной части 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</si>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</sst>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10" fontId="1" fillId="0" borderId="1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300691</xdr:colOff>
      <xdr:row>28</xdr:row>
      <xdr:rowOff>130974</xdr:rowOff>
    </xdr:from>
    <xdr:to>
      <xdr:col>2</xdr:col>
      <xdr:colOff>1245493</xdr:colOff>
      <xdr:row>31</xdr:row>
      <xdr:rowOff>41185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6797EA8-9315-4C98-8B67-AA5372F0F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926" y="14127121"/>
          <a:ext cx="944802" cy="515329"/>
        </a:xfrm>
        <a:prstGeom prst="rect">
          <a:avLst/>
        </a:prstGeom>
      </xdr:spPr>
    </xdr:pic>
    <xdr:clientData/>
  </xdr:twoCellAnchor>
  <xdr:twoCellAnchor editAs="oneCell">
    <xdr:from>
      <xdr:col>2</xdr:col>
      <xdr:colOff>434042</xdr:colOff>
      <xdr:row>26</xdr:row>
      <xdr:rowOff>284256</xdr:rowOff>
    </xdr:from>
    <xdr:to>
      <xdr:col>2</xdr:col>
      <xdr:colOff>1272241</xdr:colOff>
      <xdr:row>28</xdr:row>
      <xdr:rowOff>51354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D169563-2893-4568-9F2D-63F3BDD60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277" y="13596844"/>
          <a:ext cx="838199" cy="450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551089</xdr:colOff>
      <xdr:row>20</xdr:row>
      <xdr:rowOff>123371</xdr:rowOff>
    </xdr:from>
    <xdr:to>
      <xdr:col>2</xdr:col>
      <xdr:colOff>1495891</xdr:colOff>
      <xdr:row>23</xdr:row>
      <xdr:rowOff>35262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E24325C-62E5-43C7-9D28-E06758AB7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803" y="5375728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684440</xdr:colOff>
      <xdr:row>17</xdr:row>
      <xdr:rowOff>202292</xdr:rowOff>
    </xdr:from>
    <xdr:to>
      <xdr:col>2</xdr:col>
      <xdr:colOff>1522639</xdr:colOff>
      <xdr:row>20</xdr:row>
      <xdr:rowOff>45432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9D496FA-B1EA-4360-B29A-546F75849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4154" y="4842328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261010</xdr:colOff>
      <xdr:row>22</xdr:row>
      <xdr:rowOff>100299</xdr:rowOff>
    </xdr:from>
    <xdr:to>
      <xdr:col>2</xdr:col>
      <xdr:colOff>1205812</xdr:colOff>
      <xdr:row>25</xdr:row>
      <xdr:rowOff>19394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3885EF7-247D-4B4E-86F9-EBFB51991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6974" y="5774478"/>
          <a:ext cx="944802" cy="531416"/>
        </a:xfrm>
        <a:prstGeom prst="rect">
          <a:avLst/>
        </a:prstGeom>
      </xdr:spPr>
    </xdr:pic>
    <xdr:clientData/>
  </xdr:twoCellAnchor>
  <xdr:twoCellAnchor editAs="oneCell">
    <xdr:from>
      <xdr:col>2</xdr:col>
      <xdr:colOff>394361</xdr:colOff>
      <xdr:row>19</xdr:row>
      <xdr:rowOff>160811</xdr:rowOff>
    </xdr:from>
    <xdr:to>
      <xdr:col>2</xdr:col>
      <xdr:colOff>1232560</xdr:colOff>
      <xdr:row>22</xdr:row>
      <xdr:rowOff>22360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8C8CED4-9870-48DB-9CBD-CDCE64E92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325" y="5222668"/>
          <a:ext cx="838199" cy="4738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857250</xdr:colOff>
      <xdr:row>43</xdr:row>
      <xdr:rowOff>123824</xdr:rowOff>
    </xdr:from>
    <xdr:to>
      <xdr:col>1</xdr:col>
      <xdr:colOff>1802052</xdr:colOff>
      <xdr:row>46</xdr:row>
      <xdr:rowOff>76537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6291C83-5D09-4EB2-9AE1-FF940F37C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117443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990601</xdr:colOff>
      <xdr:row>40</xdr:row>
      <xdr:rowOff>161925</xdr:rowOff>
    </xdr:from>
    <xdr:to>
      <xdr:col>1</xdr:col>
      <xdr:colOff>1828800</xdr:colOff>
      <xdr:row>43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D7A8E9C-16A4-41E0-8A80-B3E7D1FF2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26" y="112109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728383</xdr:colOff>
      <xdr:row>39</xdr:row>
      <xdr:rowOff>124385</xdr:rowOff>
    </xdr:from>
    <xdr:to>
      <xdr:col>2</xdr:col>
      <xdr:colOff>168235</xdr:colOff>
      <xdr:row>42</xdr:row>
      <xdr:rowOff>88304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0286138-F5BE-4767-9F33-3ADED3836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383" y="9077885"/>
          <a:ext cx="941440" cy="501801"/>
        </a:xfrm>
        <a:prstGeom prst="rect">
          <a:avLst/>
        </a:prstGeom>
      </xdr:spPr>
    </xdr:pic>
    <xdr:clientData/>
  </xdr:twoCellAnchor>
  <xdr:twoCellAnchor editAs="oneCell">
    <xdr:from>
      <xdr:col>1</xdr:col>
      <xdr:colOff>861734</xdr:colOff>
      <xdr:row>36</xdr:row>
      <xdr:rowOff>431428</xdr:rowOff>
    </xdr:from>
    <xdr:to>
      <xdr:col>2</xdr:col>
      <xdr:colOff>194983</xdr:colOff>
      <xdr:row>39</xdr:row>
      <xdr:rowOff>46446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175FC1A-9C74-46AB-9B64-782716D16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734" y="8578104"/>
          <a:ext cx="834837" cy="4218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16</xdr:row>
      <xdr:rowOff>95249</xdr:rowOff>
    </xdr:from>
    <xdr:to>
      <xdr:col>2</xdr:col>
      <xdr:colOff>278052</xdr:colOff>
      <xdr:row>19</xdr:row>
      <xdr:rowOff>47962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AD87AF8-6A5C-43FC-A66B-169AB26AF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43529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638176</xdr:colOff>
      <xdr:row>13</xdr:row>
      <xdr:rowOff>190500</xdr:rowOff>
    </xdr:from>
    <xdr:to>
      <xdr:col>2</xdr:col>
      <xdr:colOff>304800</xdr:colOff>
      <xdr:row>16</xdr:row>
      <xdr:rowOff>17310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30D71CE-9CC9-49E4-BAD9-666D5DD84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6" y="38195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133349</xdr:rowOff>
    </xdr:from>
    <xdr:to>
      <xdr:col>1</xdr:col>
      <xdr:colOff>801927</xdr:colOff>
      <xdr:row>16</xdr:row>
      <xdr:rowOff>86062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2CE1DCB-93CE-44ED-8456-D1E40043D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6956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838201</xdr:colOff>
      <xdr:row>10</xdr:row>
      <xdr:rowOff>781050</xdr:rowOff>
    </xdr:from>
    <xdr:to>
      <xdr:col>1</xdr:col>
      <xdr:colOff>828675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A4EFA47-EFC7-453D-85EF-42A9A46C8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1" y="316230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955302</xdr:colOff>
      <xdr:row>27</xdr:row>
      <xdr:rowOff>77693</xdr:rowOff>
    </xdr:from>
    <xdr:to>
      <xdr:col>1</xdr:col>
      <xdr:colOff>1900104</xdr:colOff>
      <xdr:row>30</xdr:row>
      <xdr:rowOff>33208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89DF2AC-E5A9-4938-A365-244D94E29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420" y="9367369"/>
          <a:ext cx="944802" cy="527015"/>
        </a:xfrm>
        <a:prstGeom prst="rect">
          <a:avLst/>
        </a:prstGeom>
      </xdr:spPr>
    </xdr:pic>
    <xdr:clientData/>
  </xdr:twoCellAnchor>
  <xdr:twoCellAnchor editAs="oneCell">
    <xdr:from>
      <xdr:col>1</xdr:col>
      <xdr:colOff>1088653</xdr:colOff>
      <xdr:row>24</xdr:row>
      <xdr:rowOff>112993</xdr:rowOff>
    </xdr:from>
    <xdr:to>
      <xdr:col>1</xdr:col>
      <xdr:colOff>1926852</xdr:colOff>
      <xdr:row>26</xdr:row>
      <xdr:rowOff>187453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FA09AAD-6D62-442E-9A39-92F7C8D13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771" y="8831169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3" t="s">
        <v>0</v>
      </c>
      <c r="B2" s="313"/>
      <c r="C2" s="313"/>
    </row>
    <row r="3" spans="1:3" x14ac:dyDescent="0.25">
      <c r="A3" s="1"/>
      <c r="B3" s="1"/>
      <c r="C3" s="1"/>
    </row>
    <row r="4" spans="1:3" x14ac:dyDescent="0.25">
      <c r="A4" s="314" t="s">
        <v>1</v>
      </c>
      <c r="B4" s="314"/>
      <c r="C4" s="31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15" t="s">
        <v>3</v>
      </c>
      <c r="C6" s="315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27" sqref="D27"/>
    </sheetView>
  </sheetViews>
  <sheetFormatPr defaultRowHeight="15" x14ac:dyDescent="0.25"/>
  <cols>
    <col min="1" max="1" width="12.7109375" style="301" customWidth="1"/>
    <col min="2" max="2" width="16.42578125" style="301" customWidth="1"/>
    <col min="3" max="3" width="37.140625" style="301" customWidth="1"/>
    <col min="4" max="4" width="49" style="301" customWidth="1"/>
    <col min="5" max="5" width="9.140625" style="301" customWidth="1"/>
  </cols>
  <sheetData>
    <row r="1" spans="1:4" ht="15.75" customHeight="1" x14ac:dyDescent="0.25">
      <c r="A1" s="300"/>
      <c r="B1" s="300"/>
      <c r="C1" s="300"/>
      <c r="D1" s="300" t="s">
        <v>203</v>
      </c>
    </row>
    <row r="2" spans="1:4" ht="15.75" customHeight="1" x14ac:dyDescent="0.25">
      <c r="A2" s="300"/>
      <c r="B2" s="300"/>
      <c r="C2" s="300"/>
      <c r="D2" s="300"/>
    </row>
    <row r="3" spans="1:4" ht="15.75" customHeight="1" x14ac:dyDescent="0.25">
      <c r="A3" s="300"/>
      <c r="B3" s="302" t="s">
        <v>204</v>
      </c>
      <c r="C3" s="300"/>
      <c r="D3" s="300"/>
    </row>
    <row r="4" spans="1:4" ht="15.75" customHeight="1" x14ac:dyDescent="0.25">
      <c r="A4" s="300"/>
      <c r="B4" s="300"/>
      <c r="C4" s="300"/>
      <c r="D4" s="300"/>
    </row>
    <row r="5" spans="1:4" ht="47.25" customHeight="1" x14ac:dyDescent="0.25">
      <c r="A5" s="368" t="s">
        <v>205</v>
      </c>
      <c r="B5" s="368"/>
      <c r="C5" s="368"/>
      <c r="D5" s="303" t="str">
        <f>'Прил.5 Расчет СМР и ОБ'!D6:J6</f>
        <v>Постоянная часть ПС, комплекс поворотных камер охранного (технологического) видеонаблюдения ПС 330 кВ</v>
      </c>
    </row>
    <row r="6" spans="1:4" ht="15.75" customHeight="1" x14ac:dyDescent="0.25">
      <c r="A6" s="300" t="s">
        <v>49</v>
      </c>
      <c r="B6" s="300"/>
      <c r="C6" s="300"/>
      <c r="D6" s="300"/>
    </row>
    <row r="7" spans="1:4" ht="15.75" customHeight="1" x14ac:dyDescent="0.25">
      <c r="A7" s="300"/>
      <c r="B7" s="300"/>
      <c r="C7" s="300"/>
      <c r="D7" s="300"/>
    </row>
    <row r="8" spans="1:4" x14ac:dyDescent="0.25">
      <c r="A8" s="326" t="s">
        <v>5</v>
      </c>
      <c r="B8" s="326" t="s">
        <v>6</v>
      </c>
      <c r="C8" s="326" t="s">
        <v>206</v>
      </c>
      <c r="D8" s="326" t="s">
        <v>207</v>
      </c>
    </row>
    <row r="9" spans="1:4" x14ac:dyDescent="0.25">
      <c r="A9" s="326"/>
      <c r="B9" s="326"/>
      <c r="C9" s="326"/>
      <c r="D9" s="326"/>
    </row>
    <row r="10" spans="1:4" ht="15.75" customHeight="1" x14ac:dyDescent="0.25">
      <c r="A10" s="304">
        <v>1</v>
      </c>
      <c r="B10" s="304">
        <v>2</v>
      </c>
      <c r="C10" s="304">
        <v>3</v>
      </c>
      <c r="D10" s="304">
        <v>4</v>
      </c>
    </row>
    <row r="11" spans="1:4" ht="63" customHeight="1" x14ac:dyDescent="0.25">
      <c r="A11" s="310" t="s">
        <v>208</v>
      </c>
      <c r="B11" s="310" t="s">
        <v>209</v>
      </c>
      <c r="C11" s="311" t="str">
        <f>D5</f>
        <v>Постоянная часть ПС, комплекс поворотных камер охранного (технологического) видеонаблюдения ПС 330 кВ</v>
      </c>
      <c r="D11" s="305">
        <f>'Прил.4 РМ'!C41/1000</f>
        <v>28832.88553</v>
      </c>
    </row>
    <row r="13" spans="1:4" x14ac:dyDescent="0.25">
      <c r="A13" s="306" t="s">
        <v>210</v>
      </c>
      <c r="B13" s="307"/>
      <c r="C13" s="307"/>
      <c r="D13" s="308"/>
    </row>
    <row r="14" spans="1:4" x14ac:dyDescent="0.25">
      <c r="A14" s="309" t="s">
        <v>76</v>
      </c>
      <c r="B14" s="307"/>
      <c r="C14" s="307"/>
      <c r="D14" s="308"/>
    </row>
    <row r="15" spans="1:4" x14ac:dyDescent="0.25">
      <c r="A15" s="306"/>
      <c r="B15" s="307"/>
      <c r="C15" s="307"/>
      <c r="D15" s="308"/>
    </row>
    <row r="16" spans="1:4" x14ac:dyDescent="0.25">
      <c r="A16" s="306" t="s">
        <v>77</v>
      </c>
      <c r="B16" s="307"/>
      <c r="C16" s="307"/>
      <c r="D16" s="308"/>
    </row>
    <row r="17" spans="1:4" x14ac:dyDescent="0.25">
      <c r="A17" s="309" t="s">
        <v>78</v>
      </c>
      <c r="B17" s="307"/>
      <c r="C17" s="307"/>
      <c r="D17" s="308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topLeftCell="A16" zoomScale="60" zoomScaleNormal="85" workbookViewId="0">
      <selection activeCell="D27" sqref="D2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0" t="s">
        <v>211</v>
      </c>
      <c r="C4" s="320"/>
      <c r="D4" s="320"/>
    </row>
    <row r="5" spans="2:5" ht="18.75" customHeight="1" x14ac:dyDescent="0.25">
      <c r="B5" s="240"/>
    </row>
    <row r="6" spans="2:5" ht="15.75" customHeight="1" x14ac:dyDescent="0.25">
      <c r="B6" s="321" t="s">
        <v>212</v>
      </c>
      <c r="C6" s="321"/>
      <c r="D6" s="321"/>
    </row>
    <row r="7" spans="2:5" x14ac:dyDescent="0.25">
      <c r="B7" s="369"/>
      <c r="C7" s="369"/>
      <c r="D7" s="369"/>
      <c r="E7" s="369"/>
    </row>
    <row r="8" spans="2:5" x14ac:dyDescent="0.25">
      <c r="B8" s="276"/>
      <c r="C8" s="276"/>
      <c r="D8" s="276"/>
      <c r="E8" s="276"/>
    </row>
    <row r="9" spans="2:5" ht="47.25" customHeight="1" x14ac:dyDescent="0.25">
      <c r="B9" s="262" t="s">
        <v>213</v>
      </c>
      <c r="C9" s="262" t="s">
        <v>214</v>
      </c>
      <c r="D9" s="262" t="s">
        <v>215</v>
      </c>
    </row>
    <row r="10" spans="2:5" ht="15.75" customHeight="1" x14ac:dyDescent="0.25">
      <c r="B10" s="262">
        <v>1</v>
      </c>
      <c r="C10" s="262">
        <v>2</v>
      </c>
      <c r="D10" s="262">
        <v>3</v>
      </c>
    </row>
    <row r="11" spans="2:5" ht="45" customHeight="1" x14ac:dyDescent="0.25">
      <c r="B11" s="262" t="s">
        <v>216</v>
      </c>
      <c r="C11" s="262" t="s">
        <v>217</v>
      </c>
      <c r="D11" s="262">
        <v>44.29</v>
      </c>
    </row>
    <row r="12" spans="2:5" ht="29.25" customHeight="1" x14ac:dyDescent="0.25">
      <c r="B12" s="262" t="s">
        <v>218</v>
      </c>
      <c r="C12" s="262" t="s">
        <v>217</v>
      </c>
      <c r="D12" s="262">
        <v>13.47</v>
      </c>
    </row>
    <row r="13" spans="2:5" ht="29.25" customHeight="1" x14ac:dyDescent="0.25">
      <c r="B13" s="262" t="s">
        <v>219</v>
      </c>
      <c r="C13" s="262" t="s">
        <v>217</v>
      </c>
      <c r="D13" s="262">
        <v>8.0399999999999991</v>
      </c>
    </row>
    <row r="14" spans="2:5" ht="30.75" customHeight="1" x14ac:dyDescent="0.25">
      <c r="B14" s="262" t="s">
        <v>220</v>
      </c>
      <c r="C14" s="164" t="s">
        <v>221</v>
      </c>
      <c r="D14" s="262">
        <v>6.26</v>
      </c>
    </row>
    <row r="15" spans="2:5" ht="89.25" customHeight="1" x14ac:dyDescent="0.25">
      <c r="B15" s="262" t="s">
        <v>222</v>
      </c>
      <c r="C15" s="262" t="s">
        <v>223</v>
      </c>
      <c r="D15" s="241">
        <v>3.9E-2</v>
      </c>
    </row>
    <row r="16" spans="2:5" ht="78.75" customHeight="1" x14ac:dyDescent="0.25">
      <c r="B16" s="262" t="s">
        <v>224</v>
      </c>
      <c r="C16" s="262" t="s">
        <v>225</v>
      </c>
      <c r="D16" s="241">
        <v>2.1000000000000001E-2</v>
      </c>
    </row>
    <row r="17" spans="2:4" ht="34.5" customHeight="1" x14ac:dyDescent="0.25">
      <c r="B17" s="262"/>
      <c r="C17" s="262"/>
      <c r="D17" s="262"/>
    </row>
    <row r="18" spans="2:4" ht="31.5" customHeight="1" x14ac:dyDescent="0.25">
      <c r="B18" s="262" t="s">
        <v>226</v>
      </c>
      <c r="C18" s="262" t="s">
        <v>227</v>
      </c>
      <c r="D18" s="241">
        <v>2.1399999999999999E-2</v>
      </c>
    </row>
    <row r="19" spans="2:4" ht="31.5" customHeight="1" x14ac:dyDescent="0.25">
      <c r="B19" s="262" t="s">
        <v>153</v>
      </c>
      <c r="C19" s="262" t="s">
        <v>228</v>
      </c>
      <c r="D19" s="241">
        <v>2E-3</v>
      </c>
    </row>
    <row r="20" spans="2:4" ht="24" customHeight="1" x14ac:dyDescent="0.25">
      <c r="B20" s="262" t="s">
        <v>155</v>
      </c>
      <c r="C20" s="262" t="s">
        <v>229</v>
      </c>
      <c r="D20" s="241">
        <v>0.03</v>
      </c>
    </row>
    <row r="21" spans="2:4" ht="18.75" customHeight="1" x14ac:dyDescent="0.25">
      <c r="B21" s="242"/>
    </row>
    <row r="22" spans="2:4" ht="18.75" customHeight="1" x14ac:dyDescent="0.25">
      <c r="B22" s="242"/>
    </row>
    <row r="23" spans="2:4" ht="18.75" customHeight="1" x14ac:dyDescent="0.25">
      <c r="B23" s="242"/>
    </row>
    <row r="24" spans="2:4" ht="18.75" customHeight="1" x14ac:dyDescent="0.25">
      <c r="B24" s="242"/>
    </row>
    <row r="27" spans="2:4" x14ac:dyDescent="0.25">
      <c r="B27" s="4" t="s">
        <v>230</v>
      </c>
      <c r="C27" s="14"/>
    </row>
    <row r="28" spans="2:4" x14ac:dyDescent="0.25">
      <c r="B28" s="231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195</v>
      </c>
      <c r="C30" s="14"/>
    </row>
    <row r="31" spans="2:4" x14ac:dyDescent="0.25">
      <c r="B31" s="231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D27" sqref="D27"/>
    </sheetView>
  </sheetViews>
  <sheetFormatPr defaultRowHeight="15" x14ac:dyDescent="0.25"/>
  <cols>
    <col min="1" max="1" width="9.140625" style="243" customWidth="1"/>
    <col min="2" max="2" width="44.85546875" style="243" customWidth="1"/>
    <col min="3" max="3" width="13" style="243" customWidth="1"/>
    <col min="4" max="4" width="22.85546875" style="243" customWidth="1"/>
    <col min="5" max="5" width="21.5703125" style="243" customWidth="1"/>
    <col min="6" max="6" width="43.85546875" style="243" customWidth="1"/>
    <col min="7" max="7" width="9.140625" style="243" customWidth="1"/>
  </cols>
  <sheetData>
    <row r="2" spans="1:7" ht="17.25" customHeight="1" x14ac:dyDescent="0.25">
      <c r="A2" s="321" t="s">
        <v>231</v>
      </c>
      <c r="B2" s="321"/>
      <c r="C2" s="321"/>
      <c r="D2" s="321"/>
      <c r="E2" s="321"/>
      <c r="F2" s="321"/>
    </row>
    <row r="4" spans="1:7" ht="18" customHeight="1" x14ac:dyDescent="0.25">
      <c r="A4" s="244" t="s">
        <v>232</v>
      </c>
      <c r="B4" s="245"/>
      <c r="C4" s="245"/>
      <c r="D4" s="245"/>
      <c r="E4" s="245"/>
      <c r="F4" s="245"/>
      <c r="G4" s="245"/>
    </row>
    <row r="5" spans="1:7" ht="15.75" customHeight="1" x14ac:dyDescent="0.25">
      <c r="A5" s="246" t="s">
        <v>13</v>
      </c>
      <c r="B5" s="246" t="s">
        <v>233</v>
      </c>
      <c r="C5" s="246" t="s">
        <v>234</v>
      </c>
      <c r="D5" s="246" t="s">
        <v>235</v>
      </c>
      <c r="E5" s="246" t="s">
        <v>236</v>
      </c>
      <c r="F5" s="246" t="s">
        <v>237</v>
      </c>
      <c r="G5" s="245"/>
    </row>
    <row r="6" spans="1:7" ht="15.75" customHeight="1" x14ac:dyDescent="0.25">
      <c r="A6" s="246">
        <v>1</v>
      </c>
      <c r="B6" s="246">
        <v>2</v>
      </c>
      <c r="C6" s="246">
        <v>3</v>
      </c>
      <c r="D6" s="246">
        <v>4</v>
      </c>
      <c r="E6" s="246">
        <v>5</v>
      </c>
      <c r="F6" s="246">
        <v>6</v>
      </c>
      <c r="G6" s="245"/>
    </row>
    <row r="7" spans="1:7" ht="110.25" customHeight="1" x14ac:dyDescent="0.25">
      <c r="A7" s="247" t="s">
        <v>238</v>
      </c>
      <c r="B7" s="248" t="s">
        <v>239</v>
      </c>
      <c r="C7" s="249" t="s">
        <v>240</v>
      </c>
      <c r="D7" s="249" t="s">
        <v>241</v>
      </c>
      <c r="E7" s="250">
        <v>47872.94</v>
      </c>
      <c r="F7" s="248" t="s">
        <v>242</v>
      </c>
      <c r="G7" s="245"/>
    </row>
    <row r="8" spans="1:7" ht="31.5" customHeight="1" x14ac:dyDescent="0.25">
      <c r="A8" s="247" t="s">
        <v>243</v>
      </c>
      <c r="B8" s="248" t="s">
        <v>244</v>
      </c>
      <c r="C8" s="249" t="s">
        <v>245</v>
      </c>
      <c r="D8" s="249" t="s">
        <v>246</v>
      </c>
      <c r="E8" s="250">
        <f>1973/12</f>
        <v>164.41666666667001</v>
      </c>
      <c r="F8" s="251" t="s">
        <v>247</v>
      </c>
      <c r="G8" s="252"/>
    </row>
    <row r="9" spans="1:7" ht="15.75" customHeight="1" x14ac:dyDescent="0.25">
      <c r="A9" s="247" t="s">
        <v>248</v>
      </c>
      <c r="B9" s="248" t="s">
        <v>249</v>
      </c>
      <c r="C9" s="249" t="s">
        <v>250</v>
      </c>
      <c r="D9" s="249" t="s">
        <v>241</v>
      </c>
      <c r="E9" s="250">
        <v>1</v>
      </c>
      <c r="F9" s="251"/>
      <c r="G9" s="253"/>
    </row>
    <row r="10" spans="1:7" ht="15.75" customHeight="1" x14ac:dyDescent="0.25">
      <c r="A10" s="247" t="s">
        <v>251</v>
      </c>
      <c r="B10" s="248" t="s">
        <v>252</v>
      </c>
      <c r="C10" s="249"/>
      <c r="D10" s="249"/>
      <c r="E10" s="254">
        <v>4.9000000000000004</v>
      </c>
      <c r="F10" s="251" t="s">
        <v>253</v>
      </c>
      <c r="G10" s="253"/>
    </row>
    <row r="11" spans="1:7" ht="78.75" customHeight="1" x14ac:dyDescent="0.25">
      <c r="A11" s="247" t="s">
        <v>254</v>
      </c>
      <c r="B11" s="248" t="s">
        <v>255</v>
      </c>
      <c r="C11" s="249" t="s">
        <v>256</v>
      </c>
      <c r="D11" s="249" t="s">
        <v>241</v>
      </c>
      <c r="E11" s="255">
        <v>1.522</v>
      </c>
      <c r="F11" s="248" t="s">
        <v>257</v>
      </c>
      <c r="G11" s="245"/>
    </row>
    <row r="12" spans="1:7" ht="78.75" customHeight="1" x14ac:dyDescent="0.25">
      <c r="A12" s="247" t="s">
        <v>258</v>
      </c>
      <c r="B12" s="256" t="s">
        <v>259</v>
      </c>
      <c r="C12" s="249" t="s">
        <v>260</v>
      </c>
      <c r="D12" s="249" t="s">
        <v>241</v>
      </c>
      <c r="E12" s="257">
        <v>1.139</v>
      </c>
      <c r="F12" s="258" t="s">
        <v>261</v>
      </c>
      <c r="G12" s="253"/>
    </row>
    <row r="13" spans="1:7" ht="63" customHeight="1" x14ac:dyDescent="0.25">
      <c r="A13" s="247" t="s">
        <v>262</v>
      </c>
      <c r="B13" s="259" t="s">
        <v>263</v>
      </c>
      <c r="C13" s="249" t="s">
        <v>264</v>
      </c>
      <c r="D13" s="249" t="s">
        <v>265</v>
      </c>
      <c r="E13" s="260">
        <f>((E7*E9/E8)*E11)*E12</f>
        <v>504.75733271476997</v>
      </c>
      <c r="F13" s="248" t="s">
        <v>266</v>
      </c>
      <c r="G13" s="245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70" t="s">
        <v>267</v>
      </c>
      <c r="B1" s="370"/>
      <c r="C1" s="370"/>
      <c r="D1" s="370"/>
      <c r="E1" s="370"/>
      <c r="F1" s="370"/>
      <c r="G1" s="370"/>
      <c r="H1" s="370"/>
      <c r="I1" s="370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16" t="e">
        <f>#REF!</f>
        <v>#REF!</v>
      </c>
      <c r="B3" s="316"/>
      <c r="C3" s="316"/>
      <c r="D3" s="316"/>
      <c r="E3" s="316"/>
      <c r="F3" s="316"/>
      <c r="G3" s="316"/>
      <c r="H3" s="316"/>
      <c r="I3" s="316"/>
    </row>
    <row r="4" spans="1:13" s="4" customFormat="1" ht="15.75" customHeight="1" x14ac:dyDescent="0.2">
      <c r="A4" s="371"/>
      <c r="B4" s="371"/>
      <c r="C4" s="371"/>
      <c r="D4" s="371"/>
      <c r="E4" s="371"/>
      <c r="F4" s="371"/>
      <c r="G4" s="371"/>
      <c r="H4" s="371"/>
      <c r="I4" s="371"/>
    </row>
    <row r="5" spans="1:13" s="31" customFormat="1" ht="36.6" customHeight="1" x14ac:dyDescent="0.35">
      <c r="A5" s="372" t="s">
        <v>13</v>
      </c>
      <c r="B5" s="372" t="s">
        <v>268</v>
      </c>
      <c r="C5" s="372" t="s">
        <v>269</v>
      </c>
      <c r="D5" s="372" t="s">
        <v>270</v>
      </c>
      <c r="E5" s="367" t="s">
        <v>271</v>
      </c>
      <c r="F5" s="367"/>
      <c r="G5" s="367"/>
      <c r="H5" s="367"/>
      <c r="I5" s="367"/>
    </row>
    <row r="6" spans="1:13" s="26" customFormat="1" ht="31.5" customHeight="1" x14ac:dyDescent="0.2">
      <c r="A6" s="372"/>
      <c r="B6" s="372"/>
      <c r="C6" s="372"/>
      <c r="D6" s="372"/>
      <c r="E6" s="32" t="s">
        <v>86</v>
      </c>
      <c r="F6" s="32" t="s">
        <v>87</v>
      </c>
      <c r="G6" s="32" t="s">
        <v>43</v>
      </c>
      <c r="H6" s="32" t="s">
        <v>272</v>
      </c>
      <c r="I6" s="32" t="s">
        <v>273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143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274</v>
      </c>
      <c r="C9" s="9" t="s">
        <v>275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276</v>
      </c>
      <c r="C11" s="9" t="s">
        <v>224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108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277</v>
      </c>
      <c r="C12" s="9" t="s">
        <v>278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279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227</v>
      </c>
      <c r="C14" s="9" t="s">
        <v>280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281</v>
      </c>
      <c r="C16" s="9" t="s">
        <v>282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283</v>
      </c>
    </row>
    <row r="17" spans="1:10" s="26" customFormat="1" ht="81.75" customHeight="1" x14ac:dyDescent="0.2">
      <c r="A17" s="33">
        <v>7</v>
      </c>
      <c r="B17" s="9" t="s">
        <v>281</v>
      </c>
      <c r="C17" s="136" t="s">
        <v>284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285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286</v>
      </c>
      <c r="C20" s="9" t="s">
        <v>155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287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288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289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290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291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74" t="s">
        <v>292</v>
      </c>
      <c r="O2" s="374"/>
    </row>
    <row r="3" spans="1:16" x14ac:dyDescent="0.25">
      <c r="A3" s="375" t="s">
        <v>293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</row>
    <row r="5" spans="1:16" s="49" customFormat="1" ht="37.5" customHeight="1" x14ac:dyDescent="0.25">
      <c r="A5" s="376" t="s">
        <v>294</v>
      </c>
      <c r="B5" s="379" t="s">
        <v>295</v>
      </c>
      <c r="C5" s="382" t="s">
        <v>296</v>
      </c>
      <c r="D5" s="385" t="s">
        <v>297</v>
      </c>
      <c r="E5" s="386"/>
      <c r="F5" s="386"/>
      <c r="G5" s="386"/>
      <c r="H5" s="386"/>
      <c r="I5" s="385" t="s">
        <v>298</v>
      </c>
      <c r="J5" s="386"/>
      <c r="K5" s="386"/>
      <c r="L5" s="386"/>
      <c r="M5" s="386"/>
      <c r="N5" s="386"/>
      <c r="O5" s="52" t="s">
        <v>299</v>
      </c>
    </row>
    <row r="6" spans="1:16" s="55" customFormat="1" ht="150" customHeight="1" x14ac:dyDescent="0.25">
      <c r="A6" s="377"/>
      <c r="B6" s="380"/>
      <c r="C6" s="383"/>
      <c r="D6" s="382" t="s">
        <v>300</v>
      </c>
      <c r="E6" s="387" t="s">
        <v>301</v>
      </c>
      <c r="F6" s="388"/>
      <c r="G6" s="389"/>
      <c r="H6" s="53" t="s">
        <v>302</v>
      </c>
      <c r="I6" s="390" t="s">
        <v>303</v>
      </c>
      <c r="J6" s="390" t="s">
        <v>300</v>
      </c>
      <c r="K6" s="391" t="s">
        <v>301</v>
      </c>
      <c r="L6" s="391"/>
      <c r="M6" s="391"/>
      <c r="N6" s="53" t="s">
        <v>302</v>
      </c>
      <c r="O6" s="54" t="s">
        <v>304</v>
      </c>
    </row>
    <row r="7" spans="1:16" s="55" customFormat="1" ht="30.75" customHeight="1" x14ac:dyDescent="0.25">
      <c r="A7" s="378"/>
      <c r="B7" s="381"/>
      <c r="C7" s="384"/>
      <c r="D7" s="384"/>
      <c r="E7" s="52" t="s">
        <v>86</v>
      </c>
      <c r="F7" s="52" t="s">
        <v>87</v>
      </c>
      <c r="G7" s="52" t="s">
        <v>43</v>
      </c>
      <c r="H7" s="56" t="s">
        <v>305</v>
      </c>
      <c r="I7" s="390"/>
      <c r="J7" s="390"/>
      <c r="K7" s="52" t="s">
        <v>86</v>
      </c>
      <c r="L7" s="52" t="s">
        <v>87</v>
      </c>
      <c r="M7" s="52" t="s">
        <v>43</v>
      </c>
      <c r="N7" s="56" t="s">
        <v>305</v>
      </c>
      <c r="O7" s="52" t="s">
        <v>306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76" t="s">
        <v>307</v>
      </c>
      <c r="C9" s="58" t="s">
        <v>308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78"/>
      <c r="C10" s="62" t="s">
        <v>309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76" t="s">
        <v>310</v>
      </c>
      <c r="C11" s="62" t="s">
        <v>311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78"/>
      <c r="C12" s="62" t="s">
        <v>312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76" t="s">
        <v>313</v>
      </c>
      <c r="C13" s="58" t="s">
        <v>314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78"/>
      <c r="C14" s="62" t="s">
        <v>315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316</v>
      </c>
      <c r="C15" s="62" t="s">
        <v>317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318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319</v>
      </c>
    </row>
    <row r="19" spans="1:15" ht="30.75" customHeight="1" x14ac:dyDescent="0.25">
      <c r="L19" s="74"/>
    </row>
    <row r="20" spans="1:15" ht="15" customHeight="1" outlineLevel="1" x14ac:dyDescent="0.25">
      <c r="G20" s="373" t="s">
        <v>320</v>
      </c>
      <c r="H20" s="373"/>
      <c r="I20" s="373"/>
      <c r="J20" s="373"/>
      <c r="K20" s="373"/>
      <c r="L20" s="373"/>
      <c r="M20" s="373"/>
      <c r="N20" s="373"/>
      <c r="O20" s="51"/>
    </row>
    <row r="21" spans="1:15" ht="15.75" customHeight="1" outlineLevel="1" x14ac:dyDescent="0.25">
      <c r="G21" s="75"/>
      <c r="H21" s="75" t="s">
        <v>321</v>
      </c>
      <c r="I21" s="75" t="s">
        <v>322</v>
      </c>
      <c r="J21" s="76" t="s">
        <v>323</v>
      </c>
      <c r="K21" s="77" t="s">
        <v>324</v>
      </c>
      <c r="L21" s="75" t="s">
        <v>325</v>
      </c>
      <c r="M21" s="75" t="s">
        <v>326</v>
      </c>
      <c r="N21" s="76" t="s">
        <v>327</v>
      </c>
      <c r="O21" s="78"/>
    </row>
    <row r="22" spans="1:15" ht="15.75" customHeight="1" outlineLevel="1" x14ac:dyDescent="0.25">
      <c r="G22" s="393" t="s">
        <v>328</v>
      </c>
      <c r="H22" s="392">
        <v>6.09</v>
      </c>
      <c r="I22" s="394">
        <v>6.44</v>
      </c>
      <c r="J22" s="392">
        <v>5.77</v>
      </c>
      <c r="K22" s="394">
        <v>5.77</v>
      </c>
      <c r="L22" s="392">
        <v>5.23</v>
      </c>
      <c r="M22" s="392">
        <v>5.77</v>
      </c>
      <c r="N22" s="79">
        <v>6.29</v>
      </c>
      <c r="O22" s="50" t="s">
        <v>329</v>
      </c>
    </row>
    <row r="23" spans="1:15" ht="15.75" customHeight="1" outlineLevel="1" x14ac:dyDescent="0.25">
      <c r="G23" s="393"/>
      <c r="H23" s="392"/>
      <c r="I23" s="394"/>
      <c r="J23" s="392"/>
      <c r="K23" s="394"/>
      <c r="L23" s="392"/>
      <c r="M23" s="392"/>
      <c r="N23" s="79">
        <v>6.56</v>
      </c>
      <c r="O23" s="50" t="s">
        <v>330</v>
      </c>
    </row>
    <row r="24" spans="1:15" ht="15.75" customHeight="1" outlineLevel="1" x14ac:dyDescent="0.25">
      <c r="G24" s="80" t="s">
        <v>331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305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332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333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272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410" t="s">
        <v>334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4" spans="1:18" ht="36.75" customHeight="1" x14ac:dyDescent="0.25">
      <c r="A4" s="376" t="s">
        <v>294</v>
      </c>
      <c r="B4" s="379" t="s">
        <v>295</v>
      </c>
      <c r="C4" s="382" t="s">
        <v>335</v>
      </c>
      <c r="D4" s="382" t="s">
        <v>336</v>
      </c>
      <c r="E4" s="385" t="s">
        <v>337</v>
      </c>
      <c r="F4" s="386"/>
      <c r="G4" s="386"/>
      <c r="H4" s="386"/>
      <c r="I4" s="386"/>
      <c r="J4" s="386"/>
      <c r="K4" s="386"/>
      <c r="L4" s="386"/>
      <c r="M4" s="386"/>
      <c r="N4" s="411" t="s">
        <v>338</v>
      </c>
      <c r="O4" s="412"/>
      <c r="P4" s="412"/>
      <c r="Q4" s="412"/>
      <c r="R4" s="413"/>
    </row>
    <row r="5" spans="1:18" ht="60" customHeight="1" x14ac:dyDescent="0.25">
      <c r="A5" s="377"/>
      <c r="B5" s="380"/>
      <c r="C5" s="383"/>
      <c r="D5" s="383"/>
      <c r="E5" s="390" t="s">
        <v>339</v>
      </c>
      <c r="F5" s="390" t="s">
        <v>340</v>
      </c>
      <c r="G5" s="387" t="s">
        <v>301</v>
      </c>
      <c r="H5" s="388"/>
      <c r="I5" s="388"/>
      <c r="J5" s="389"/>
      <c r="K5" s="390" t="s">
        <v>341</v>
      </c>
      <c r="L5" s="390"/>
      <c r="M5" s="390"/>
      <c r="N5" s="88" t="s">
        <v>342</v>
      </c>
      <c r="O5" s="88" t="s">
        <v>343</v>
      </c>
      <c r="P5" s="89" t="s">
        <v>344</v>
      </c>
      <c r="Q5" s="90" t="s">
        <v>345</v>
      </c>
      <c r="R5" s="89" t="s">
        <v>346</v>
      </c>
    </row>
    <row r="6" spans="1:18" ht="49.5" customHeight="1" x14ac:dyDescent="0.25">
      <c r="A6" s="378"/>
      <c r="B6" s="381"/>
      <c r="C6" s="384"/>
      <c r="D6" s="384"/>
      <c r="E6" s="390"/>
      <c r="F6" s="390"/>
      <c r="G6" s="52" t="s">
        <v>86</v>
      </c>
      <c r="H6" s="52" t="s">
        <v>87</v>
      </c>
      <c r="I6" s="91" t="s">
        <v>43</v>
      </c>
      <c r="J6" s="91" t="s">
        <v>272</v>
      </c>
      <c r="K6" s="52" t="s">
        <v>342</v>
      </c>
      <c r="L6" s="52" t="s">
        <v>343</v>
      </c>
      <c r="M6" s="52" t="s">
        <v>344</v>
      </c>
      <c r="N6" s="91" t="s">
        <v>347</v>
      </c>
      <c r="O6" s="91" t="s">
        <v>348</v>
      </c>
      <c r="P6" s="91" t="s">
        <v>349</v>
      </c>
      <c r="Q6" s="92" t="s">
        <v>350</v>
      </c>
      <c r="R6" s="93" t="s">
        <v>351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76">
        <v>1</v>
      </c>
      <c r="B9" s="376" t="s">
        <v>352</v>
      </c>
      <c r="C9" s="403" t="s">
        <v>308</v>
      </c>
      <c r="D9" s="98" t="s">
        <v>353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1695.3600216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3.3863775806946002E-2</v>
      </c>
      <c r="O9" s="100">
        <f t="shared" ref="O9:O22" si="2">L9/(G9+H9)</f>
        <v>0</v>
      </c>
      <c r="P9" s="100">
        <f t="shared" ref="P9:P22" si="3">M9/(G9+H9)</f>
        <v>1.652318219292E-2</v>
      </c>
      <c r="Q9" s="101">
        <v>0</v>
      </c>
      <c r="R9" s="102">
        <f>N9+O9+P9+Q9</f>
        <v>5.0386957999864999E-2</v>
      </c>
    </row>
    <row r="10" spans="1:18" ht="72.599999999999994" hidden="1" customHeight="1" x14ac:dyDescent="0.25">
      <c r="A10" s="378"/>
      <c r="B10" s="377"/>
      <c r="C10" s="404"/>
      <c r="D10" s="98" t="s">
        <v>354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13.442130000000001</v>
      </c>
      <c r="N10" s="100">
        <f t="shared" si="1"/>
        <v>4.5248786595059001E-2</v>
      </c>
      <c r="O10" s="100">
        <f t="shared" si="2"/>
        <v>0</v>
      </c>
      <c r="P10" s="100">
        <f t="shared" si="3"/>
        <v>2.0328274718868E-2</v>
      </c>
      <c r="Q10" s="101">
        <v>0</v>
      </c>
      <c r="R10" s="102"/>
    </row>
    <row r="11" spans="1:18" ht="192.75" customHeight="1" x14ac:dyDescent="0.25">
      <c r="A11" s="376">
        <v>2</v>
      </c>
      <c r="B11" s="377"/>
      <c r="C11" s="403" t="s">
        <v>355</v>
      </c>
      <c r="D11" s="103" t="s">
        <v>353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246917.90760000001</v>
      </c>
      <c r="I11" s="99">
        <f>I12*F30</f>
        <v>174701.4558</v>
      </c>
      <c r="J11" s="99"/>
      <c r="K11" s="99">
        <f>K12*1.19*F33</f>
        <v>8486.4829769999997</v>
      </c>
      <c r="L11" s="99">
        <f>L12*1.19*F33</f>
        <v>11572.501646999999</v>
      </c>
      <c r="M11" s="99">
        <f>M12*1.266*F34</f>
        <v>3883.6190735999999</v>
      </c>
      <c r="N11" s="100">
        <f t="shared" si="1"/>
        <v>2.4476289311970999E-2</v>
      </c>
      <c r="O11" s="100">
        <f t="shared" si="2"/>
        <v>3.3376829853179003E-2</v>
      </c>
      <c r="P11" s="100">
        <f t="shared" si="3"/>
        <v>1.1200939692042E-2</v>
      </c>
      <c r="Q11" s="101">
        <v>0</v>
      </c>
      <c r="R11" s="102">
        <f>N11+O11+P11+Q11</f>
        <v>6.9054058857192999E-2</v>
      </c>
    </row>
    <row r="12" spans="1:18" ht="100.9" hidden="1" customHeight="1" x14ac:dyDescent="0.25">
      <c r="A12" s="378"/>
      <c r="B12" s="378"/>
      <c r="C12" s="404"/>
      <c r="D12" s="103" t="s">
        <v>354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3.5605195194586998E-2</v>
      </c>
      <c r="O12" s="100">
        <f t="shared" si="2"/>
        <v>4.8552643203058E-2</v>
      </c>
      <c r="P12" s="100">
        <f t="shared" si="3"/>
        <v>1.5002288893112999E-2</v>
      </c>
      <c r="Q12" s="101">
        <v>0</v>
      </c>
      <c r="R12" s="102"/>
    </row>
    <row r="13" spans="1:18" ht="49.15" customHeight="1" x14ac:dyDescent="0.25">
      <c r="A13" s="376">
        <v>3</v>
      </c>
      <c r="B13" s="376" t="s">
        <v>310</v>
      </c>
      <c r="C13" s="406" t="s">
        <v>311</v>
      </c>
      <c r="D13" s="98" t="s">
        <v>356</v>
      </c>
      <c r="E13" s="99">
        <v>170961.79</v>
      </c>
      <c r="F13" s="99">
        <f t="shared" si="0"/>
        <v>129121.52159999999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100">
        <f t="shared" si="1"/>
        <v>1.5462031915832E-2</v>
      </c>
      <c r="O13" s="100">
        <f t="shared" si="2"/>
        <v>1.9367254017862E-2</v>
      </c>
      <c r="P13" s="100">
        <f t="shared" si="3"/>
        <v>1.5530966140659E-3</v>
      </c>
      <c r="Q13" s="101">
        <v>4.5614105389631997E-3</v>
      </c>
      <c r="R13" s="102">
        <f>N13+O13+P13+Q13</f>
        <v>4.0943793086723003E-2</v>
      </c>
    </row>
    <row r="14" spans="1:18" ht="57" hidden="1" customHeight="1" x14ac:dyDescent="0.25">
      <c r="A14" s="378"/>
      <c r="B14" s="377"/>
      <c r="C14" s="407"/>
      <c r="D14" s="98" t="s">
        <v>354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1.8789815748268001E-2</v>
      </c>
      <c r="O14" s="100">
        <f t="shared" si="2"/>
        <v>2.3535531198387E-2</v>
      </c>
      <c r="P14" s="100">
        <f t="shared" si="3"/>
        <v>1.7740574705247E-3</v>
      </c>
      <c r="Q14" s="101">
        <v>4.9753003421204997E-3</v>
      </c>
      <c r="R14" s="102"/>
    </row>
    <row r="15" spans="1:18" ht="67.900000000000006" customHeight="1" x14ac:dyDescent="0.25">
      <c r="A15" s="376">
        <v>4</v>
      </c>
      <c r="B15" s="377"/>
      <c r="C15" s="408" t="s">
        <v>312</v>
      </c>
      <c r="D15" s="104" t="s">
        <v>356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2.2525618000755001E-2</v>
      </c>
      <c r="O15" s="100">
        <f t="shared" si="2"/>
        <v>2.6866429814977E-2</v>
      </c>
      <c r="P15" s="100">
        <f t="shared" si="3"/>
        <v>6.9359333128888E-3</v>
      </c>
      <c r="Q15" s="101">
        <v>3.5515340532281999E-3</v>
      </c>
      <c r="R15" s="102">
        <f>N15+O15+P15+Q15</f>
        <v>5.9879515181849002E-2</v>
      </c>
    </row>
    <row r="16" spans="1:18" ht="67.900000000000006" hidden="1" customHeight="1" x14ac:dyDescent="0.25">
      <c r="A16" s="378"/>
      <c r="B16" s="378"/>
      <c r="C16" s="409"/>
      <c r="D16" s="104" t="s">
        <v>354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2.8517217139516E-2</v>
      </c>
      <c r="O16" s="100">
        <f t="shared" si="2"/>
        <v>3.4012611298874E-2</v>
      </c>
      <c r="P16" s="100">
        <f t="shared" si="3"/>
        <v>8.0848611548021993E-3</v>
      </c>
      <c r="Q16" s="101">
        <v>3.8737899135989E-3</v>
      </c>
      <c r="R16" s="102"/>
    </row>
    <row r="17" spans="1:18" ht="67.900000000000006" customHeight="1" x14ac:dyDescent="0.25">
      <c r="A17" s="376">
        <v>5</v>
      </c>
      <c r="B17" s="391" t="s">
        <v>313</v>
      </c>
      <c r="C17" s="403" t="s">
        <v>357</v>
      </c>
      <c r="D17" s="98" t="s">
        <v>358</v>
      </c>
      <c r="E17" s="99">
        <v>561932.85</v>
      </c>
      <c r="F17" s="99">
        <f>G17+H17+I17</f>
        <v>399667.21620000002</v>
      </c>
      <c r="G17" s="99">
        <f>G18*I28</f>
        <v>163785.296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1734.8322095999999</v>
      </c>
      <c r="N17" s="100">
        <f t="shared" si="1"/>
        <v>6.1677626090981999E-2</v>
      </c>
      <c r="O17" s="100">
        <f t="shared" si="2"/>
        <v>0</v>
      </c>
      <c r="P17" s="100">
        <f t="shared" si="3"/>
        <v>5.5684105147574998E-3</v>
      </c>
      <c r="Q17" s="101">
        <v>5.5643872525604002E-3</v>
      </c>
      <c r="R17" s="102">
        <f>N17+O17+P17+Q17</f>
        <v>7.2810423858299E-2</v>
      </c>
    </row>
    <row r="18" spans="1:18" ht="67.900000000000006" hidden="1" customHeight="1" x14ac:dyDescent="0.25">
      <c r="A18" s="378"/>
      <c r="B18" s="391"/>
      <c r="C18" s="404"/>
      <c r="D18" s="98" t="s">
        <v>354</v>
      </c>
      <c r="E18" s="99">
        <v>94393.09</v>
      </c>
      <c r="F18" s="99">
        <f>G18+H18+I18</f>
        <v>69651.210000000006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8.3321545724441004E-2</v>
      </c>
      <c r="O18" s="100">
        <f t="shared" si="2"/>
        <v>0</v>
      </c>
      <c r="P18" s="100">
        <f t="shared" si="3"/>
        <v>7.0000052993284996E-3</v>
      </c>
      <c r="Q18" s="101">
        <v>9.4728844648146997E-3</v>
      </c>
      <c r="R18" s="102"/>
    </row>
    <row r="19" spans="1:18" ht="67.900000000000006" customHeight="1" x14ac:dyDescent="0.25">
      <c r="A19" s="376">
        <v>6</v>
      </c>
      <c r="B19" s="391"/>
      <c r="C19" s="403" t="s">
        <v>315</v>
      </c>
      <c r="D19" s="104" t="s">
        <v>356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4.0112401119907999E-2</v>
      </c>
      <c r="O19" s="100">
        <f t="shared" si="2"/>
        <v>0</v>
      </c>
      <c r="P19" s="100">
        <f t="shared" si="3"/>
        <v>5.2015534168579998E-3</v>
      </c>
      <c r="Q19" s="101">
        <v>5.1286902198045999E-3</v>
      </c>
      <c r="R19" s="102">
        <f>N19+O19+P19+Q19</f>
        <v>5.0442644756571002E-2</v>
      </c>
    </row>
    <row r="20" spans="1:18" ht="67.900000000000006" hidden="1" customHeight="1" x14ac:dyDescent="0.25">
      <c r="A20" s="378"/>
      <c r="B20" s="391"/>
      <c r="C20" s="404"/>
      <c r="D20" s="104" t="s">
        <v>354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4.7553687712675E-2</v>
      </c>
      <c r="O20" s="100">
        <f t="shared" si="2"/>
        <v>0</v>
      </c>
      <c r="P20" s="100">
        <f t="shared" si="3"/>
        <v>5.6851131580381003E-3</v>
      </c>
      <c r="Q20" s="101">
        <v>5.5940533914911996E-3</v>
      </c>
      <c r="R20" s="102"/>
    </row>
    <row r="21" spans="1:18" ht="67.900000000000006" customHeight="1" x14ac:dyDescent="0.25">
      <c r="A21" s="376">
        <v>7</v>
      </c>
      <c r="B21" s="376" t="s">
        <v>316</v>
      </c>
      <c r="C21" s="403" t="s">
        <v>317</v>
      </c>
      <c r="D21" s="104" t="s">
        <v>359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201852.46119999999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</v>
      </c>
      <c r="N21" s="100">
        <f t="shared" si="1"/>
        <v>8.0473539343916007E-3</v>
      </c>
      <c r="O21" s="100">
        <f t="shared" si="2"/>
        <v>1.2071027027926E-2</v>
      </c>
      <c r="P21" s="100">
        <f t="shared" si="3"/>
        <v>1.8978730522309999E-3</v>
      </c>
      <c r="Q21" s="101">
        <v>5.9210415358545E-4</v>
      </c>
      <c r="R21" s="102">
        <f>N21+O21+P21+Q21</f>
        <v>2.2608358168133998E-2</v>
      </c>
    </row>
    <row r="22" spans="1:18" ht="67.900000000000006" hidden="1" customHeight="1" x14ac:dyDescent="0.25">
      <c r="A22" s="378"/>
      <c r="B22" s="378"/>
      <c r="C22" s="404"/>
      <c r="D22" s="105" t="s">
        <v>354</v>
      </c>
      <c r="E22" s="106">
        <v>2195184.4700000002</v>
      </c>
      <c r="F22" s="106">
        <f>G22+H22+I22+J22</f>
        <v>981651.63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1.1115444551008E-2</v>
      </c>
      <c r="O22" s="107">
        <f t="shared" si="2"/>
        <v>1.6673161475998E-2</v>
      </c>
      <c r="P22" s="107">
        <f t="shared" si="3"/>
        <v>2.4393737656901999E-3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360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2.9452156597254999E-2</v>
      </c>
      <c r="O23" s="114">
        <f>(O9+O11+O13+O15+O17+O19+O21)/7</f>
        <v>1.3097362959135E-2</v>
      </c>
      <c r="P23" s="114">
        <f>(P9+P11+P13+P15+P17+P19+P21)/7</f>
        <v>6.9829983993947003E-3</v>
      </c>
      <c r="Q23" s="114">
        <f>(Q9+Q11+Q13+Q15+Q17+Q19+Q21)/7</f>
        <v>2.7711608883059999E-3</v>
      </c>
      <c r="R23" s="114">
        <f>N23+O23+P23+Q23</f>
        <v>5.2303678844090998E-2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405" t="s">
        <v>361</v>
      </c>
      <c r="E26" s="405"/>
      <c r="F26" s="405"/>
      <c r="G26" s="405"/>
      <c r="H26" s="405"/>
      <c r="I26" s="405"/>
      <c r="J26" s="405"/>
      <c r="K26" s="405"/>
      <c r="L26" s="120"/>
      <c r="R26" s="121"/>
    </row>
    <row r="27" spans="1:18" outlineLevel="1" x14ac:dyDescent="0.25">
      <c r="D27" s="122"/>
      <c r="E27" s="122" t="s">
        <v>321</v>
      </c>
      <c r="F27" s="122" t="s">
        <v>322</v>
      </c>
      <c r="G27" s="122" t="s">
        <v>323</v>
      </c>
      <c r="H27" s="123" t="s">
        <v>324</v>
      </c>
      <c r="I27" s="123" t="s">
        <v>325</v>
      </c>
      <c r="J27" s="123" t="s">
        <v>326</v>
      </c>
      <c r="K27" s="110" t="s">
        <v>327</v>
      </c>
      <c r="L27" s="51"/>
    </row>
    <row r="28" spans="1:18" outlineLevel="1" x14ac:dyDescent="0.25">
      <c r="D28" s="399" t="s">
        <v>328</v>
      </c>
      <c r="E28" s="397">
        <v>6.09</v>
      </c>
      <c r="F28" s="401">
        <v>6.63</v>
      </c>
      <c r="G28" s="397">
        <v>5.77</v>
      </c>
      <c r="H28" s="395">
        <v>5.77</v>
      </c>
      <c r="I28" s="395">
        <v>6.35</v>
      </c>
      <c r="J28" s="397">
        <v>5.77</v>
      </c>
      <c r="K28" s="124">
        <v>6.29</v>
      </c>
      <c r="L28" s="86" t="s">
        <v>329</v>
      </c>
      <c r="M28" s="51"/>
    </row>
    <row r="29" spans="1:18" outlineLevel="1" x14ac:dyDescent="0.25">
      <c r="D29" s="400"/>
      <c r="E29" s="398"/>
      <c r="F29" s="402"/>
      <c r="G29" s="398"/>
      <c r="H29" s="396"/>
      <c r="I29" s="396"/>
      <c r="J29" s="398"/>
      <c r="K29" s="124">
        <v>6.56</v>
      </c>
      <c r="L29" s="86" t="s">
        <v>330</v>
      </c>
      <c r="M29" s="51"/>
    </row>
    <row r="30" spans="1:18" outlineLevel="1" x14ac:dyDescent="0.25">
      <c r="D30" s="125" t="s">
        <v>331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399" t="s">
        <v>305</v>
      </c>
      <c r="E31" s="397">
        <v>11.37</v>
      </c>
      <c r="F31" s="401">
        <v>13.56</v>
      </c>
      <c r="G31" s="397">
        <v>15.91</v>
      </c>
      <c r="H31" s="395">
        <v>15.91</v>
      </c>
      <c r="I31" s="395">
        <v>14.03</v>
      </c>
      <c r="J31" s="397">
        <v>15.91</v>
      </c>
      <c r="K31" s="124">
        <v>8.2899999999999991</v>
      </c>
      <c r="L31" s="86" t="s">
        <v>329</v>
      </c>
      <c r="R31" s="115"/>
    </row>
    <row r="32" spans="1:18" s="86" customFormat="1" outlineLevel="1" x14ac:dyDescent="0.25">
      <c r="D32" s="400"/>
      <c r="E32" s="398"/>
      <c r="F32" s="402"/>
      <c r="G32" s="398"/>
      <c r="H32" s="396"/>
      <c r="I32" s="396"/>
      <c r="J32" s="398"/>
      <c r="K32" s="124">
        <v>11.84</v>
      </c>
      <c r="L32" s="86" t="s">
        <v>330</v>
      </c>
      <c r="R32" s="115"/>
    </row>
    <row r="33" spans="4:18" s="86" customFormat="1" ht="15" customHeight="1" outlineLevel="1" x14ac:dyDescent="0.25">
      <c r="D33" s="128" t="s">
        <v>332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362</v>
      </c>
      <c r="R33" s="115"/>
    </row>
    <row r="34" spans="4:18" s="86" customFormat="1" outlineLevel="1" x14ac:dyDescent="0.25">
      <c r="D34" s="128" t="s">
        <v>333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362</v>
      </c>
      <c r="R34" s="115"/>
    </row>
    <row r="35" spans="4:18" s="86" customFormat="1" outlineLevel="1" x14ac:dyDescent="0.25">
      <c r="D35" s="125" t="s">
        <v>272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3" t="s">
        <v>10</v>
      </c>
      <c r="B2" s="313"/>
      <c r="C2" s="313"/>
      <c r="D2" s="313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6"/>
    </row>
    <row r="5" spans="1:4" x14ac:dyDescent="0.25">
      <c r="A5" s="6"/>
      <c r="B5" s="1"/>
      <c r="C5" s="1"/>
    </row>
    <row r="6" spans="1:4" x14ac:dyDescent="0.25">
      <c r="A6" s="313" t="s">
        <v>12</v>
      </c>
      <c r="B6" s="313"/>
      <c r="C6" s="313"/>
      <c r="D6" s="313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7" t="s">
        <v>5</v>
      </c>
      <c r="B15" s="318" t="s">
        <v>15</v>
      </c>
      <c r="C15" s="318"/>
      <c r="D15" s="318"/>
    </row>
    <row r="16" spans="1:4" x14ac:dyDescent="0.25">
      <c r="A16" s="317"/>
      <c r="B16" s="317" t="s">
        <v>17</v>
      </c>
      <c r="C16" s="318" t="s">
        <v>28</v>
      </c>
      <c r="D16" s="318"/>
    </row>
    <row r="17" spans="1:4" ht="39" customHeight="1" x14ac:dyDescent="0.25">
      <c r="A17" s="317"/>
      <c r="B17" s="317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19" t="s">
        <v>29</v>
      </c>
      <c r="B2" s="319"/>
      <c r="C2" s="319"/>
      <c r="D2" s="319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17" zoomScale="85" zoomScaleNormal="55" zoomScaleSheetLayoutView="85" workbookViewId="0">
      <selection activeCell="F30" sqref="F30"/>
    </sheetView>
  </sheetViews>
  <sheetFormatPr defaultColWidth="9.140625" defaultRowHeight="15.75" x14ac:dyDescent="0.25"/>
  <cols>
    <col min="1" max="2" width="9.140625" style="160"/>
    <col min="3" max="3" width="36.85546875" style="160" customWidth="1"/>
    <col min="4" max="4" width="36.5703125" style="160" customWidth="1"/>
    <col min="5" max="5" width="17.5703125" style="160" customWidth="1"/>
    <col min="6" max="6" width="18.7109375" style="160" customWidth="1"/>
    <col min="7" max="7" width="9.140625" style="160"/>
  </cols>
  <sheetData>
    <row r="3" spans="2:4" x14ac:dyDescent="0.25">
      <c r="B3" s="320" t="s">
        <v>45</v>
      </c>
      <c r="C3" s="320"/>
      <c r="D3" s="320"/>
    </row>
    <row r="4" spans="2:4" x14ac:dyDescent="0.25">
      <c r="B4" s="321" t="s">
        <v>46</v>
      </c>
      <c r="C4" s="321"/>
      <c r="D4" s="321"/>
    </row>
    <row r="5" spans="2:4" x14ac:dyDescent="0.25">
      <c r="B5" s="161"/>
      <c r="C5" s="161"/>
      <c r="D5" s="161"/>
    </row>
    <row r="6" spans="2:4" x14ac:dyDescent="0.25">
      <c r="B6" s="161"/>
      <c r="C6" s="161"/>
      <c r="D6" s="161"/>
    </row>
    <row r="7" spans="2:4" ht="61.5" customHeight="1" x14ac:dyDescent="0.25">
      <c r="B7" s="322" t="s">
        <v>47</v>
      </c>
      <c r="C7" s="323"/>
      <c r="D7" s="323"/>
    </row>
    <row r="8" spans="2:4" ht="31.5" customHeight="1" x14ac:dyDescent="0.25">
      <c r="B8" s="323" t="s">
        <v>48</v>
      </c>
      <c r="C8" s="323"/>
      <c r="D8" s="323"/>
    </row>
    <row r="9" spans="2:4" x14ac:dyDescent="0.25">
      <c r="B9" s="323" t="s">
        <v>49</v>
      </c>
      <c r="C9" s="323"/>
      <c r="D9" s="323"/>
    </row>
    <row r="10" spans="2:4" x14ac:dyDescent="0.25">
      <c r="B10" s="261"/>
    </row>
    <row r="11" spans="2:4" x14ac:dyDescent="0.25">
      <c r="B11" s="262" t="s">
        <v>33</v>
      </c>
      <c r="C11" s="262" t="s">
        <v>50</v>
      </c>
      <c r="D11" s="162" t="s">
        <v>51</v>
      </c>
    </row>
    <row r="12" spans="2:4" ht="157.5" customHeight="1" x14ac:dyDescent="0.25">
      <c r="B12" s="262">
        <v>1</v>
      </c>
      <c r="C12" s="162" t="s">
        <v>52</v>
      </c>
      <c r="D12" s="312" t="s">
        <v>53</v>
      </c>
    </row>
    <row r="13" spans="2:4" ht="31.5" customHeight="1" x14ac:dyDescent="0.25">
      <c r="B13" s="262">
        <v>2</v>
      </c>
      <c r="C13" s="162" t="s">
        <v>54</v>
      </c>
      <c r="D13" s="312" t="s">
        <v>55</v>
      </c>
    </row>
    <row r="14" spans="2:4" x14ac:dyDescent="0.25">
      <c r="B14" s="262">
        <v>3</v>
      </c>
      <c r="C14" s="162" t="s">
        <v>56</v>
      </c>
      <c r="D14" s="312" t="s">
        <v>57</v>
      </c>
    </row>
    <row r="15" spans="2:4" x14ac:dyDescent="0.25">
      <c r="B15" s="262">
        <v>4</v>
      </c>
      <c r="C15" s="162" t="s">
        <v>58</v>
      </c>
      <c r="D15" s="312">
        <v>1</v>
      </c>
    </row>
    <row r="16" spans="2:4" ht="94.5" customHeight="1" x14ac:dyDescent="0.25">
      <c r="B16" s="262">
        <v>5</v>
      </c>
      <c r="C16" s="164" t="s">
        <v>59</v>
      </c>
      <c r="D16" s="162" t="s">
        <v>60</v>
      </c>
    </row>
    <row r="17" spans="2:6" ht="78.75" customHeight="1" x14ac:dyDescent="0.25">
      <c r="B17" s="262">
        <v>6</v>
      </c>
      <c r="C17" s="164" t="s">
        <v>61</v>
      </c>
      <c r="D17" s="165">
        <f>SUM(D18:D19)</f>
        <v>20504.607160799998</v>
      </c>
    </row>
    <row r="18" spans="2:6" x14ac:dyDescent="0.25">
      <c r="B18" s="166" t="s">
        <v>62</v>
      </c>
      <c r="C18" s="162" t="s">
        <v>63</v>
      </c>
      <c r="D18" s="165">
        <f>'Прил.2 Расч стоим'!F12</f>
        <v>6.9897463999999996</v>
      </c>
    </row>
    <row r="19" spans="2:6" ht="15.75" customHeight="1" x14ac:dyDescent="0.25">
      <c r="B19" s="166" t="s">
        <v>64</v>
      </c>
      <c r="C19" s="162" t="s">
        <v>65</v>
      </c>
      <c r="D19" s="165">
        <f>'Прил.2 Расч стоим'!H12</f>
        <v>20497.6174144</v>
      </c>
    </row>
    <row r="20" spans="2:6" ht="16.5" customHeight="1" x14ac:dyDescent="0.25">
      <c r="B20" s="166" t="s">
        <v>66</v>
      </c>
      <c r="C20" s="162" t="s">
        <v>67</v>
      </c>
      <c r="D20" s="165"/>
      <c r="F20" s="167"/>
    </row>
    <row r="21" spans="2:6" ht="35.25" customHeight="1" x14ac:dyDescent="0.25">
      <c r="B21" s="166" t="s">
        <v>68</v>
      </c>
      <c r="C21" s="168" t="s">
        <v>69</v>
      </c>
      <c r="D21" s="165"/>
    </row>
    <row r="22" spans="2:6" x14ac:dyDescent="0.25">
      <c r="B22" s="262">
        <v>7</v>
      </c>
      <c r="C22" s="168" t="s">
        <v>70</v>
      </c>
      <c r="D22" s="169" t="s">
        <v>71</v>
      </c>
    </row>
    <row r="23" spans="2:6" ht="123" customHeight="1" x14ac:dyDescent="0.25">
      <c r="B23" s="262">
        <v>8</v>
      </c>
      <c r="C23" s="170" t="s">
        <v>72</v>
      </c>
      <c r="D23" s="165">
        <f>D17</f>
        <v>20504.607160799998</v>
      </c>
    </row>
    <row r="24" spans="2:6" ht="60.75" customHeight="1" x14ac:dyDescent="0.25">
      <c r="B24" s="262">
        <v>9</v>
      </c>
      <c r="C24" s="164" t="s">
        <v>73</v>
      </c>
      <c r="D24" s="165">
        <f>D17/D15</f>
        <v>20504.607160799998</v>
      </c>
    </row>
    <row r="25" spans="2:6" ht="118.5" customHeight="1" x14ac:dyDescent="0.25">
      <c r="B25" s="262">
        <v>10</v>
      </c>
      <c r="C25" s="162" t="s">
        <v>74</v>
      </c>
      <c r="D25" s="162"/>
    </row>
    <row r="26" spans="2:6" x14ac:dyDescent="0.25">
      <c r="B26" s="171"/>
      <c r="C26" s="172"/>
      <c r="D26" s="172"/>
    </row>
    <row r="27" spans="2:6" ht="37.5" customHeight="1" x14ac:dyDescent="0.25">
      <c r="B27" s="173"/>
    </row>
    <row r="28" spans="2:6" x14ac:dyDescent="0.25">
      <c r="B28" s="160" t="s">
        <v>75</v>
      </c>
    </row>
    <row r="29" spans="2:6" x14ac:dyDescent="0.25">
      <c r="B29" s="173" t="s">
        <v>76</v>
      </c>
    </row>
    <row r="31" spans="2:6" x14ac:dyDescent="0.25">
      <c r="B31" s="160" t="s">
        <v>77</v>
      </c>
    </row>
    <row r="32" spans="2:6" x14ac:dyDescent="0.25">
      <c r="B32" s="173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4"/>
  <sheetViews>
    <sheetView view="pageBreakPreview" zoomScale="70" zoomScaleNormal="70" workbookViewId="0">
      <selection activeCell="D27" sqref="D27"/>
    </sheetView>
  </sheetViews>
  <sheetFormatPr defaultColWidth="9.140625" defaultRowHeight="15.75" x14ac:dyDescent="0.25"/>
  <cols>
    <col min="1" max="1" width="5.5703125" style="160" customWidth="1"/>
    <col min="2" max="2" width="9.140625" style="160"/>
    <col min="3" max="3" width="35.28515625" style="160" customWidth="1"/>
    <col min="4" max="4" width="13.85546875" style="160" customWidth="1"/>
    <col min="5" max="5" width="24.85546875" style="160" customWidth="1"/>
    <col min="6" max="6" width="15.5703125" style="160" customWidth="1"/>
    <col min="7" max="7" width="14.85546875" style="160" customWidth="1"/>
    <col min="8" max="8" width="16.7109375" style="160" customWidth="1"/>
    <col min="9" max="9" width="13" style="160" customWidth="1"/>
    <col min="10" max="10" width="16" style="160" customWidth="1"/>
    <col min="11" max="11" width="18" style="160" customWidth="1"/>
    <col min="12" max="12" width="9.140625" style="160"/>
  </cols>
  <sheetData>
    <row r="3" spans="2:12" x14ac:dyDescent="0.25">
      <c r="B3" s="320" t="s">
        <v>79</v>
      </c>
      <c r="C3" s="320"/>
      <c r="D3" s="320"/>
      <c r="E3" s="320"/>
      <c r="F3" s="320"/>
      <c r="G3" s="320"/>
      <c r="H3" s="320"/>
      <c r="I3" s="320"/>
      <c r="J3" s="320"/>
      <c r="K3" s="173"/>
    </row>
    <row r="4" spans="2:12" x14ac:dyDescent="0.25">
      <c r="B4" s="321" t="s">
        <v>80</v>
      </c>
      <c r="C4" s="321"/>
      <c r="D4" s="321"/>
      <c r="E4" s="321"/>
      <c r="F4" s="321"/>
      <c r="G4" s="321"/>
      <c r="H4" s="321"/>
      <c r="I4" s="321"/>
      <c r="J4" s="321"/>
      <c r="K4" s="321"/>
    </row>
    <row r="5" spans="2:12" x14ac:dyDescent="0.25">
      <c r="B5" s="161"/>
      <c r="C5" s="161"/>
      <c r="D5" s="161"/>
      <c r="E5" s="161"/>
      <c r="F5" s="161"/>
      <c r="G5" s="161"/>
      <c r="H5" s="161"/>
      <c r="I5" s="161"/>
      <c r="J5" s="161"/>
      <c r="K5" s="161"/>
    </row>
    <row r="6" spans="2:12" ht="33" customHeight="1" x14ac:dyDescent="0.25">
      <c r="B6" s="325" t="s">
        <v>81</v>
      </c>
      <c r="C6" s="325"/>
      <c r="D6" s="325"/>
      <c r="E6" s="325"/>
      <c r="F6" s="325"/>
      <c r="G6" s="325"/>
      <c r="H6" s="325"/>
      <c r="I6" s="325"/>
      <c r="J6" s="325"/>
      <c r="K6" s="173"/>
      <c r="L6" s="174"/>
    </row>
    <row r="7" spans="2:12" x14ac:dyDescent="0.25">
      <c r="B7" s="323" t="s">
        <v>49</v>
      </c>
      <c r="C7" s="323"/>
      <c r="D7" s="323"/>
      <c r="E7" s="323"/>
      <c r="F7" s="323"/>
      <c r="G7" s="323"/>
      <c r="H7" s="323"/>
      <c r="I7" s="323"/>
      <c r="J7" s="323"/>
      <c r="K7" s="323"/>
      <c r="L7" s="174"/>
    </row>
    <row r="8" spans="2:12" x14ac:dyDescent="0.25">
      <c r="B8" s="261"/>
    </row>
    <row r="9" spans="2:12" ht="15.75" customHeight="1" x14ac:dyDescent="0.25">
      <c r="B9" s="326" t="s">
        <v>33</v>
      </c>
      <c r="C9" s="326" t="s">
        <v>82</v>
      </c>
      <c r="D9" s="326" t="s">
        <v>51</v>
      </c>
      <c r="E9" s="326"/>
      <c r="F9" s="326"/>
      <c r="G9" s="326"/>
      <c r="H9" s="326"/>
      <c r="I9" s="326"/>
      <c r="J9" s="326"/>
    </row>
    <row r="10" spans="2:12" ht="15.75" customHeight="1" x14ac:dyDescent="0.25">
      <c r="B10" s="326"/>
      <c r="C10" s="326"/>
      <c r="D10" s="326" t="s">
        <v>83</v>
      </c>
      <c r="E10" s="326" t="s">
        <v>84</v>
      </c>
      <c r="F10" s="326" t="s">
        <v>85</v>
      </c>
      <c r="G10" s="326"/>
      <c r="H10" s="326"/>
      <c r="I10" s="326"/>
      <c r="J10" s="326"/>
    </row>
    <row r="11" spans="2:12" ht="31.5" customHeight="1" x14ac:dyDescent="0.25">
      <c r="B11" s="326"/>
      <c r="C11" s="326"/>
      <c r="D11" s="326"/>
      <c r="E11" s="326"/>
      <c r="F11" s="262" t="s">
        <v>86</v>
      </c>
      <c r="G11" s="262" t="s">
        <v>87</v>
      </c>
      <c r="H11" s="262" t="s">
        <v>43</v>
      </c>
      <c r="I11" s="262" t="s">
        <v>88</v>
      </c>
      <c r="J11" s="262" t="s">
        <v>89</v>
      </c>
    </row>
    <row r="12" spans="2:12" ht="63" customHeight="1" x14ac:dyDescent="0.25">
      <c r="B12" s="263">
        <v>1</v>
      </c>
      <c r="C12" s="280" t="s">
        <v>60</v>
      </c>
      <c r="D12" s="175"/>
      <c r="E12" s="163"/>
      <c r="F12" s="327">
        <v>6.9897463999999996</v>
      </c>
      <c r="G12" s="328"/>
      <c r="H12" s="176">
        <v>20497.6174144</v>
      </c>
      <c r="I12" s="177"/>
      <c r="J12" s="178">
        <f>SUM(F12:I12)</f>
        <v>20504.607160799998</v>
      </c>
    </row>
    <row r="13" spans="2:12" ht="15.75" customHeight="1" x14ac:dyDescent="0.25">
      <c r="B13" s="324" t="s">
        <v>90</v>
      </c>
      <c r="C13" s="324"/>
      <c r="D13" s="324"/>
      <c r="E13" s="324"/>
      <c r="F13" s="329">
        <f>F12</f>
        <v>6.9897463999999996</v>
      </c>
      <c r="G13" s="330"/>
      <c r="H13" s="179">
        <f>H12</f>
        <v>20497.6174144</v>
      </c>
      <c r="I13" s="180"/>
      <c r="J13" s="181">
        <f>SUM(F13:I13)</f>
        <v>20504.607160799998</v>
      </c>
    </row>
    <row r="14" spans="2:12" ht="28.5" customHeight="1" x14ac:dyDescent="0.25">
      <c r="B14" s="324" t="s">
        <v>91</v>
      </c>
      <c r="C14" s="324"/>
      <c r="D14" s="324"/>
      <c r="E14" s="324"/>
      <c r="F14" s="329">
        <f>F12</f>
        <v>6.9897463999999996</v>
      </c>
      <c r="G14" s="330"/>
      <c r="H14" s="179">
        <f>H12</f>
        <v>20497.6174144</v>
      </c>
      <c r="I14" s="180"/>
      <c r="J14" s="181">
        <f>SUM(F14:I14)</f>
        <v>20504.607160799998</v>
      </c>
    </row>
    <row r="16" spans="2:12" x14ac:dyDescent="0.25">
      <c r="B16" s="182" t="s">
        <v>92</v>
      </c>
      <c r="C16" s="160" t="s">
        <v>93</v>
      </c>
    </row>
    <row r="20" spans="2:2" x14ac:dyDescent="0.25">
      <c r="B20" s="160" t="s">
        <v>75</v>
      </c>
    </row>
    <row r="21" spans="2:2" x14ac:dyDescent="0.25">
      <c r="B21" s="173" t="s">
        <v>76</v>
      </c>
    </row>
    <row r="23" spans="2:2" x14ac:dyDescent="0.25">
      <c r="B23" s="160" t="s">
        <v>77</v>
      </c>
    </row>
    <row r="24" spans="2:2" x14ac:dyDescent="0.25">
      <c r="B24" s="173" t="s">
        <v>78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26"/>
  <sheetViews>
    <sheetView view="pageBreakPreview" zoomScale="55" zoomScaleSheetLayoutView="55" workbookViewId="0">
      <selection activeCell="F172" sqref="F172"/>
    </sheetView>
  </sheetViews>
  <sheetFormatPr defaultColWidth="9.140625" defaultRowHeight="15.75" x14ac:dyDescent="0.25"/>
  <cols>
    <col min="1" max="1" width="9.140625" style="160"/>
    <col min="2" max="2" width="12.5703125" style="160" customWidth="1"/>
    <col min="3" max="3" width="22.42578125" style="160" customWidth="1"/>
    <col min="4" max="4" width="49.7109375" style="160" customWidth="1"/>
    <col min="5" max="5" width="10.140625" style="183" customWidth="1"/>
    <col min="6" max="6" width="20.7109375" style="160" customWidth="1"/>
    <col min="7" max="7" width="16.140625" style="160" customWidth="1"/>
    <col min="8" max="8" width="16.7109375" style="160" customWidth="1"/>
    <col min="9" max="9" width="9.140625" style="160"/>
    <col min="10" max="10" width="10.28515625" style="160" customWidth="1"/>
    <col min="11" max="11" width="9.140625" style="160"/>
  </cols>
  <sheetData>
    <row r="2" spans="1:12" s="301" customFormat="1" x14ac:dyDescent="0.25">
      <c r="A2" s="300"/>
      <c r="B2" s="300"/>
      <c r="C2" s="300"/>
      <c r="D2" s="300"/>
      <c r="E2" s="183"/>
      <c r="F2" s="300"/>
      <c r="G2" s="300"/>
      <c r="H2" s="300"/>
      <c r="I2" s="300"/>
      <c r="J2" s="300"/>
      <c r="K2" s="300"/>
    </row>
    <row r="3" spans="1:12" s="301" customFormat="1" x14ac:dyDescent="0.25">
      <c r="A3" s="300"/>
      <c r="B3" s="300"/>
      <c r="C3" s="300"/>
      <c r="D3" s="300"/>
      <c r="E3" s="183"/>
      <c r="F3" s="300"/>
      <c r="G3" s="300"/>
      <c r="H3" s="300"/>
      <c r="I3" s="300"/>
      <c r="J3" s="300"/>
      <c r="K3" s="300"/>
    </row>
    <row r="4" spans="1:12" x14ac:dyDescent="0.25">
      <c r="A4" s="320" t="s">
        <v>94</v>
      </c>
      <c r="B4" s="320"/>
      <c r="C4" s="320"/>
      <c r="D4" s="320"/>
      <c r="E4" s="320"/>
      <c r="F4" s="320"/>
      <c r="G4" s="320"/>
      <c r="H4" s="320"/>
    </row>
    <row r="5" spans="1:12" x14ac:dyDescent="0.25">
      <c r="A5" s="321" t="s">
        <v>95</v>
      </c>
      <c r="B5" s="321"/>
      <c r="C5" s="321"/>
      <c r="D5" s="321"/>
      <c r="E5" s="321"/>
      <c r="F5" s="321"/>
      <c r="G5" s="321"/>
      <c r="H5" s="321"/>
    </row>
    <row r="6" spans="1:12" x14ac:dyDescent="0.25">
      <c r="A6" s="261"/>
    </row>
    <row r="7" spans="1:12" x14ac:dyDescent="0.25">
      <c r="A7" s="334" t="s">
        <v>96</v>
      </c>
      <c r="B7" s="334"/>
      <c r="C7" s="334"/>
      <c r="D7" s="334"/>
      <c r="E7" s="334"/>
      <c r="F7" s="334"/>
      <c r="G7" s="334"/>
      <c r="H7" s="334"/>
    </row>
    <row r="8" spans="1:12" x14ac:dyDescent="0.25">
      <c r="A8" s="184"/>
      <c r="B8" s="184"/>
      <c r="C8" s="184"/>
      <c r="D8" s="184"/>
      <c r="E8" s="161"/>
      <c r="F8" s="184"/>
      <c r="G8" s="184"/>
      <c r="H8" s="184"/>
    </row>
    <row r="9" spans="1:12" ht="38.25" customHeight="1" x14ac:dyDescent="0.25">
      <c r="A9" s="326" t="s">
        <v>97</v>
      </c>
      <c r="B9" s="326" t="s">
        <v>98</v>
      </c>
      <c r="C9" s="326" t="s">
        <v>99</v>
      </c>
      <c r="D9" s="326" t="s">
        <v>100</v>
      </c>
      <c r="E9" s="326" t="s">
        <v>101</v>
      </c>
      <c r="F9" s="326" t="s">
        <v>102</v>
      </c>
      <c r="G9" s="326" t="s">
        <v>103</v>
      </c>
      <c r="H9" s="326"/>
    </row>
    <row r="10" spans="1:12" ht="40.5" customHeight="1" x14ac:dyDescent="0.25">
      <c r="A10" s="326"/>
      <c r="B10" s="326"/>
      <c r="C10" s="326"/>
      <c r="D10" s="326"/>
      <c r="E10" s="326"/>
      <c r="F10" s="326"/>
      <c r="G10" s="262" t="s">
        <v>104</v>
      </c>
      <c r="H10" s="262" t="s">
        <v>105</v>
      </c>
    </row>
    <row r="11" spans="1:12" x14ac:dyDescent="0.25">
      <c r="A11" s="185">
        <v>1</v>
      </c>
      <c r="B11" s="185"/>
      <c r="C11" s="185">
        <v>2</v>
      </c>
      <c r="D11" s="185" t="s">
        <v>106</v>
      </c>
      <c r="E11" s="185">
        <v>4</v>
      </c>
      <c r="F11" s="185">
        <v>5</v>
      </c>
      <c r="G11" s="185">
        <v>6</v>
      </c>
      <c r="H11" s="185">
        <v>7</v>
      </c>
    </row>
    <row r="12" spans="1:12" s="187" customFormat="1" x14ac:dyDescent="0.25">
      <c r="A12" s="331" t="s">
        <v>107</v>
      </c>
      <c r="B12" s="332"/>
      <c r="C12" s="333"/>
      <c r="D12" s="333"/>
      <c r="E12" s="332"/>
      <c r="F12" s="186">
        <f>SUM(F13:F13)</f>
        <v>87.079497768036006</v>
      </c>
      <c r="G12" s="186"/>
      <c r="H12" s="186">
        <f>SUM(H13:H13)</f>
        <v>952.65</v>
      </c>
      <c r="I12" s="160"/>
      <c r="J12" s="160"/>
      <c r="K12" s="160"/>
      <c r="L12" s="160"/>
    </row>
    <row r="13" spans="1:12" x14ac:dyDescent="0.25">
      <c r="A13" s="188">
        <v>1</v>
      </c>
      <c r="B13" s="189" t="s">
        <v>108</v>
      </c>
      <c r="C13" s="190" t="s">
        <v>109</v>
      </c>
      <c r="D13" s="191" t="s">
        <v>110</v>
      </c>
      <c r="E13" s="192" t="s">
        <v>111</v>
      </c>
      <c r="F13" s="210">
        <v>87.079497768036006</v>
      </c>
      <c r="G13" s="193">
        <v>10.94</v>
      </c>
      <c r="H13" s="193">
        <f>ROUND(F13*G13,2)</f>
        <v>952.65</v>
      </c>
    </row>
    <row r="14" spans="1:12" x14ac:dyDescent="0.25">
      <c r="A14" s="331" t="s">
        <v>112</v>
      </c>
      <c r="B14" s="332"/>
      <c r="C14" s="333"/>
      <c r="D14" s="333"/>
      <c r="E14" s="332"/>
      <c r="F14" s="264"/>
      <c r="G14" s="186"/>
      <c r="H14" s="186"/>
    </row>
    <row r="15" spans="1:12" s="187" customFormat="1" x14ac:dyDescent="0.25">
      <c r="A15" s="331" t="s">
        <v>113</v>
      </c>
      <c r="B15" s="332"/>
      <c r="C15" s="333"/>
      <c r="D15" s="333"/>
      <c r="E15" s="332"/>
      <c r="F15" s="264"/>
      <c r="G15" s="186"/>
      <c r="H15" s="186">
        <v>0</v>
      </c>
      <c r="I15" s="160"/>
      <c r="J15" s="160"/>
      <c r="K15" s="160"/>
      <c r="L15" s="160"/>
    </row>
    <row r="16" spans="1:12" x14ac:dyDescent="0.25">
      <c r="A16" s="331" t="s">
        <v>43</v>
      </c>
      <c r="B16" s="332"/>
      <c r="C16" s="333"/>
      <c r="D16" s="333"/>
      <c r="E16" s="332"/>
      <c r="F16" s="264"/>
      <c r="G16" s="186"/>
      <c r="H16" s="186">
        <f>SUM(H17:H17)</f>
        <v>4288204.4800000004</v>
      </c>
    </row>
    <row r="17" spans="1:12" s="187" customFormat="1" ht="47.25" customHeight="1" x14ac:dyDescent="0.25">
      <c r="A17" s="188">
        <v>2</v>
      </c>
      <c r="B17" s="188" t="s">
        <v>108</v>
      </c>
      <c r="C17" s="191" t="s">
        <v>114</v>
      </c>
      <c r="D17" s="191" t="s">
        <v>115</v>
      </c>
      <c r="E17" s="192" t="s">
        <v>116</v>
      </c>
      <c r="F17" s="188">
        <v>28</v>
      </c>
      <c r="G17" s="193">
        <v>153150.16</v>
      </c>
      <c r="H17" s="193">
        <f>ROUND(F17*G17,2)</f>
        <v>4288204.4800000004</v>
      </c>
      <c r="I17" s="160"/>
      <c r="J17" s="160"/>
      <c r="K17" s="160"/>
      <c r="L17" s="160"/>
    </row>
    <row r="18" spans="1:12" x14ac:dyDescent="0.25">
      <c r="A18" s="331" t="s">
        <v>117</v>
      </c>
      <c r="B18" s="332"/>
      <c r="C18" s="333"/>
      <c r="D18" s="333"/>
      <c r="E18" s="332"/>
      <c r="F18" s="264"/>
      <c r="G18" s="186"/>
      <c r="H18" s="186">
        <f>SUM(H19:H19)</f>
        <v>7.48</v>
      </c>
    </row>
    <row r="19" spans="1:12" ht="31.5" customHeight="1" x14ac:dyDescent="0.25">
      <c r="A19" s="188">
        <v>3</v>
      </c>
      <c r="B19" s="188" t="s">
        <v>108</v>
      </c>
      <c r="C19" s="191" t="s">
        <v>118</v>
      </c>
      <c r="D19" s="191" t="s">
        <v>119</v>
      </c>
      <c r="E19" s="192" t="s">
        <v>120</v>
      </c>
      <c r="F19" s="188">
        <v>7.48</v>
      </c>
      <c r="G19" s="193">
        <v>1</v>
      </c>
      <c r="H19" s="193">
        <f>ROUND(F19*G19,2)</f>
        <v>7.48</v>
      </c>
    </row>
    <row r="22" spans="1:12" x14ac:dyDescent="0.25">
      <c r="B22" s="160" t="s">
        <v>75</v>
      </c>
    </row>
    <row r="23" spans="1:12" x14ac:dyDescent="0.25">
      <c r="B23" s="173" t="s">
        <v>76</v>
      </c>
    </row>
    <row r="25" spans="1:12" x14ac:dyDescent="0.25">
      <c r="B25" s="160" t="s">
        <v>77</v>
      </c>
    </row>
    <row r="26" spans="1:12" x14ac:dyDescent="0.25">
      <c r="B26" s="173" t="s">
        <v>78</v>
      </c>
    </row>
  </sheetData>
  <mergeCells count="15">
    <mergeCell ref="A14:E14"/>
    <mergeCell ref="A18:E18"/>
    <mergeCell ref="A12:E12"/>
    <mergeCell ref="A15:E15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16:E1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50"/>
  <sheetViews>
    <sheetView view="pageBreakPreview" topLeftCell="A35" workbookViewId="0">
      <selection activeCell="D27" sqref="D27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6" width="13.5703125" style="51" customWidth="1"/>
    <col min="7" max="7" width="9.140625" style="51" customWidth="1"/>
  </cols>
  <sheetData>
    <row r="1" spans="2:5" x14ac:dyDescent="0.25">
      <c r="B1" s="153"/>
      <c r="C1" s="153"/>
      <c r="D1" s="153"/>
      <c r="E1" s="153"/>
    </row>
    <row r="2" spans="2:5" x14ac:dyDescent="0.25">
      <c r="B2" s="153"/>
      <c r="C2" s="153"/>
      <c r="D2" s="153"/>
      <c r="E2" s="278" t="s">
        <v>121</v>
      </c>
    </row>
    <row r="3" spans="2:5" x14ac:dyDescent="0.25">
      <c r="B3" s="153"/>
      <c r="C3" s="153"/>
      <c r="D3" s="153"/>
      <c r="E3" s="153"/>
    </row>
    <row r="4" spans="2:5" x14ac:dyDescent="0.25">
      <c r="B4" s="153"/>
      <c r="C4" s="153"/>
      <c r="D4" s="153"/>
      <c r="E4" s="153"/>
    </row>
    <row r="5" spans="2:5" x14ac:dyDescent="0.25">
      <c r="B5" s="313" t="s">
        <v>122</v>
      </c>
      <c r="C5" s="313"/>
      <c r="D5" s="313"/>
      <c r="E5" s="313"/>
    </row>
    <row r="6" spans="2:5" x14ac:dyDescent="0.25">
      <c r="B6" s="194"/>
      <c r="C6" s="153"/>
      <c r="D6" s="153"/>
      <c r="E6" s="153"/>
    </row>
    <row r="7" spans="2:5" ht="25.5" customHeight="1" x14ac:dyDescent="0.25">
      <c r="B7" s="335" t="s">
        <v>47</v>
      </c>
      <c r="C7" s="335"/>
      <c r="D7" s="335"/>
      <c r="E7" s="335"/>
    </row>
    <row r="8" spans="2:5" x14ac:dyDescent="0.25">
      <c r="B8" s="336" t="s">
        <v>49</v>
      </c>
      <c r="C8" s="336"/>
      <c r="D8" s="336"/>
      <c r="E8" s="336"/>
    </row>
    <row r="9" spans="2:5" x14ac:dyDescent="0.25">
      <c r="B9" s="194"/>
      <c r="C9" s="153"/>
      <c r="D9" s="153"/>
      <c r="E9" s="153"/>
    </row>
    <row r="10" spans="2:5" ht="51" customHeight="1" x14ac:dyDescent="0.25">
      <c r="B10" s="195" t="s">
        <v>123</v>
      </c>
      <c r="C10" s="195" t="s">
        <v>124</v>
      </c>
      <c r="D10" s="195" t="s">
        <v>125</v>
      </c>
      <c r="E10" s="195" t="s">
        <v>126</v>
      </c>
    </row>
    <row r="11" spans="2:5" x14ac:dyDescent="0.25">
      <c r="B11" s="154" t="s">
        <v>127</v>
      </c>
      <c r="C11" s="155">
        <f>'Прил.5 Расчет СМР и ОБ'!J14</f>
        <v>43954.02</v>
      </c>
      <c r="D11" s="156">
        <f t="shared" ref="D11:D18" si="0">C11/$C$24</f>
        <v>0.42372880212170866</v>
      </c>
      <c r="E11" s="156">
        <f t="shared" ref="E11:E18" si="1">C11/$C$40</f>
        <v>1.5244405543200586E-3</v>
      </c>
    </row>
    <row r="12" spans="2:5" x14ac:dyDescent="0.25">
      <c r="B12" s="154" t="s">
        <v>128</v>
      </c>
      <c r="C12" s="155">
        <f>'Прил.5 Расчет СМР и ОБ'!J17</f>
        <v>0</v>
      </c>
      <c r="D12" s="156">
        <f t="shared" si="0"/>
        <v>0</v>
      </c>
      <c r="E12" s="156">
        <f t="shared" si="1"/>
        <v>0</v>
      </c>
    </row>
    <row r="13" spans="2:5" x14ac:dyDescent="0.25">
      <c r="B13" s="154" t="s">
        <v>129</v>
      </c>
      <c r="C13" s="155">
        <f>'Прил.5 Расчет СМР и ОБ'!J18</f>
        <v>0</v>
      </c>
      <c r="D13" s="156">
        <f t="shared" si="0"/>
        <v>0</v>
      </c>
      <c r="E13" s="156">
        <f t="shared" si="1"/>
        <v>0</v>
      </c>
    </row>
    <row r="14" spans="2:5" x14ac:dyDescent="0.25">
      <c r="B14" s="154" t="s">
        <v>130</v>
      </c>
      <c r="C14" s="155">
        <f>C13+C12</f>
        <v>0</v>
      </c>
      <c r="D14" s="156">
        <f t="shared" si="0"/>
        <v>0</v>
      </c>
      <c r="E14" s="156">
        <f t="shared" si="1"/>
        <v>0</v>
      </c>
    </row>
    <row r="15" spans="2:5" x14ac:dyDescent="0.25">
      <c r="B15" s="154" t="s">
        <v>131</v>
      </c>
      <c r="C15" s="155">
        <v>0</v>
      </c>
      <c r="D15" s="156">
        <f t="shared" si="0"/>
        <v>0</v>
      </c>
      <c r="E15" s="156">
        <f t="shared" si="1"/>
        <v>0</v>
      </c>
    </row>
    <row r="16" spans="2:5" x14ac:dyDescent="0.25">
      <c r="B16" s="154" t="s">
        <v>132</v>
      </c>
      <c r="C16" s="155">
        <f>'Прил.5 Расчет СМР и ОБ'!J29</f>
        <v>0</v>
      </c>
      <c r="D16" s="156">
        <f t="shared" si="0"/>
        <v>0</v>
      </c>
      <c r="E16" s="156">
        <f t="shared" si="1"/>
        <v>0</v>
      </c>
    </row>
    <row r="17" spans="2:5" x14ac:dyDescent="0.25">
      <c r="B17" s="154" t="s">
        <v>133</v>
      </c>
      <c r="C17" s="155">
        <f>'Прил.5 Расчет СМР и ОБ'!J30</f>
        <v>0</v>
      </c>
      <c r="D17" s="156">
        <f t="shared" si="0"/>
        <v>0</v>
      </c>
      <c r="E17" s="156">
        <f t="shared" si="1"/>
        <v>0</v>
      </c>
    </row>
    <row r="18" spans="2:5" x14ac:dyDescent="0.25">
      <c r="B18" s="154" t="s">
        <v>134</v>
      </c>
      <c r="C18" s="155">
        <f>C17+C16</f>
        <v>0</v>
      </c>
      <c r="D18" s="156">
        <f t="shared" si="0"/>
        <v>0</v>
      </c>
      <c r="E18" s="156">
        <f t="shared" si="1"/>
        <v>0</v>
      </c>
    </row>
    <row r="19" spans="2:5" x14ac:dyDescent="0.25">
      <c r="B19" s="154" t="s">
        <v>135</v>
      </c>
      <c r="C19" s="155">
        <f>C18+C14+C11</f>
        <v>43954.02</v>
      </c>
      <c r="D19" s="156"/>
      <c r="E19" s="154"/>
    </row>
    <row r="20" spans="2:5" x14ac:dyDescent="0.25">
      <c r="B20" s="154" t="s">
        <v>136</v>
      </c>
      <c r="C20" s="155">
        <f>ROUND(C21*(C11+C15),2)</f>
        <v>20218.849999999999</v>
      </c>
      <c r="D20" s="156">
        <f>C20/$C$24</f>
        <v>0.19491525668820528</v>
      </c>
      <c r="E20" s="156">
        <f>C20/$C$40</f>
        <v>7.012426827333226E-4</v>
      </c>
    </row>
    <row r="21" spans="2:5" x14ac:dyDescent="0.25">
      <c r="B21" s="154" t="s">
        <v>137</v>
      </c>
      <c r="C21" s="279">
        <v>0.46</v>
      </c>
      <c r="D21" s="156"/>
      <c r="E21" s="154"/>
    </row>
    <row r="22" spans="2:5" x14ac:dyDescent="0.25">
      <c r="B22" s="154" t="s">
        <v>138</v>
      </c>
      <c r="C22" s="155">
        <f>ROUND(C23*(C11+C15),2)</f>
        <v>39558.620000000003</v>
      </c>
      <c r="D22" s="156">
        <f>C22/$C$24</f>
        <v>0.38135594119008609</v>
      </c>
      <c r="E22" s="156">
        <f>C22/$C$40</f>
        <v>1.371996568253292E-3</v>
      </c>
    </row>
    <row r="23" spans="2:5" x14ac:dyDescent="0.25">
      <c r="B23" s="154" t="s">
        <v>139</v>
      </c>
      <c r="C23" s="279">
        <v>0.9</v>
      </c>
      <c r="D23" s="156"/>
      <c r="E23" s="154"/>
    </row>
    <row r="24" spans="2:5" x14ac:dyDescent="0.25">
      <c r="B24" s="154" t="s">
        <v>140</v>
      </c>
      <c r="C24" s="155">
        <f>C19+C20+C22</f>
        <v>103731.48999999999</v>
      </c>
      <c r="D24" s="156">
        <f>C24/$C$24</f>
        <v>1</v>
      </c>
      <c r="E24" s="156">
        <f>C24/$C$40</f>
        <v>3.5976798053066728E-3</v>
      </c>
    </row>
    <row r="25" spans="2:5" ht="25.5" customHeight="1" x14ac:dyDescent="0.25">
      <c r="B25" s="154" t="s">
        <v>141</v>
      </c>
      <c r="C25" s="155">
        <f>'Прил.5 Расчет СМР и ОБ'!J25</f>
        <v>26844160</v>
      </c>
      <c r="D25" s="156"/>
      <c r="E25" s="156">
        <f>C25/$C$40</f>
        <v>0.93102578900988686</v>
      </c>
    </row>
    <row r="26" spans="2:5" ht="25.5" customHeight="1" x14ac:dyDescent="0.25">
      <c r="B26" s="154" t="s">
        <v>142</v>
      </c>
      <c r="C26" s="155">
        <f>'Прил.5 Расчет СМР и ОБ'!J26</f>
        <v>26844160.039999999</v>
      </c>
      <c r="D26" s="156"/>
      <c r="E26" s="156">
        <f>C26/$C$40</f>
        <v>0.93102579039719158</v>
      </c>
    </row>
    <row r="27" spans="2:5" x14ac:dyDescent="0.25">
      <c r="B27" s="154" t="s">
        <v>143</v>
      </c>
      <c r="C27" s="158">
        <f>C24+C25</f>
        <v>26947891.489999998</v>
      </c>
      <c r="D27" s="156"/>
      <c r="E27" s="156">
        <f>C27/$C$40</f>
        <v>0.93462346881519343</v>
      </c>
    </row>
    <row r="28" spans="2:5" ht="33" customHeight="1" x14ac:dyDescent="0.25">
      <c r="B28" s="154" t="s">
        <v>144</v>
      </c>
      <c r="C28" s="154"/>
      <c r="D28" s="154"/>
      <c r="E28" s="154"/>
    </row>
    <row r="29" spans="2:5" ht="25.5" customHeight="1" x14ac:dyDescent="0.25">
      <c r="B29" s="154" t="s">
        <v>145</v>
      </c>
      <c r="C29" s="158">
        <f>ROUND(C24*3.9%,2)</f>
        <v>4045.53</v>
      </c>
      <c r="D29" s="154"/>
      <c r="E29" s="156">
        <f t="shared" ref="E29:E38" si="2">C29/$C$40</f>
        <v>1.4030957795711126E-4</v>
      </c>
    </row>
    <row r="30" spans="2:5" ht="38.25" customHeight="1" x14ac:dyDescent="0.25">
      <c r="B30" s="154" t="s">
        <v>146</v>
      </c>
      <c r="C30" s="298">
        <f>ROUND((C24+C29)*2.1%,2)</f>
        <v>2263.3200000000002</v>
      </c>
      <c r="D30" s="299"/>
      <c r="E30" s="156">
        <f t="shared" si="2"/>
        <v>7.8497866529697976E-5</v>
      </c>
    </row>
    <row r="31" spans="2:5" x14ac:dyDescent="0.25">
      <c r="B31" s="154" t="s">
        <v>147</v>
      </c>
      <c r="C31" s="298">
        <v>511550</v>
      </c>
      <c r="D31" s="299"/>
      <c r="E31" s="156">
        <f t="shared" si="2"/>
        <v>1.774189404205636E-2</v>
      </c>
    </row>
    <row r="32" spans="2:5" ht="25.5" customHeight="1" x14ac:dyDescent="0.25">
      <c r="B32" s="154" t="s">
        <v>148</v>
      </c>
      <c r="C32" s="298">
        <v>0</v>
      </c>
      <c r="D32" s="299"/>
      <c r="E32" s="156">
        <f t="shared" si="2"/>
        <v>0</v>
      </c>
    </row>
    <row r="33" spans="2:6" ht="25.5" customHeight="1" x14ac:dyDescent="0.25">
      <c r="B33" s="154" t="s">
        <v>149</v>
      </c>
      <c r="C33" s="158">
        <v>0</v>
      </c>
      <c r="D33" s="154"/>
      <c r="E33" s="156">
        <f t="shared" si="2"/>
        <v>0</v>
      </c>
    </row>
    <row r="34" spans="2:6" ht="51" customHeight="1" x14ac:dyDescent="0.25">
      <c r="B34" s="154" t="s">
        <v>150</v>
      </c>
      <c r="C34" s="158">
        <v>0</v>
      </c>
      <c r="D34" s="154"/>
      <c r="E34" s="156">
        <f t="shared" si="2"/>
        <v>0</v>
      </c>
    </row>
    <row r="35" spans="2:6" ht="76.5" customHeight="1" x14ac:dyDescent="0.25">
      <c r="B35" s="154" t="s">
        <v>151</v>
      </c>
      <c r="C35" s="158">
        <v>0</v>
      </c>
      <c r="D35" s="154"/>
      <c r="E35" s="156">
        <f t="shared" si="2"/>
        <v>0</v>
      </c>
    </row>
    <row r="36" spans="2:6" ht="25.5" customHeight="1" x14ac:dyDescent="0.25">
      <c r="B36" s="154" t="s">
        <v>152</v>
      </c>
      <c r="C36" s="158">
        <f>ROUND((C27+C32+C33+C34+C35+C29+C31+C30)*1.72%,2)</f>
        <v>472410.91</v>
      </c>
      <c r="D36" s="154"/>
      <c r="E36" s="156">
        <f t="shared" si="2"/>
        <v>1.6384447873192105E-2</v>
      </c>
      <c r="F36" s="157"/>
    </row>
    <row r="37" spans="2:6" x14ac:dyDescent="0.25">
      <c r="B37" s="154" t="s">
        <v>153</v>
      </c>
      <c r="C37" s="158">
        <f>ROUND((C27+C32+C33+C34+C35+C29+C31+C30)*0.2%,2)</f>
        <v>54931.5</v>
      </c>
      <c r="D37" s="154"/>
      <c r="E37" s="156">
        <f t="shared" si="2"/>
        <v>1.9051683170192919E-3</v>
      </c>
      <c r="F37" s="157"/>
    </row>
    <row r="38" spans="2:6" ht="38.25" customHeight="1" x14ac:dyDescent="0.25">
      <c r="B38" s="154" t="s">
        <v>154</v>
      </c>
      <c r="C38" s="155">
        <f>C27+C32+C33+C34+C35+C29+C31+C30+C36+C37</f>
        <v>27993092.75</v>
      </c>
      <c r="D38" s="154"/>
      <c r="E38" s="156">
        <f t="shared" si="2"/>
        <v>0.97087378649194811</v>
      </c>
    </row>
    <row r="39" spans="2:6" ht="13.5" customHeight="1" x14ac:dyDescent="0.25">
      <c r="B39" s="154" t="s">
        <v>155</v>
      </c>
      <c r="C39" s="155">
        <f>ROUND(C38*3%,2)</f>
        <v>839792.78</v>
      </c>
      <c r="D39" s="154"/>
      <c r="E39" s="156">
        <f>C39/$C$38</f>
        <v>2.9999999910692257E-2</v>
      </c>
    </row>
    <row r="40" spans="2:6" x14ac:dyDescent="0.25">
      <c r="B40" s="154" t="s">
        <v>156</v>
      </c>
      <c r="C40" s="155">
        <f>C39+C38</f>
        <v>28832885.530000001</v>
      </c>
      <c r="D40" s="154"/>
      <c r="E40" s="156">
        <f>C40/$C$40</f>
        <v>1</v>
      </c>
    </row>
    <row r="41" spans="2:6" x14ac:dyDescent="0.25">
      <c r="B41" s="154" t="s">
        <v>157</v>
      </c>
      <c r="C41" s="155">
        <f>C40/'Прил.5 Расчет СМР и ОБ'!E37</f>
        <v>28832885.530000001</v>
      </c>
      <c r="D41" s="154"/>
      <c r="E41" s="154"/>
    </row>
    <row r="42" spans="2:6" x14ac:dyDescent="0.25">
      <c r="B42" s="159"/>
      <c r="C42" s="153"/>
      <c r="D42" s="153"/>
      <c r="E42" s="153"/>
    </row>
    <row r="43" spans="2:6" x14ac:dyDescent="0.25">
      <c r="B43" s="159" t="s">
        <v>158</v>
      </c>
      <c r="C43" s="153"/>
      <c r="D43" s="153"/>
      <c r="E43" s="153"/>
    </row>
    <row r="44" spans="2:6" x14ac:dyDescent="0.25">
      <c r="B44" s="159" t="s">
        <v>159</v>
      </c>
      <c r="C44" s="153"/>
      <c r="D44" s="153"/>
      <c r="E44" s="153"/>
    </row>
    <row r="45" spans="2:6" x14ac:dyDescent="0.25">
      <c r="B45" s="159"/>
      <c r="C45" s="153"/>
      <c r="D45" s="153"/>
      <c r="E45" s="153"/>
    </row>
    <row r="46" spans="2:6" x14ac:dyDescent="0.25">
      <c r="B46" s="159" t="s">
        <v>160</v>
      </c>
      <c r="C46" s="153"/>
      <c r="D46" s="153"/>
      <c r="E46" s="153"/>
    </row>
    <row r="47" spans="2:6" x14ac:dyDescent="0.25">
      <c r="B47" s="336" t="s">
        <v>161</v>
      </c>
      <c r="C47" s="336"/>
      <c r="D47" s="153"/>
      <c r="E47" s="153"/>
    </row>
    <row r="49" spans="2:5" x14ac:dyDescent="0.25">
      <c r="B49" s="153"/>
      <c r="C49" s="153"/>
      <c r="D49" s="153"/>
      <c r="E49" s="153"/>
    </row>
    <row r="50" spans="2:5" x14ac:dyDescent="0.25">
      <c r="B50" s="153"/>
      <c r="C50" s="153"/>
      <c r="D50" s="153"/>
      <c r="E50" s="153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43"/>
  <sheetViews>
    <sheetView tabSelected="1" view="pageBreakPreview" zoomScale="85" zoomScaleSheetLayoutView="85" workbookViewId="0">
      <selection activeCell="L14" sqref="L14"/>
    </sheetView>
  </sheetViews>
  <sheetFormatPr defaultColWidth="9.140625" defaultRowHeight="15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1.4257812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</cols>
  <sheetData>
    <row r="1" spans="1:10" s="197" customFormat="1" x14ac:dyDescent="0.25">
      <c r="A1" s="196"/>
      <c r="B1" s="196"/>
      <c r="C1" s="196"/>
      <c r="D1" s="196"/>
      <c r="E1" s="196"/>
      <c r="F1" s="196"/>
      <c r="G1" s="196"/>
      <c r="H1" s="196"/>
      <c r="I1" s="196"/>
      <c r="J1" s="196"/>
    </row>
    <row r="2" spans="1:10" s="197" customFormat="1" ht="15.75" customHeight="1" x14ac:dyDescent="0.25">
      <c r="A2" s="196"/>
      <c r="B2" s="196"/>
      <c r="C2" s="196"/>
      <c r="D2" s="196"/>
      <c r="E2" s="196"/>
      <c r="F2" s="196"/>
      <c r="G2" s="196"/>
      <c r="H2" s="357" t="s">
        <v>162</v>
      </c>
      <c r="I2" s="357"/>
      <c r="J2" s="357"/>
    </row>
    <row r="3" spans="1:10" s="197" customFormat="1" x14ac:dyDescent="0.25">
      <c r="A3" s="196"/>
      <c r="B3" s="196"/>
      <c r="C3" s="196"/>
      <c r="D3" s="196"/>
      <c r="E3" s="196"/>
      <c r="F3" s="196"/>
      <c r="G3" s="196"/>
      <c r="H3" s="196"/>
      <c r="I3" s="196"/>
      <c r="J3" s="196"/>
    </row>
    <row r="4" spans="1:10" s="198" customFormat="1" ht="12.75" customHeight="1" x14ac:dyDescent="0.2">
      <c r="A4" s="313" t="s">
        <v>163</v>
      </c>
      <c r="B4" s="313"/>
      <c r="C4" s="313"/>
      <c r="D4" s="313"/>
      <c r="E4" s="313"/>
      <c r="F4" s="313"/>
      <c r="G4" s="313"/>
      <c r="H4" s="313"/>
      <c r="I4" s="313"/>
      <c r="J4" s="313"/>
    </row>
    <row r="5" spans="1:10" s="198" customFormat="1" ht="12.75" customHeight="1" x14ac:dyDescent="0.2">
      <c r="A5" s="273"/>
      <c r="B5" s="273"/>
      <c r="C5" s="199"/>
      <c r="D5" s="273"/>
      <c r="E5" s="273"/>
      <c r="F5" s="273"/>
      <c r="G5" s="273"/>
      <c r="H5" s="273"/>
      <c r="I5" s="273"/>
      <c r="J5" s="273"/>
    </row>
    <row r="6" spans="1:10" s="198" customFormat="1" ht="21.75" customHeight="1" x14ac:dyDescent="0.2">
      <c r="A6" s="200" t="s">
        <v>164</v>
      </c>
      <c r="B6" s="201"/>
      <c r="C6" s="201"/>
      <c r="D6" s="361" t="s">
        <v>165</v>
      </c>
      <c r="E6" s="361"/>
      <c r="F6" s="361"/>
      <c r="G6" s="361"/>
      <c r="H6" s="361"/>
      <c r="I6" s="361"/>
      <c r="J6" s="361"/>
    </row>
    <row r="7" spans="1:10" s="198" customFormat="1" ht="12.75" customHeight="1" x14ac:dyDescent="0.2">
      <c r="A7" s="316" t="s">
        <v>49</v>
      </c>
      <c r="B7" s="335"/>
      <c r="C7" s="335"/>
      <c r="D7" s="335"/>
      <c r="E7" s="335"/>
      <c r="F7" s="335"/>
      <c r="G7" s="335"/>
      <c r="H7" s="335"/>
      <c r="I7" s="202"/>
      <c r="J7" s="202"/>
    </row>
    <row r="8" spans="1:10" s="4" customFormat="1" ht="13.5" customHeight="1" x14ac:dyDescent="0.2">
      <c r="A8" s="316"/>
      <c r="B8" s="335"/>
      <c r="C8" s="335"/>
      <c r="D8" s="335"/>
      <c r="E8" s="335"/>
      <c r="F8" s="335"/>
      <c r="G8" s="335"/>
      <c r="H8" s="335"/>
    </row>
    <row r="9" spans="1:10" s="197" customFormat="1" ht="27" customHeight="1" x14ac:dyDescent="0.25">
      <c r="A9" s="344" t="s">
        <v>13</v>
      </c>
      <c r="B9" s="344" t="s">
        <v>99</v>
      </c>
      <c r="C9" s="344" t="s">
        <v>123</v>
      </c>
      <c r="D9" s="344" t="s">
        <v>101</v>
      </c>
      <c r="E9" s="338" t="s">
        <v>166</v>
      </c>
      <c r="F9" s="358" t="s">
        <v>103</v>
      </c>
      <c r="G9" s="359"/>
      <c r="H9" s="338" t="s">
        <v>167</v>
      </c>
      <c r="I9" s="358" t="s">
        <v>168</v>
      </c>
      <c r="J9" s="359"/>
    </row>
    <row r="10" spans="1:10" s="197" customFormat="1" ht="28.5" customHeight="1" x14ac:dyDescent="0.25">
      <c r="A10" s="344"/>
      <c r="B10" s="344"/>
      <c r="C10" s="344"/>
      <c r="D10" s="344"/>
      <c r="E10" s="360"/>
      <c r="F10" s="144" t="s">
        <v>169</v>
      </c>
      <c r="G10" s="144" t="s">
        <v>105</v>
      </c>
      <c r="H10" s="360"/>
      <c r="I10" s="144" t="s">
        <v>169</v>
      </c>
      <c r="J10" s="144" t="s">
        <v>105</v>
      </c>
    </row>
    <row r="11" spans="1:10" s="197" customFormat="1" x14ac:dyDescent="0.25">
      <c r="A11" s="144">
        <v>1</v>
      </c>
      <c r="B11" s="144">
        <v>2</v>
      </c>
      <c r="C11" s="144">
        <v>3</v>
      </c>
      <c r="D11" s="144">
        <v>4</v>
      </c>
      <c r="E11" s="144">
        <v>5</v>
      </c>
      <c r="F11" s="144">
        <v>6</v>
      </c>
      <c r="G11" s="144">
        <v>7</v>
      </c>
      <c r="H11" s="144">
        <v>8</v>
      </c>
      <c r="I11" s="272">
        <v>9</v>
      </c>
      <c r="J11" s="272">
        <v>10</v>
      </c>
    </row>
    <row r="12" spans="1:10" x14ac:dyDescent="0.25">
      <c r="A12" s="2"/>
      <c r="B12" s="342" t="s">
        <v>170</v>
      </c>
      <c r="C12" s="343"/>
      <c r="D12" s="344"/>
      <c r="E12" s="345"/>
      <c r="F12" s="346"/>
      <c r="G12" s="346"/>
      <c r="H12" s="347"/>
      <c r="I12" s="203"/>
      <c r="J12" s="203"/>
    </row>
    <row r="13" spans="1:10" ht="25.5" customHeight="1" x14ac:dyDescent="0.25">
      <c r="A13" s="2">
        <v>1</v>
      </c>
      <c r="B13" s="204" t="s">
        <v>109</v>
      </c>
      <c r="C13" s="205" t="s">
        <v>171</v>
      </c>
      <c r="D13" s="144" t="s">
        <v>172</v>
      </c>
      <c r="E13" s="206">
        <v>87.079497768036006</v>
      </c>
      <c r="F13" s="207">
        <v>10.94</v>
      </c>
      <c r="G13" s="207">
        <f>Прил.3!H12</f>
        <v>952.65</v>
      </c>
      <c r="H13" s="208">
        <f>G13/$G$14</f>
        <v>1</v>
      </c>
      <c r="I13" s="209">
        <f>ФОТр.тек.!E13</f>
        <v>504.75733271476997</v>
      </c>
      <c r="J13" s="209">
        <f>ROUND(I13*E13,2)</f>
        <v>43954.02</v>
      </c>
    </row>
    <row r="14" spans="1:10" s="14" customFormat="1" ht="25.5" customHeight="1" x14ac:dyDescent="0.2">
      <c r="A14" s="2"/>
      <c r="B14" s="2"/>
      <c r="C14" s="266" t="s">
        <v>173</v>
      </c>
      <c r="D14" s="2" t="s">
        <v>172</v>
      </c>
      <c r="E14" s="210">
        <f>SUM(E13:E13)</f>
        <v>87.079497768036006</v>
      </c>
      <c r="F14" s="28"/>
      <c r="G14" s="28">
        <f>SUM(G13:G13)</f>
        <v>952.65</v>
      </c>
      <c r="H14" s="269">
        <v>1</v>
      </c>
      <c r="I14" s="203"/>
      <c r="J14" s="207">
        <f>SUM(J13:J13)</f>
        <v>43954.02</v>
      </c>
    </row>
    <row r="15" spans="1:10" s="14" customFormat="1" ht="14.25" customHeight="1" x14ac:dyDescent="0.2">
      <c r="A15" s="2"/>
      <c r="B15" s="343" t="s">
        <v>112</v>
      </c>
      <c r="C15" s="343"/>
      <c r="D15" s="344"/>
      <c r="E15" s="345"/>
      <c r="F15" s="346"/>
      <c r="G15" s="346"/>
      <c r="H15" s="347"/>
      <c r="I15" s="203"/>
      <c r="J15" s="203"/>
    </row>
    <row r="16" spans="1:10" s="14" customFormat="1" ht="14.25" customHeight="1" x14ac:dyDescent="0.2">
      <c r="A16" s="2"/>
      <c r="B16" s="342" t="s">
        <v>113</v>
      </c>
      <c r="C16" s="343"/>
      <c r="D16" s="344"/>
      <c r="E16" s="345"/>
      <c r="F16" s="346"/>
      <c r="G16" s="346"/>
      <c r="H16" s="347"/>
      <c r="I16" s="203"/>
      <c r="J16" s="203"/>
    </row>
    <row r="17" spans="1:10" s="14" customFormat="1" ht="14.25" customHeight="1" x14ac:dyDescent="0.2">
      <c r="A17" s="2"/>
      <c r="B17" s="2"/>
      <c r="C17" s="9" t="s">
        <v>174</v>
      </c>
      <c r="D17" s="2"/>
      <c r="E17" s="210"/>
      <c r="F17" s="28"/>
      <c r="G17" s="28">
        <v>0</v>
      </c>
      <c r="H17" s="269">
        <v>0</v>
      </c>
      <c r="I17" s="212"/>
      <c r="J17" s="28">
        <v>0</v>
      </c>
    </row>
    <row r="18" spans="1:10" s="14" customFormat="1" ht="14.25" customHeight="1" x14ac:dyDescent="0.2">
      <c r="A18" s="2"/>
      <c r="B18" s="2"/>
      <c r="C18" s="9" t="s">
        <v>175</v>
      </c>
      <c r="D18" s="2"/>
      <c r="E18" s="267"/>
      <c r="F18" s="28"/>
      <c r="G18" s="212">
        <v>0</v>
      </c>
      <c r="H18" s="213">
        <v>0</v>
      </c>
      <c r="I18" s="214"/>
      <c r="J18" s="214">
        <v>0</v>
      </c>
    </row>
    <row r="19" spans="1:10" s="14" customFormat="1" ht="25.5" customHeight="1" x14ac:dyDescent="0.2">
      <c r="A19" s="2"/>
      <c r="B19" s="2"/>
      <c r="C19" s="266" t="s">
        <v>176</v>
      </c>
      <c r="D19" s="2"/>
      <c r="E19" s="267"/>
      <c r="F19" s="28"/>
      <c r="G19" s="28">
        <f>G18+G17</f>
        <v>0</v>
      </c>
      <c r="H19" s="215">
        <v>1</v>
      </c>
      <c r="I19" s="216"/>
      <c r="J19" s="217">
        <f>J18+J17</f>
        <v>0</v>
      </c>
    </row>
    <row r="20" spans="1:10" s="14" customFormat="1" ht="14.25" customHeight="1" x14ac:dyDescent="0.2">
      <c r="A20" s="2"/>
      <c r="B20" s="342" t="s">
        <v>43</v>
      </c>
      <c r="C20" s="342"/>
      <c r="D20" s="348"/>
      <c r="E20" s="349"/>
      <c r="F20" s="350"/>
      <c r="G20" s="350"/>
      <c r="H20" s="351"/>
      <c r="I20" s="203"/>
      <c r="J20" s="203"/>
    </row>
    <row r="21" spans="1:10" x14ac:dyDescent="0.25">
      <c r="A21" s="270"/>
      <c r="B21" s="343" t="s">
        <v>177</v>
      </c>
      <c r="C21" s="343"/>
      <c r="D21" s="344"/>
      <c r="E21" s="345"/>
      <c r="F21" s="346"/>
      <c r="G21" s="346"/>
      <c r="H21" s="347"/>
      <c r="I21" s="218"/>
      <c r="J21" s="218"/>
    </row>
    <row r="22" spans="1:10" s="14" customFormat="1" ht="63.75" customHeight="1" x14ac:dyDescent="0.2">
      <c r="A22" s="2">
        <v>2</v>
      </c>
      <c r="B22" s="281" t="s">
        <v>178</v>
      </c>
      <c r="C22" s="282" t="s">
        <v>179</v>
      </c>
      <c r="D22" s="281" t="s">
        <v>116</v>
      </c>
      <c r="E22" s="283">
        <v>28</v>
      </c>
      <c r="F22" s="284">
        <f>ROUND(I22/Прил.10!$D$14,2)</f>
        <v>153150.16</v>
      </c>
      <c r="G22" s="285">
        <f>ROUND(E22*F22,2)</f>
        <v>4288204.4800000004</v>
      </c>
      <c r="H22" s="286">
        <f>G22/$G$25</f>
        <v>1</v>
      </c>
      <c r="I22" s="207">
        <v>958720</v>
      </c>
      <c r="J22" s="207">
        <f>ROUND(I22*E22,2)</f>
        <v>26844160</v>
      </c>
    </row>
    <row r="23" spans="1:10" x14ac:dyDescent="0.25">
      <c r="A23" s="2"/>
      <c r="B23" s="287"/>
      <c r="C23" s="288" t="s">
        <v>180</v>
      </c>
      <c r="D23" s="289"/>
      <c r="E23" s="290"/>
      <c r="F23" s="291"/>
      <c r="G23" s="292">
        <f>SUM(G22)</f>
        <v>4288204.4800000004</v>
      </c>
      <c r="H23" s="286">
        <f>G22/$G$25</f>
        <v>1</v>
      </c>
      <c r="I23" s="220"/>
      <c r="J23" s="219">
        <f>SUM(J22)</f>
        <v>26844160</v>
      </c>
    </row>
    <row r="24" spans="1:10" x14ac:dyDescent="0.25">
      <c r="A24" s="2"/>
      <c r="B24" s="287"/>
      <c r="C24" s="288" t="s">
        <v>181</v>
      </c>
      <c r="D24" s="287"/>
      <c r="E24" s="290"/>
      <c r="F24" s="291"/>
      <c r="G24" s="292">
        <v>0</v>
      </c>
      <c r="H24" s="286">
        <f>G24/$G$25</f>
        <v>0</v>
      </c>
      <c r="I24" s="220"/>
      <c r="J24" s="219">
        <v>0</v>
      </c>
    </row>
    <row r="25" spans="1:10" x14ac:dyDescent="0.25">
      <c r="A25" s="270"/>
      <c r="B25" s="287"/>
      <c r="C25" s="293" t="s">
        <v>182</v>
      </c>
      <c r="D25" s="287"/>
      <c r="E25" s="294"/>
      <c r="F25" s="291"/>
      <c r="G25" s="292">
        <f>G23+G24</f>
        <v>4288204.4800000004</v>
      </c>
      <c r="H25" s="295">
        <v>1</v>
      </c>
      <c r="I25" s="220"/>
      <c r="J25" s="219">
        <f>J24+J23</f>
        <v>26844160</v>
      </c>
    </row>
    <row r="26" spans="1:10" ht="25.5" customHeight="1" x14ac:dyDescent="0.25">
      <c r="A26" s="270"/>
      <c r="B26" s="287"/>
      <c r="C26" s="288" t="s">
        <v>183</v>
      </c>
      <c r="D26" s="287"/>
      <c r="E26" s="296"/>
      <c r="F26" s="291"/>
      <c r="G26" s="292">
        <f>'Прил.6 Расчет ОБ'!G13</f>
        <v>4288204.4800000004</v>
      </c>
      <c r="H26" s="297"/>
      <c r="I26" s="220"/>
      <c r="J26" s="219">
        <f>ROUND(G26*Прил.10!D14,2)</f>
        <v>26844160.039999999</v>
      </c>
    </row>
    <row r="27" spans="1:10" s="14" customFormat="1" ht="14.25" customHeight="1" x14ac:dyDescent="0.2">
      <c r="A27" s="2"/>
      <c r="B27" s="352" t="s">
        <v>117</v>
      </c>
      <c r="C27" s="352"/>
      <c r="D27" s="353"/>
      <c r="E27" s="354"/>
      <c r="F27" s="355"/>
      <c r="G27" s="355"/>
      <c r="H27" s="356"/>
      <c r="I27" s="203"/>
      <c r="J27" s="203"/>
    </row>
    <row r="28" spans="1:10" s="14" customFormat="1" ht="14.25" customHeight="1" x14ac:dyDescent="0.2">
      <c r="A28" s="265"/>
      <c r="B28" s="337" t="s">
        <v>184</v>
      </c>
      <c r="C28" s="337"/>
      <c r="D28" s="338"/>
      <c r="E28" s="339"/>
      <c r="F28" s="340"/>
      <c r="G28" s="340"/>
      <c r="H28" s="341"/>
      <c r="I28" s="222"/>
      <c r="J28" s="222"/>
    </row>
    <row r="29" spans="1:10" s="14" customFormat="1" ht="14.25" customHeight="1" x14ac:dyDescent="0.2">
      <c r="A29" s="223"/>
      <c r="B29" s="224"/>
      <c r="C29" s="225" t="s">
        <v>185</v>
      </c>
      <c r="D29" s="226"/>
      <c r="E29" s="227"/>
      <c r="F29" s="228"/>
      <c r="G29" s="229">
        <v>0</v>
      </c>
      <c r="H29" s="213">
        <v>0</v>
      </c>
      <c r="I29" s="207"/>
      <c r="J29" s="229">
        <v>0</v>
      </c>
    </row>
    <row r="30" spans="1:10" s="14" customFormat="1" ht="14.25" customHeight="1" x14ac:dyDescent="0.2">
      <c r="A30" s="2"/>
      <c r="B30" s="2"/>
      <c r="C30" s="9" t="s">
        <v>186</v>
      </c>
      <c r="D30" s="2"/>
      <c r="E30" s="267"/>
      <c r="F30" s="268"/>
      <c r="G30" s="28">
        <v>0</v>
      </c>
      <c r="H30" s="213">
        <v>0</v>
      </c>
      <c r="I30" s="28"/>
      <c r="J30" s="28">
        <v>0</v>
      </c>
    </row>
    <row r="31" spans="1:10" s="14" customFormat="1" ht="14.25" customHeight="1" x14ac:dyDescent="0.2">
      <c r="A31" s="2"/>
      <c r="B31" s="2"/>
      <c r="C31" s="266" t="s">
        <v>187</v>
      </c>
      <c r="D31" s="2"/>
      <c r="E31" s="267"/>
      <c r="F31" s="268"/>
      <c r="G31" s="28">
        <f>G29+G30</f>
        <v>0</v>
      </c>
      <c r="H31" s="269">
        <v>0</v>
      </c>
      <c r="I31" s="28"/>
      <c r="J31" s="28">
        <f>J29+J30</f>
        <v>0</v>
      </c>
    </row>
    <row r="32" spans="1:10" s="14" customFormat="1" ht="14.25" customHeight="1" x14ac:dyDescent="0.2">
      <c r="A32" s="2"/>
      <c r="B32" s="2"/>
      <c r="C32" s="9" t="s">
        <v>188</v>
      </c>
      <c r="D32" s="2"/>
      <c r="E32" s="267"/>
      <c r="F32" s="268"/>
      <c r="G32" s="28">
        <f>G14+G19+G31</f>
        <v>952.65</v>
      </c>
      <c r="H32" s="269"/>
      <c r="I32" s="28"/>
      <c r="J32" s="28">
        <f>J14+J19+J31</f>
        <v>43954.02</v>
      </c>
    </row>
    <row r="33" spans="1:10" s="14" customFormat="1" ht="14.25" customHeight="1" x14ac:dyDescent="0.2">
      <c r="A33" s="2"/>
      <c r="B33" s="2"/>
      <c r="C33" s="9" t="s">
        <v>189</v>
      </c>
      <c r="D33" s="230">
        <f>ROUND(G33/(0+$G$14),2)</f>
        <v>0.35</v>
      </c>
      <c r="E33" s="267"/>
      <c r="F33" s="268"/>
      <c r="G33" s="28">
        <v>336.8</v>
      </c>
      <c r="H33" s="269"/>
      <c r="I33" s="28"/>
      <c r="J33" s="207">
        <f>ROUND(D33*(J14+0),2)</f>
        <v>15383.91</v>
      </c>
    </row>
    <row r="34" spans="1:10" s="14" customFormat="1" ht="14.25" customHeight="1" x14ac:dyDescent="0.2">
      <c r="A34" s="2"/>
      <c r="B34" s="2"/>
      <c r="C34" s="9" t="s">
        <v>190</v>
      </c>
      <c r="D34" s="230">
        <f>ROUND(G34/(G$14+0),2)</f>
        <v>0.18</v>
      </c>
      <c r="E34" s="267"/>
      <c r="F34" s="268"/>
      <c r="G34" s="28">
        <v>172.14</v>
      </c>
      <c r="H34" s="269"/>
      <c r="I34" s="28"/>
      <c r="J34" s="207">
        <f>ROUND(D34*(J14+0),2)</f>
        <v>7911.72</v>
      </c>
    </row>
    <row r="35" spans="1:10" s="14" customFormat="1" ht="14.25" customHeight="1" x14ac:dyDescent="0.2">
      <c r="A35" s="2"/>
      <c r="B35" s="2"/>
      <c r="C35" s="9" t="s">
        <v>191</v>
      </c>
      <c r="D35" s="2"/>
      <c r="E35" s="267"/>
      <c r="F35" s="268"/>
      <c r="G35" s="28">
        <f>G14+G19+G31+G33+G34</f>
        <v>1461.5900000000001</v>
      </c>
      <c r="H35" s="269"/>
      <c r="I35" s="28"/>
      <c r="J35" s="28">
        <f>J14+J19+J31+J33+J34</f>
        <v>67249.649999999994</v>
      </c>
    </row>
    <row r="36" spans="1:10" s="14" customFormat="1" ht="14.25" customHeight="1" x14ac:dyDescent="0.2">
      <c r="A36" s="2"/>
      <c r="B36" s="2"/>
      <c r="C36" s="9" t="s">
        <v>192</v>
      </c>
      <c r="D36" s="2"/>
      <c r="E36" s="267"/>
      <c r="F36" s="268"/>
      <c r="G36" s="28">
        <f>G35+G25</f>
        <v>4289666.07</v>
      </c>
      <c r="H36" s="269"/>
      <c r="I36" s="28"/>
      <c r="J36" s="28">
        <f>J35+J25</f>
        <v>26911409.649999999</v>
      </c>
    </row>
    <row r="37" spans="1:10" s="14" customFormat="1" ht="34.5" customHeight="1" x14ac:dyDescent="0.2">
      <c r="A37" s="2"/>
      <c r="B37" s="2"/>
      <c r="C37" s="9" t="s">
        <v>157</v>
      </c>
      <c r="D37" s="2" t="s">
        <v>193</v>
      </c>
      <c r="E37" s="277">
        <v>1</v>
      </c>
      <c r="F37" s="268"/>
      <c r="G37" s="28">
        <f>G36/E37</f>
        <v>4289666.07</v>
      </c>
      <c r="H37" s="269"/>
      <c r="I37" s="28"/>
      <c r="J37" s="28">
        <f>J36/E37</f>
        <v>26911409.649999999</v>
      </c>
    </row>
    <row r="39" spans="1:10" s="14" customFormat="1" ht="14.25" customHeight="1" x14ac:dyDescent="0.2">
      <c r="A39" s="4" t="s">
        <v>194</v>
      </c>
    </row>
    <row r="40" spans="1:10" s="14" customFormat="1" ht="14.25" customHeight="1" x14ac:dyDescent="0.2">
      <c r="A40" s="231" t="s">
        <v>76</v>
      </c>
    </row>
    <row r="41" spans="1:10" s="14" customFormat="1" ht="14.25" customHeight="1" x14ac:dyDescent="0.2">
      <c r="A41" s="4"/>
    </row>
    <row r="42" spans="1:10" s="14" customFormat="1" ht="14.25" customHeight="1" x14ac:dyDescent="0.2">
      <c r="A42" s="4" t="s">
        <v>195</v>
      </c>
    </row>
    <row r="43" spans="1:10" s="14" customFormat="1" ht="14.25" customHeight="1" x14ac:dyDescent="0.2">
      <c r="A43" s="231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28:H28"/>
    <mergeCell ref="B12:H12"/>
    <mergeCell ref="B15:H15"/>
    <mergeCell ref="B16:H16"/>
    <mergeCell ref="B21:H21"/>
    <mergeCell ref="B20:H20"/>
    <mergeCell ref="B27:H27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topLeftCell="A4" workbookViewId="0">
      <selection activeCell="D27" sqref="D27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62" t="s">
        <v>196</v>
      </c>
      <c r="B1" s="362"/>
      <c r="C1" s="362"/>
      <c r="D1" s="362"/>
      <c r="E1" s="362"/>
      <c r="F1" s="362"/>
      <c r="G1" s="362"/>
    </row>
    <row r="2" spans="1:7" ht="21.75" customHeight="1" x14ac:dyDescent="0.25">
      <c r="A2" s="274"/>
      <c r="B2" s="274"/>
      <c r="C2" s="274"/>
      <c r="D2" s="274"/>
      <c r="E2" s="274"/>
      <c r="F2" s="274"/>
      <c r="G2" s="274"/>
    </row>
    <row r="3" spans="1:7" x14ac:dyDescent="0.25">
      <c r="A3" s="313" t="s">
        <v>197</v>
      </c>
      <c r="B3" s="313"/>
      <c r="C3" s="313"/>
      <c r="D3" s="313"/>
      <c r="E3" s="313"/>
      <c r="F3" s="313"/>
      <c r="G3" s="313"/>
    </row>
    <row r="4" spans="1:7" ht="25.5" customHeight="1" x14ac:dyDescent="0.25">
      <c r="A4" s="316" t="s">
        <v>47</v>
      </c>
      <c r="B4" s="316"/>
      <c r="C4" s="316"/>
      <c r="D4" s="316"/>
      <c r="E4" s="316"/>
      <c r="F4" s="316"/>
      <c r="G4" s="316"/>
    </row>
    <row r="5" spans="1:7" x14ac:dyDescent="0.25">
      <c r="A5" s="232"/>
      <c r="B5" s="232"/>
      <c r="C5" s="232"/>
      <c r="D5" s="232"/>
      <c r="E5" s="232"/>
      <c r="F5" s="232"/>
      <c r="G5" s="232"/>
    </row>
    <row r="6" spans="1:7" ht="30" customHeight="1" x14ac:dyDescent="0.25">
      <c r="A6" s="367" t="s">
        <v>13</v>
      </c>
      <c r="B6" s="367" t="s">
        <v>99</v>
      </c>
      <c r="C6" s="367" t="s">
        <v>123</v>
      </c>
      <c r="D6" s="367" t="s">
        <v>101</v>
      </c>
      <c r="E6" s="338" t="s">
        <v>166</v>
      </c>
      <c r="F6" s="367" t="s">
        <v>103</v>
      </c>
      <c r="G6" s="367"/>
    </row>
    <row r="7" spans="1:7" x14ac:dyDescent="0.25">
      <c r="A7" s="367"/>
      <c r="B7" s="367"/>
      <c r="C7" s="367"/>
      <c r="D7" s="367"/>
      <c r="E7" s="360"/>
      <c r="F7" s="270" t="s">
        <v>169</v>
      </c>
      <c r="G7" s="270" t="s">
        <v>105</v>
      </c>
    </row>
    <row r="8" spans="1:7" x14ac:dyDescent="0.25">
      <c r="A8" s="270">
        <v>1</v>
      </c>
      <c r="B8" s="270">
        <v>2</v>
      </c>
      <c r="C8" s="270">
        <v>3</v>
      </c>
      <c r="D8" s="270">
        <v>4</v>
      </c>
      <c r="E8" s="270">
        <v>5</v>
      </c>
      <c r="F8" s="270">
        <v>6</v>
      </c>
      <c r="G8" s="270">
        <v>7</v>
      </c>
    </row>
    <row r="9" spans="1:7" ht="15" customHeight="1" x14ac:dyDescent="0.25">
      <c r="A9" s="233"/>
      <c r="B9" s="363" t="s">
        <v>198</v>
      </c>
      <c r="C9" s="364"/>
      <c r="D9" s="364"/>
      <c r="E9" s="364"/>
      <c r="F9" s="364"/>
      <c r="G9" s="365"/>
    </row>
    <row r="10" spans="1:7" ht="27" customHeight="1" x14ac:dyDescent="0.25">
      <c r="A10" s="270"/>
      <c r="B10" s="221"/>
      <c r="C10" s="135" t="s">
        <v>199</v>
      </c>
      <c r="D10" s="221"/>
      <c r="E10" s="234"/>
      <c r="F10" s="271"/>
      <c r="G10" s="219">
        <v>0</v>
      </c>
    </row>
    <row r="11" spans="1:7" x14ac:dyDescent="0.25">
      <c r="A11" s="270"/>
      <c r="B11" s="343" t="s">
        <v>200</v>
      </c>
      <c r="C11" s="343"/>
      <c r="D11" s="343"/>
      <c r="E11" s="366"/>
      <c r="F11" s="346"/>
      <c r="G11" s="346"/>
    </row>
    <row r="12" spans="1:7" s="160" customFormat="1" ht="51" customHeight="1" x14ac:dyDescent="0.25">
      <c r="A12" s="270">
        <v>1</v>
      </c>
      <c r="B12" s="135" t="str">
        <f>'Прил.5 Расчет СМР и ОБ'!B22</f>
        <v>БЦ.54.13</v>
      </c>
      <c r="C12" s="235" t="str">
        <f>'Прил.5 Расчет СМР и ОБ'!C22</f>
        <v>Подвесная купольная IP поворотная видеокамера с термокожухом и кронштейном IP66 от -40 до +50 градусов В85-20
Коммутационный шкаф</v>
      </c>
      <c r="D12" s="236" t="str">
        <f>'Прил.5 Расчет СМР и ОБ'!D22</f>
        <v>шт.</v>
      </c>
      <c r="E12" s="237">
        <f>'Прил.5 Расчет СМР и ОБ'!E22</f>
        <v>28</v>
      </c>
      <c r="F12" s="211">
        <f>'Прил.5 Расчет СМР и ОБ'!F22</f>
        <v>153150.16</v>
      </c>
      <c r="G12" s="219">
        <f>ROUND(E12*F12,2)</f>
        <v>4288204.4800000004</v>
      </c>
    </row>
    <row r="13" spans="1:7" ht="25.5" customHeight="1" x14ac:dyDescent="0.25">
      <c r="A13" s="270"/>
      <c r="B13" s="135"/>
      <c r="C13" s="135" t="s">
        <v>201</v>
      </c>
      <c r="D13" s="135"/>
      <c r="E13" s="275"/>
      <c r="F13" s="271"/>
      <c r="G13" s="219">
        <f>SUM(G12:G12)</f>
        <v>4288204.4800000004</v>
      </c>
    </row>
    <row r="14" spans="1:7" ht="19.5" customHeight="1" x14ac:dyDescent="0.25">
      <c r="A14" s="270"/>
      <c r="B14" s="135"/>
      <c r="C14" s="135" t="s">
        <v>202</v>
      </c>
      <c r="D14" s="135"/>
      <c r="E14" s="275"/>
      <c r="F14" s="271"/>
      <c r="G14" s="219">
        <f>G10+G13</f>
        <v>4288204.4800000004</v>
      </c>
    </row>
    <row r="15" spans="1:7" x14ac:dyDescent="0.25">
      <c r="A15" s="238"/>
      <c r="B15" s="239"/>
      <c r="C15" s="238"/>
      <c r="D15" s="238"/>
      <c r="E15" s="238"/>
      <c r="F15" s="238"/>
      <c r="G15" s="238"/>
    </row>
    <row r="16" spans="1:7" x14ac:dyDescent="0.25">
      <c r="A16" s="4" t="s">
        <v>194</v>
      </c>
      <c r="B16" s="14"/>
      <c r="C16" s="14"/>
      <c r="D16" s="238"/>
      <c r="E16" s="238"/>
      <c r="F16" s="238"/>
      <c r="G16" s="238"/>
    </row>
    <row r="17" spans="1:7" x14ac:dyDescent="0.25">
      <c r="A17" s="231" t="s">
        <v>76</v>
      </c>
      <c r="B17" s="14"/>
      <c r="C17" s="14"/>
      <c r="D17" s="238"/>
      <c r="E17" s="238"/>
      <c r="F17" s="238"/>
      <c r="G17" s="238"/>
    </row>
    <row r="18" spans="1:7" x14ac:dyDescent="0.25">
      <c r="A18" s="4"/>
      <c r="B18" s="14"/>
      <c r="C18" s="14"/>
      <c r="D18" s="238"/>
      <c r="E18" s="238"/>
      <c r="F18" s="238"/>
      <c r="G18" s="238"/>
    </row>
    <row r="19" spans="1:7" x14ac:dyDescent="0.25">
      <c r="A19" s="4" t="s">
        <v>195</v>
      </c>
      <c r="B19" s="14"/>
      <c r="C19" s="14"/>
      <c r="D19" s="238"/>
      <c r="E19" s="238"/>
      <c r="F19" s="238"/>
      <c r="G19" s="238"/>
    </row>
    <row r="20" spans="1:7" x14ac:dyDescent="0.25">
      <c r="A20" s="231" t="s">
        <v>78</v>
      </c>
      <c r="B20" s="14"/>
      <c r="C20" s="14"/>
      <c r="D20" s="238"/>
      <c r="E20" s="238"/>
      <c r="F20" s="238"/>
      <c r="G20" s="23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2023-11-25T10:23:19Z</cp:lastPrinted>
  <dcterms:created xsi:type="dcterms:W3CDTF">2020-09-30T08:50:27Z</dcterms:created>
  <dcterms:modified xsi:type="dcterms:W3CDTF">2023-11-25T10:23:38Z</dcterms:modified>
  <cp:category/>
</cp:coreProperties>
</file>