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280832B5-C447-442C-99C3-A22D2B948489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Прил.3!$A$1:$H$28</definedName>
    <definedName name="_xlnm.Print_Area" localSheetId="6">'Прил.4 РМ'!$A$1:$E$48</definedName>
    <definedName name="_xlnm.Print_Area" localSheetId="7">'Прил.5 Расчет СМР и ОБ'!$A$1:$J$45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J31" i="8"/>
  <c r="G31" i="8"/>
  <c r="J23" i="8"/>
  <c r="J25" i="8" s="1"/>
  <c r="C25" i="7" s="1"/>
  <c r="J22" i="8"/>
  <c r="F22" i="8"/>
  <c r="F12" i="9" s="1"/>
  <c r="J19" i="8"/>
  <c r="G19" i="8"/>
  <c r="E14" i="8"/>
  <c r="J13" i="8"/>
  <c r="J14" i="8" s="1"/>
  <c r="I13" i="8"/>
  <c r="G13" i="8"/>
  <c r="C17" i="7"/>
  <c r="C16" i="7"/>
  <c r="C13" i="7"/>
  <c r="C12" i="7"/>
  <c r="H19" i="6"/>
  <c r="H18" i="6"/>
  <c r="H17" i="6"/>
  <c r="H16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4" i="8" l="1"/>
  <c r="D33" i="8" s="1"/>
  <c r="J33" i="8" s="1"/>
  <c r="C11" i="7"/>
  <c r="J32" i="8"/>
  <c r="G12" i="9"/>
  <c r="G13" i="9" s="1"/>
  <c r="C14" i="7"/>
  <c r="G22" i="8"/>
  <c r="C18" i="7"/>
  <c r="G32" i="8" l="1"/>
  <c r="H13" i="8"/>
  <c r="G35" i="8"/>
  <c r="D34" i="8"/>
  <c r="J34" i="8" s="1"/>
  <c r="J35" i="8" s="1"/>
  <c r="J36" i="8" s="1"/>
  <c r="J37" i="8" s="1"/>
  <c r="G23" i="8"/>
  <c r="G25" i="8" s="1"/>
  <c r="H22" i="8"/>
  <c r="G26" i="8"/>
  <c r="J26" i="8" s="1"/>
  <c r="C26" i="7" s="1"/>
  <c r="G14" i="9"/>
  <c r="C19" i="7"/>
  <c r="C20" i="7"/>
  <c r="C22" i="7"/>
  <c r="C24" i="7" l="1"/>
  <c r="D22" i="7"/>
  <c r="H24" i="8"/>
  <c r="G36" i="8"/>
  <c r="G37" i="8" s="1"/>
  <c r="H23" i="8"/>
  <c r="C27" i="7" l="1"/>
  <c r="D24" i="7"/>
  <c r="D12" i="7"/>
  <c r="D15" i="7"/>
  <c r="C29" i="7"/>
  <c r="C30" i="7" s="1"/>
  <c r="D13" i="7"/>
  <c r="D17" i="7"/>
  <c r="D16" i="7"/>
  <c r="D18" i="7"/>
  <c r="D14" i="7"/>
  <c r="D11" i="7"/>
  <c r="D20" i="7"/>
  <c r="C36" i="7" l="1"/>
  <c r="C38" i="7" s="1"/>
  <c r="C37" i="7"/>
  <c r="C39" i="7" l="1"/>
  <c r="E39" i="7" l="1"/>
  <c r="C40" i="7"/>
  <c r="E31" i="7" l="1"/>
  <c r="E15" i="7"/>
  <c r="E13" i="7"/>
  <c r="C41" i="7"/>
  <c r="D11" i="10" s="1"/>
  <c r="E34" i="7"/>
  <c r="E35" i="7"/>
  <c r="E12" i="7"/>
  <c r="E32" i="7"/>
  <c r="E40" i="7"/>
  <c r="E33" i="7"/>
  <c r="E16" i="7"/>
  <c r="E17" i="7"/>
  <c r="E25" i="7"/>
  <c r="E11" i="7"/>
  <c r="E18" i="7"/>
  <c r="E14" i="7"/>
  <c r="E26" i="7"/>
  <c r="E20" i="7"/>
  <c r="E22" i="7"/>
  <c r="E24" i="7"/>
  <c r="E30" i="7"/>
  <c r="E29" i="7"/>
  <c r="E27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<sst xmlns="http://schemas.openxmlformats.org/spreadsheetml/2006/main" count="503" uniqueCount="364">
  <si>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</si>
  <si>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</si>
  <si>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</si>
  <si>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</si>
  <si>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</si>
  <si>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</si>
  <si>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</si>
  <si>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</si>
  <si>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</si>
  <si>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</si>
  <si>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</si>
  <si>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</si>
  <si>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</si>
  <si>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</si>
  <si>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</si>
  <si>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</si>
  <si>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</si>
  <si>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</si>
  <si>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</si>
  <si>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</si>
  <si>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</si>
  <si>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</si>
  <si>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</si>
  <si>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</si>
  <si>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</si>
  <si>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</si>
  <si>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</si>
  <si>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</si>
  <si>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</si>
  <si>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</si>
  <si>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</si>
  <si>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</si>
  <si>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</si>
  <si>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</si>
  <si>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</si>
  <si>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</si>
  <si>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</si>
  <si>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</si>
  <si>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</si>
  <si>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</si>
  <si>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</si>
  <si>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</si>
  <si>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</si>
  <si>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</si>
  <si>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</si>
  <si>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</si>
  <si>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</si>
  <si>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ПС 750 кВ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</si>
  <si>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</si>
  <si>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</si>
  <si>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</si>
  <si>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</si>
  <si>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</si>
  <si>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</si>
  <si>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</si>
  <si>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</si>
  <si>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</si>
  <si>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</si>
  <si>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</si>
  <si>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</si>
  <si>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Подвесная купольная IP поворотная видеокамера с термокожухом и кронштейном IP66 - 44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</si>
  <si>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</si>
  <si>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</si>
  <si>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</si>
  <si>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</si>
  <si>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</si>
  <si>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</si>
  <si>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</si>
  <si>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</si>
  <si>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</si>
  <si>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</si>
  <si>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</si>
  <si>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</si>
  <si>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</si>
  <si>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</si>
  <si>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</si>
  <si>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</si>
  <si>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</si>
  <si>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</si>
  <si>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</si>
  <si>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</si>
  <si>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ПС 750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</si>
  <si>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</si>
  <si>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</si>
  <si>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</si>
  <si>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</si>
  <si>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</si>
  <si>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</si>
  <si>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</si>
  <si>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</si>
  <si>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комплекс поворотных камер охранного (технологического) видеонаблюдения ПС 750 кВ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</si>
  <si>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</si>
  <si>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</si>
  <si>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</si>
  <si>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</si>
  <si>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</si>
  <si>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</si>
  <si>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</si>
  <si>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</si>
  <si>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</si>
  <si>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</si>
  <si>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</si>
  <si>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</si>
  <si>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</si>
  <si>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</si>
  <si>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</si>
  <si>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</si>
  <si>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</si>
  <si>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</si>
  <si>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</si>
  <si>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</si>
  <si>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</si>
  <si>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</si>
  <si>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</si>
  <si>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</si>
  <si>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</si>
  <si>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</si>
  <si>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</si>
  <si>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</si>
  <si>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</si>
  <si>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</si>
  <si>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</si>
  <si>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</si>
  <si>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</si>
  <si>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</si>
  <si>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</si>
  <si>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</si>
  <si>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</si>
  <si>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</si>
  <si>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</si>
  <si>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</si>
  <si>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</si>
  <si>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</si>
  <si>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</si>
  <si>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</si>
  <si>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</si>
  <si>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</si>
  <si>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</si>
  <si>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</si>
  <si>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</si>
  <si>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</si>
  <si>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</si>
  <si>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</si>
  <si>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</si>
  <si>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</si>
  <si>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</si>
  <si>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</si>
  <si>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</si>
  <si>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</si>
  <si>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</si>
  <si>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</si>
  <si>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</si>
  <si>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</si>
  <si>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</si>
  <si>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</si>
  <si>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</si>
  <si>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</si>
  <si>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</si>
  <si>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</si>
  <si>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</si>
  <si>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</si>
  <si>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</si>
  <si>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</si>
  <si>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</si>
  <si>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</si>
  <si>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</si>
  <si>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поворотных камер охранного (технологического) видеонаблюдения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</si>
  <si>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</si>
  <si>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</si>
  <si>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</si>
  <si>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</si>
  <si>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</si>
  <si>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</si>
  <si>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</si>
  <si>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</si>
  <si>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</si>
  <si>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</si>
  <si>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</si>
  <si>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</si>
  <si>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</si>
  <si>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Подвесная купольная IP поворотная видеокамера с термокожухом и кронштейном IP66 от -40 до +50 градусов В85-20
Коммутационный шкаф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</si>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</sst>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0" xfId="0" applyNumberFormat="1" applyFont="1"/>
    <xf numFmtId="2" fontId="19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2" fontId="19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276679</xdr:colOff>
      <xdr:row>28</xdr:row>
      <xdr:rowOff>130173</xdr:rowOff>
    </xdr:from>
    <xdr:to>
      <xdr:col>2</xdr:col>
      <xdr:colOff>1221481</xdr:colOff>
      <xdr:row>31</xdr:row>
      <xdr:rowOff>37983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E96DBEF-E1F8-4DD6-842A-EE69BFA5B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322" y="14145530"/>
          <a:ext cx="944802" cy="520132"/>
        </a:xfrm>
        <a:prstGeom prst="rect">
          <a:avLst/>
        </a:prstGeom>
      </xdr:spPr>
    </xdr:pic>
    <xdr:clientData/>
  </xdr:twoCellAnchor>
  <xdr:twoCellAnchor editAs="oneCell">
    <xdr:from>
      <xdr:col>2</xdr:col>
      <xdr:colOff>410030</xdr:colOff>
      <xdr:row>26</xdr:row>
      <xdr:rowOff>273050</xdr:rowOff>
    </xdr:from>
    <xdr:to>
      <xdr:col>2</xdr:col>
      <xdr:colOff>1248229</xdr:colOff>
      <xdr:row>28</xdr:row>
      <xdr:rowOff>48152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8A36D9D-5ECB-4AF3-BAB9-6F2A896D8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673" y="13608050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632733</xdr:colOff>
      <xdr:row>22</xdr:row>
      <xdr:rowOff>123371</xdr:rowOff>
    </xdr:from>
    <xdr:to>
      <xdr:col>2</xdr:col>
      <xdr:colOff>1577535</xdr:colOff>
      <xdr:row>25</xdr:row>
      <xdr:rowOff>35262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60E6882-F3CF-4801-B2D2-E6953F9C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447" y="578394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766084</xdr:colOff>
      <xdr:row>19</xdr:row>
      <xdr:rowOff>202292</xdr:rowOff>
    </xdr:from>
    <xdr:to>
      <xdr:col>2</xdr:col>
      <xdr:colOff>1604283</xdr:colOff>
      <xdr:row>22</xdr:row>
      <xdr:rowOff>45432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692FD94-CF5B-46B9-9D6C-1F693CC2B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98" y="5250542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22</xdr:row>
      <xdr:rowOff>129988</xdr:rowOff>
    </xdr:from>
    <xdr:to>
      <xdr:col>2</xdr:col>
      <xdr:colOff>1402002</xdr:colOff>
      <xdr:row>25</xdr:row>
      <xdr:rowOff>49083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EEE0C2-E36D-43C5-8132-09085C573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5616388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590551</xdr:colOff>
      <xdr:row>20</xdr:row>
      <xdr:rowOff>0</xdr:rowOff>
    </xdr:from>
    <xdr:to>
      <xdr:col>2</xdr:col>
      <xdr:colOff>1428750</xdr:colOff>
      <xdr:row>22</xdr:row>
      <xdr:rowOff>52049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EC6266D-34EF-4722-BA07-717D6990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1" y="5105400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85724</xdr:rowOff>
    </xdr:from>
    <xdr:to>
      <xdr:col>1</xdr:col>
      <xdr:colOff>1725852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93DD1D8-F2BC-472A-9BEC-1CE367940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40</xdr:row>
      <xdr:rowOff>123825</xdr:rowOff>
    </xdr:from>
    <xdr:to>
      <xdr:col>1</xdr:col>
      <xdr:colOff>1752600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C0136BE-D966-46FD-83B3-B8CCC7F1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39</xdr:row>
      <xdr:rowOff>136711</xdr:rowOff>
    </xdr:from>
    <xdr:to>
      <xdr:col>2</xdr:col>
      <xdr:colOff>365458</xdr:colOff>
      <xdr:row>42</xdr:row>
      <xdr:rowOff>89424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0A519F-6112-470C-A055-A9DDCE355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9356911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1058957</xdr:colOff>
      <xdr:row>36</xdr:row>
      <xdr:rowOff>441512</xdr:rowOff>
    </xdr:from>
    <xdr:to>
      <xdr:col>2</xdr:col>
      <xdr:colOff>392206</xdr:colOff>
      <xdr:row>39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BB8ABDE-1881-4E56-9096-C3AB26AF3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957" y="88235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16</xdr:row>
      <xdr:rowOff>95249</xdr:rowOff>
    </xdr:from>
    <xdr:to>
      <xdr:col>2</xdr:col>
      <xdr:colOff>287577</xdr:colOff>
      <xdr:row>19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1A80B18-01C8-4EE7-BA6E-F34A4700A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3529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647701</xdr:colOff>
      <xdr:row>13</xdr:row>
      <xdr:rowOff>190500</xdr:rowOff>
    </xdr:from>
    <xdr:to>
      <xdr:col>2</xdr:col>
      <xdr:colOff>314325</xdr:colOff>
      <xdr:row>16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BAC56E4-EEC1-4942-9F00-7520A548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1" y="38195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133349</xdr:rowOff>
    </xdr:from>
    <xdr:to>
      <xdr:col>1</xdr:col>
      <xdr:colOff>801927</xdr:colOff>
      <xdr:row>16</xdr:row>
      <xdr:rowOff>86062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B65C639-D9D4-425F-9DF7-E73591BB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956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838201</xdr:colOff>
      <xdr:row>10</xdr:row>
      <xdr:rowOff>781050</xdr:rowOff>
    </xdr:from>
    <xdr:to>
      <xdr:col>1</xdr:col>
      <xdr:colOff>828675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EF57F1D-3DBE-479F-BC4E-18F6D5D8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832037</xdr:colOff>
      <xdr:row>27</xdr:row>
      <xdr:rowOff>83296</xdr:rowOff>
    </xdr:from>
    <xdr:to>
      <xdr:col>1</xdr:col>
      <xdr:colOff>1776839</xdr:colOff>
      <xdr:row>30</xdr:row>
      <xdr:rowOff>36009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3D4AEB7-5886-405A-9061-1D87DB1C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155" y="937297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965388</xdr:colOff>
      <xdr:row>24</xdr:row>
      <xdr:rowOff>124199</xdr:rowOff>
    </xdr:from>
    <xdr:to>
      <xdr:col>1</xdr:col>
      <xdr:colOff>1803587</xdr:colOff>
      <xdr:row>27</xdr:row>
      <xdr:rowOff>5357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54C88C2-C144-41DA-8834-1908465D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506" y="8842375"/>
          <a:ext cx="838199" cy="452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6" t="s">
        <v>0</v>
      </c>
      <c r="B2" s="316"/>
      <c r="C2" s="316"/>
    </row>
    <row r="3" spans="1:3" x14ac:dyDescent="0.25">
      <c r="A3" s="1"/>
      <c r="B3" s="1"/>
      <c r="C3" s="1"/>
    </row>
    <row r="4" spans="1:3" x14ac:dyDescent="0.25">
      <c r="A4" s="317" t="s">
        <v>1</v>
      </c>
      <c r="B4" s="317"/>
      <c r="C4" s="3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8" t="s">
        <v>3</v>
      </c>
      <c r="C6" s="318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9" sqref="D19:E19"/>
    </sheetView>
  </sheetViews>
  <sheetFormatPr defaultRowHeight="15" x14ac:dyDescent="0.25"/>
  <cols>
    <col min="1" max="1" width="12.7109375" style="300" customWidth="1"/>
    <col min="2" max="2" width="16.42578125" style="300" customWidth="1"/>
    <col min="3" max="3" width="37.140625" style="300" customWidth="1"/>
    <col min="4" max="4" width="49" style="300" customWidth="1"/>
    <col min="5" max="5" width="9.140625" style="300" customWidth="1"/>
  </cols>
  <sheetData>
    <row r="1" spans="1:4" ht="15.75" customHeight="1" x14ac:dyDescent="0.25">
      <c r="A1" s="299"/>
      <c r="B1" s="299"/>
      <c r="C1" s="299"/>
      <c r="D1" s="299" t="s">
        <v>204</v>
      </c>
    </row>
    <row r="2" spans="1:4" ht="15.75" customHeight="1" x14ac:dyDescent="0.25">
      <c r="A2" s="299"/>
      <c r="B2" s="299"/>
      <c r="C2" s="299"/>
      <c r="D2" s="299"/>
    </row>
    <row r="3" spans="1:4" ht="15.75" customHeight="1" x14ac:dyDescent="0.25">
      <c r="A3" s="299"/>
      <c r="B3" s="301" t="s">
        <v>205</v>
      </c>
      <c r="C3" s="299"/>
      <c r="D3" s="299"/>
    </row>
    <row r="4" spans="1:4" ht="15.75" customHeight="1" x14ac:dyDescent="0.25">
      <c r="A4" s="299"/>
      <c r="B4" s="299"/>
      <c r="C4" s="299"/>
      <c r="D4" s="299"/>
    </row>
    <row r="5" spans="1:4" ht="47.25" customHeight="1" x14ac:dyDescent="0.25">
      <c r="A5" s="371" t="s">
        <v>206</v>
      </c>
      <c r="B5" s="371"/>
      <c r="C5" s="371"/>
      <c r="D5" s="302" t="str">
        <f>'Прил.5 Расчет СМР и ОБ'!D6:J6</f>
        <v>Постоянная часть ПС, комплекс поворотных камер охранного (технологического) видеонаблюдения ПС 750 кВ</v>
      </c>
    </row>
    <row r="6" spans="1:4" ht="15.75" customHeight="1" x14ac:dyDescent="0.25">
      <c r="A6" s="299" t="s">
        <v>49</v>
      </c>
      <c r="B6" s="299"/>
      <c r="C6" s="299"/>
      <c r="D6" s="299"/>
    </row>
    <row r="7" spans="1:4" ht="15.75" customHeight="1" x14ac:dyDescent="0.25">
      <c r="A7" s="299"/>
      <c r="B7" s="299"/>
      <c r="C7" s="299"/>
      <c r="D7" s="299"/>
    </row>
    <row r="8" spans="1:4" x14ac:dyDescent="0.25">
      <c r="A8" s="329" t="s">
        <v>5</v>
      </c>
      <c r="B8" s="329" t="s">
        <v>6</v>
      </c>
      <c r="C8" s="329" t="s">
        <v>207</v>
      </c>
      <c r="D8" s="329" t="s">
        <v>208</v>
      </c>
    </row>
    <row r="9" spans="1:4" x14ac:dyDescent="0.25">
      <c r="A9" s="329"/>
      <c r="B9" s="329"/>
      <c r="C9" s="329"/>
      <c r="D9" s="329"/>
    </row>
    <row r="10" spans="1:4" ht="15.75" customHeight="1" x14ac:dyDescent="0.25">
      <c r="A10" s="303">
        <v>1</v>
      </c>
      <c r="B10" s="303">
        <v>2</v>
      </c>
      <c r="C10" s="303">
        <v>3</v>
      </c>
      <c r="D10" s="303">
        <v>4</v>
      </c>
    </row>
    <row r="11" spans="1:4" ht="63" customHeight="1" x14ac:dyDescent="0.25">
      <c r="A11" s="309" t="s">
        <v>209</v>
      </c>
      <c r="B11" s="309" t="s">
        <v>210</v>
      </c>
      <c r="C11" s="310" t="str">
        <f>D5</f>
        <v>Постоянная часть ПС, комплекс поворотных камер охранного (технологического) видеонаблюдения ПС 750 кВ</v>
      </c>
      <c r="D11" s="304">
        <f>'Прил.4 РМ'!C41/1000</f>
        <v>45001.951940000006</v>
      </c>
    </row>
    <row r="13" spans="1:4" x14ac:dyDescent="0.25">
      <c r="A13" s="305" t="s">
        <v>211</v>
      </c>
      <c r="B13" s="306"/>
      <c r="C13" s="306"/>
      <c r="D13" s="307"/>
    </row>
    <row r="14" spans="1:4" x14ac:dyDescent="0.25">
      <c r="A14" s="308" t="s">
        <v>76</v>
      </c>
      <c r="B14" s="306"/>
      <c r="C14" s="306"/>
      <c r="D14" s="307"/>
    </row>
    <row r="15" spans="1:4" x14ac:dyDescent="0.25">
      <c r="A15" s="305"/>
      <c r="B15" s="306"/>
      <c r="C15" s="306"/>
      <c r="D15" s="307"/>
    </row>
    <row r="16" spans="1:4" x14ac:dyDescent="0.25">
      <c r="A16" s="305" t="s">
        <v>77</v>
      </c>
      <c r="B16" s="306"/>
      <c r="C16" s="306"/>
      <c r="D16" s="307"/>
    </row>
    <row r="17" spans="1:4" x14ac:dyDescent="0.25">
      <c r="A17" s="308" t="s">
        <v>78</v>
      </c>
      <c r="B17" s="306"/>
      <c r="C17" s="306"/>
      <c r="D17" s="30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topLeftCell="A15" zoomScale="85" zoomScaleNormal="85" zoomScaleSheetLayoutView="85" workbookViewId="0">
      <selection activeCell="B24" sqref="B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3" t="s">
        <v>212</v>
      </c>
      <c r="C4" s="323"/>
      <c r="D4" s="323"/>
    </row>
    <row r="5" spans="2:5" ht="18.75" customHeight="1" x14ac:dyDescent="0.25">
      <c r="B5" s="239"/>
    </row>
    <row r="6" spans="2:5" ht="15.75" customHeight="1" x14ac:dyDescent="0.25">
      <c r="B6" s="324" t="s">
        <v>213</v>
      </c>
      <c r="C6" s="324"/>
      <c r="D6" s="324"/>
    </row>
    <row r="7" spans="2:5" x14ac:dyDescent="0.25">
      <c r="B7" s="372"/>
      <c r="C7" s="372"/>
      <c r="D7" s="372"/>
      <c r="E7" s="372"/>
    </row>
    <row r="8" spans="2:5" x14ac:dyDescent="0.25">
      <c r="B8" s="275"/>
      <c r="C8" s="275"/>
      <c r="D8" s="275"/>
      <c r="E8" s="275"/>
    </row>
    <row r="9" spans="2:5" ht="47.25" customHeight="1" x14ac:dyDescent="0.25">
      <c r="B9" s="261" t="s">
        <v>214</v>
      </c>
      <c r="C9" s="261" t="s">
        <v>215</v>
      </c>
      <c r="D9" s="261" t="s">
        <v>216</v>
      </c>
    </row>
    <row r="10" spans="2:5" ht="15.75" customHeight="1" x14ac:dyDescent="0.25">
      <c r="B10" s="261">
        <v>1</v>
      </c>
      <c r="C10" s="261">
        <v>2</v>
      </c>
      <c r="D10" s="261">
        <v>3</v>
      </c>
    </row>
    <row r="11" spans="2:5" ht="45" customHeight="1" x14ac:dyDescent="0.25">
      <c r="B11" s="261" t="s">
        <v>217</v>
      </c>
      <c r="C11" s="261" t="s">
        <v>218</v>
      </c>
      <c r="D11" s="261">
        <v>44.29</v>
      </c>
    </row>
    <row r="12" spans="2:5" ht="29.25" customHeight="1" x14ac:dyDescent="0.25">
      <c r="B12" s="261" t="s">
        <v>219</v>
      </c>
      <c r="C12" s="261" t="s">
        <v>218</v>
      </c>
      <c r="D12" s="261">
        <v>13.47</v>
      </c>
    </row>
    <row r="13" spans="2:5" ht="29.25" customHeight="1" x14ac:dyDescent="0.25">
      <c r="B13" s="261" t="s">
        <v>220</v>
      </c>
      <c r="C13" s="261" t="s">
        <v>218</v>
      </c>
      <c r="D13" s="261">
        <v>8.0399999999999991</v>
      </c>
    </row>
    <row r="14" spans="2:5" ht="30.75" customHeight="1" x14ac:dyDescent="0.25">
      <c r="B14" s="261" t="s">
        <v>221</v>
      </c>
      <c r="C14" s="163" t="s">
        <v>222</v>
      </c>
      <c r="D14" s="261">
        <v>6.26</v>
      </c>
    </row>
    <row r="15" spans="2:5" ht="89.25" customHeight="1" x14ac:dyDescent="0.25">
      <c r="B15" s="261" t="s">
        <v>223</v>
      </c>
      <c r="C15" s="261" t="s">
        <v>224</v>
      </c>
      <c r="D15" s="240">
        <v>3.9E-2</v>
      </c>
    </row>
    <row r="16" spans="2:5" ht="78.75" customHeight="1" x14ac:dyDescent="0.25">
      <c r="B16" s="261" t="s">
        <v>225</v>
      </c>
      <c r="C16" s="261" t="s">
        <v>226</v>
      </c>
      <c r="D16" s="240">
        <v>2.1000000000000001E-2</v>
      </c>
    </row>
    <row r="17" spans="2:4" ht="34.5" customHeight="1" x14ac:dyDescent="0.25">
      <c r="B17" s="261"/>
      <c r="C17" s="261"/>
      <c r="D17" s="261"/>
    </row>
    <row r="18" spans="2:4" ht="31.5" customHeight="1" x14ac:dyDescent="0.25">
      <c r="B18" s="261" t="s">
        <v>227</v>
      </c>
      <c r="C18" s="261" t="s">
        <v>228</v>
      </c>
      <c r="D18" s="240">
        <v>2.1399999999999999E-2</v>
      </c>
    </row>
    <row r="19" spans="2:4" ht="31.5" customHeight="1" x14ac:dyDescent="0.25">
      <c r="B19" s="261" t="s">
        <v>154</v>
      </c>
      <c r="C19" s="261" t="s">
        <v>229</v>
      </c>
      <c r="D19" s="240">
        <v>2E-3</v>
      </c>
    </row>
    <row r="20" spans="2:4" ht="24" customHeight="1" x14ac:dyDescent="0.25">
      <c r="B20" s="261" t="s">
        <v>156</v>
      </c>
      <c r="C20" s="261" t="s">
        <v>230</v>
      </c>
      <c r="D20" s="240">
        <v>0.03</v>
      </c>
    </row>
    <row r="21" spans="2:4" ht="18.75" customHeight="1" x14ac:dyDescent="0.25">
      <c r="B21" s="241"/>
    </row>
    <row r="22" spans="2:4" ht="18.75" customHeight="1" x14ac:dyDescent="0.25">
      <c r="B22" s="241"/>
    </row>
    <row r="23" spans="2:4" ht="18.75" customHeight="1" x14ac:dyDescent="0.25">
      <c r="B23" s="241"/>
    </row>
    <row r="24" spans="2:4" ht="18.75" customHeight="1" x14ac:dyDescent="0.25">
      <c r="B24" s="241"/>
    </row>
    <row r="27" spans="2:4" x14ac:dyDescent="0.25">
      <c r="B27" s="4" t="s">
        <v>231</v>
      </c>
      <c r="C27" s="14"/>
    </row>
    <row r="28" spans="2:4" x14ac:dyDescent="0.25">
      <c r="B28" s="230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196</v>
      </c>
      <c r="C30" s="14"/>
    </row>
    <row r="31" spans="2:4" x14ac:dyDescent="0.25">
      <c r="B31" s="230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2" sqref="H12"/>
    </sheetView>
  </sheetViews>
  <sheetFormatPr defaultRowHeight="15" x14ac:dyDescent="0.25"/>
  <cols>
    <col min="1" max="1" width="9.140625" style="242" customWidth="1"/>
    <col min="2" max="2" width="44.85546875" style="242" customWidth="1"/>
    <col min="3" max="3" width="13" style="242" customWidth="1"/>
    <col min="4" max="4" width="22.85546875" style="242" customWidth="1"/>
    <col min="5" max="5" width="21.5703125" style="242" customWidth="1"/>
    <col min="6" max="6" width="43.85546875" style="242" customWidth="1"/>
    <col min="7" max="7" width="9.140625" style="242" customWidth="1"/>
  </cols>
  <sheetData>
    <row r="2" spans="1:7" ht="17.25" customHeight="1" x14ac:dyDescent="0.25">
      <c r="A2" s="324" t="s">
        <v>232</v>
      </c>
      <c r="B2" s="324"/>
      <c r="C2" s="324"/>
      <c r="D2" s="324"/>
      <c r="E2" s="324"/>
      <c r="F2" s="324"/>
    </row>
    <row r="4" spans="1:7" ht="18" customHeight="1" x14ac:dyDescent="0.25">
      <c r="A4" s="243" t="s">
        <v>233</v>
      </c>
      <c r="B4" s="244"/>
      <c r="C4" s="244"/>
      <c r="D4" s="244"/>
      <c r="E4" s="244"/>
      <c r="F4" s="244"/>
      <c r="G4" s="244"/>
    </row>
    <row r="5" spans="1:7" ht="15.75" customHeight="1" x14ac:dyDescent="0.25">
      <c r="A5" s="245" t="s">
        <v>13</v>
      </c>
      <c r="B5" s="245" t="s">
        <v>234</v>
      </c>
      <c r="C5" s="245" t="s">
        <v>235</v>
      </c>
      <c r="D5" s="245" t="s">
        <v>236</v>
      </c>
      <c r="E5" s="245" t="s">
        <v>237</v>
      </c>
      <c r="F5" s="245" t="s">
        <v>238</v>
      </c>
      <c r="G5" s="244"/>
    </row>
    <row r="6" spans="1:7" ht="15.75" customHeight="1" x14ac:dyDescent="0.25">
      <c r="A6" s="245">
        <v>1</v>
      </c>
      <c r="B6" s="245">
        <v>2</v>
      </c>
      <c r="C6" s="245">
        <v>3</v>
      </c>
      <c r="D6" s="245">
        <v>4</v>
      </c>
      <c r="E6" s="245">
        <v>5</v>
      </c>
      <c r="F6" s="245">
        <v>6</v>
      </c>
      <c r="G6" s="244"/>
    </row>
    <row r="7" spans="1:7" ht="110.25" customHeight="1" x14ac:dyDescent="0.25">
      <c r="A7" s="246" t="s">
        <v>239</v>
      </c>
      <c r="B7" s="247" t="s">
        <v>240</v>
      </c>
      <c r="C7" s="248" t="s">
        <v>241</v>
      </c>
      <c r="D7" s="248" t="s">
        <v>242</v>
      </c>
      <c r="E7" s="249">
        <v>47872.94</v>
      </c>
      <c r="F7" s="247" t="s">
        <v>243</v>
      </c>
      <c r="G7" s="244"/>
    </row>
    <row r="8" spans="1:7" ht="31.5" customHeight="1" x14ac:dyDescent="0.25">
      <c r="A8" s="246" t="s">
        <v>244</v>
      </c>
      <c r="B8" s="247" t="s">
        <v>245</v>
      </c>
      <c r="C8" s="248" t="s">
        <v>246</v>
      </c>
      <c r="D8" s="248" t="s">
        <v>247</v>
      </c>
      <c r="E8" s="249">
        <f>1973/12</f>
        <v>164.41666666667001</v>
      </c>
      <c r="F8" s="250" t="s">
        <v>248</v>
      </c>
      <c r="G8" s="251"/>
    </row>
    <row r="9" spans="1:7" ht="15.75" customHeight="1" x14ac:dyDescent="0.25">
      <c r="A9" s="246" t="s">
        <v>249</v>
      </c>
      <c r="B9" s="247" t="s">
        <v>250</v>
      </c>
      <c r="C9" s="248" t="s">
        <v>251</v>
      </c>
      <c r="D9" s="248" t="s">
        <v>242</v>
      </c>
      <c r="E9" s="249">
        <v>1</v>
      </c>
      <c r="F9" s="250"/>
      <c r="G9" s="252"/>
    </row>
    <row r="10" spans="1:7" ht="15.75" customHeight="1" x14ac:dyDescent="0.25">
      <c r="A10" s="246" t="s">
        <v>252</v>
      </c>
      <c r="B10" s="247" t="s">
        <v>253</v>
      </c>
      <c r="C10" s="248"/>
      <c r="D10" s="248"/>
      <c r="E10" s="253">
        <v>4.9000000000000004</v>
      </c>
      <c r="F10" s="250" t="s">
        <v>254</v>
      </c>
      <c r="G10" s="252"/>
    </row>
    <row r="11" spans="1:7" ht="78.75" customHeight="1" x14ac:dyDescent="0.25">
      <c r="A11" s="246" t="s">
        <v>255</v>
      </c>
      <c r="B11" s="247" t="s">
        <v>256</v>
      </c>
      <c r="C11" s="248" t="s">
        <v>257</v>
      </c>
      <c r="D11" s="248" t="s">
        <v>242</v>
      </c>
      <c r="E11" s="254">
        <v>1.522</v>
      </c>
      <c r="F11" s="247" t="s">
        <v>258</v>
      </c>
      <c r="G11" s="244"/>
    </row>
    <row r="12" spans="1:7" ht="78.75" customHeight="1" x14ac:dyDescent="0.25">
      <c r="A12" s="246" t="s">
        <v>259</v>
      </c>
      <c r="B12" s="255" t="s">
        <v>260</v>
      </c>
      <c r="C12" s="248" t="s">
        <v>261</v>
      </c>
      <c r="D12" s="248" t="s">
        <v>242</v>
      </c>
      <c r="E12" s="256">
        <v>1.139</v>
      </c>
      <c r="F12" s="257" t="s">
        <v>262</v>
      </c>
      <c r="G12" s="252"/>
    </row>
    <row r="13" spans="1:7" ht="63" customHeight="1" x14ac:dyDescent="0.25">
      <c r="A13" s="246" t="s">
        <v>263</v>
      </c>
      <c r="B13" s="258" t="s">
        <v>264</v>
      </c>
      <c r="C13" s="248" t="s">
        <v>265</v>
      </c>
      <c r="D13" s="248" t="s">
        <v>266</v>
      </c>
      <c r="E13" s="259">
        <f>((E7*E9/E8)*E11)*E12</f>
        <v>504.75733271476997</v>
      </c>
      <c r="F13" s="247" t="s">
        <v>267</v>
      </c>
      <c r="G13" s="24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3" t="s">
        <v>268</v>
      </c>
      <c r="B1" s="373"/>
      <c r="C1" s="373"/>
      <c r="D1" s="373"/>
      <c r="E1" s="373"/>
      <c r="F1" s="373"/>
      <c r="G1" s="373"/>
      <c r="H1" s="373"/>
      <c r="I1" s="373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9" t="e">
        <f>#REF!</f>
        <v>#REF!</v>
      </c>
      <c r="B3" s="319"/>
      <c r="C3" s="319"/>
      <c r="D3" s="319"/>
      <c r="E3" s="319"/>
      <c r="F3" s="319"/>
      <c r="G3" s="319"/>
      <c r="H3" s="319"/>
      <c r="I3" s="319"/>
    </row>
    <row r="4" spans="1:13" s="4" customFormat="1" ht="15.75" customHeight="1" x14ac:dyDescent="0.2">
      <c r="A4" s="374"/>
      <c r="B4" s="374"/>
      <c r="C4" s="374"/>
      <c r="D4" s="374"/>
      <c r="E4" s="374"/>
      <c r="F4" s="374"/>
      <c r="G4" s="374"/>
      <c r="H4" s="374"/>
      <c r="I4" s="374"/>
    </row>
    <row r="5" spans="1:13" s="31" customFormat="1" ht="36.6" customHeight="1" x14ac:dyDescent="0.35">
      <c r="A5" s="375" t="s">
        <v>13</v>
      </c>
      <c r="B5" s="375" t="s">
        <v>269</v>
      </c>
      <c r="C5" s="375" t="s">
        <v>270</v>
      </c>
      <c r="D5" s="375" t="s">
        <v>271</v>
      </c>
      <c r="E5" s="370" t="s">
        <v>272</v>
      </c>
      <c r="F5" s="370"/>
      <c r="G5" s="370"/>
      <c r="H5" s="370"/>
      <c r="I5" s="370"/>
    </row>
    <row r="6" spans="1:13" s="26" customFormat="1" ht="31.5" customHeight="1" x14ac:dyDescent="0.2">
      <c r="A6" s="375"/>
      <c r="B6" s="375"/>
      <c r="C6" s="375"/>
      <c r="D6" s="375"/>
      <c r="E6" s="32" t="s">
        <v>86</v>
      </c>
      <c r="F6" s="32" t="s">
        <v>87</v>
      </c>
      <c r="G6" s="32" t="s">
        <v>43</v>
      </c>
      <c r="H6" s="32" t="s">
        <v>273</v>
      </c>
      <c r="I6" s="32" t="s">
        <v>274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144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275</v>
      </c>
      <c r="C9" s="9" t="s">
        <v>276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277</v>
      </c>
      <c r="C11" s="9" t="s">
        <v>225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109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278</v>
      </c>
      <c r="C12" s="9" t="s">
        <v>279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280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228</v>
      </c>
      <c r="C14" s="9" t="s">
        <v>281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282</v>
      </c>
      <c r="C16" s="9" t="s">
        <v>283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284</v>
      </c>
    </row>
    <row r="17" spans="1:10" s="26" customFormat="1" ht="81.75" customHeight="1" x14ac:dyDescent="0.2">
      <c r="A17" s="33">
        <v>7</v>
      </c>
      <c r="B17" s="9" t="s">
        <v>282</v>
      </c>
      <c r="C17" s="136" t="s">
        <v>285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286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287</v>
      </c>
      <c r="C20" s="9" t="s">
        <v>156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288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289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290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291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292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7" t="s">
        <v>293</v>
      </c>
      <c r="O2" s="377"/>
    </row>
    <row r="3" spans="1:16" x14ac:dyDescent="0.25">
      <c r="A3" s="378" t="s">
        <v>294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</row>
    <row r="5" spans="1:16" s="49" customFormat="1" ht="37.5" customHeight="1" x14ac:dyDescent="0.25">
      <c r="A5" s="379" t="s">
        <v>295</v>
      </c>
      <c r="B5" s="382" t="s">
        <v>296</v>
      </c>
      <c r="C5" s="385" t="s">
        <v>297</v>
      </c>
      <c r="D5" s="388" t="s">
        <v>298</v>
      </c>
      <c r="E5" s="389"/>
      <c r="F5" s="389"/>
      <c r="G5" s="389"/>
      <c r="H5" s="389"/>
      <c r="I5" s="388" t="s">
        <v>299</v>
      </c>
      <c r="J5" s="389"/>
      <c r="K5" s="389"/>
      <c r="L5" s="389"/>
      <c r="M5" s="389"/>
      <c r="N5" s="389"/>
      <c r="O5" s="52" t="s">
        <v>300</v>
      </c>
    </row>
    <row r="6" spans="1:16" s="55" customFormat="1" ht="150" customHeight="1" x14ac:dyDescent="0.25">
      <c r="A6" s="380"/>
      <c r="B6" s="383"/>
      <c r="C6" s="386"/>
      <c r="D6" s="385" t="s">
        <v>301</v>
      </c>
      <c r="E6" s="390" t="s">
        <v>302</v>
      </c>
      <c r="F6" s="391"/>
      <c r="G6" s="392"/>
      <c r="H6" s="53" t="s">
        <v>303</v>
      </c>
      <c r="I6" s="393" t="s">
        <v>304</v>
      </c>
      <c r="J6" s="393" t="s">
        <v>301</v>
      </c>
      <c r="K6" s="394" t="s">
        <v>302</v>
      </c>
      <c r="L6" s="394"/>
      <c r="M6" s="394"/>
      <c r="N6" s="53" t="s">
        <v>303</v>
      </c>
      <c r="O6" s="54" t="s">
        <v>305</v>
      </c>
    </row>
    <row r="7" spans="1:16" s="55" customFormat="1" ht="30.75" customHeight="1" x14ac:dyDescent="0.25">
      <c r="A7" s="381"/>
      <c r="B7" s="384"/>
      <c r="C7" s="387"/>
      <c r="D7" s="387"/>
      <c r="E7" s="52" t="s">
        <v>86</v>
      </c>
      <c r="F7" s="52" t="s">
        <v>87</v>
      </c>
      <c r="G7" s="52" t="s">
        <v>43</v>
      </c>
      <c r="H7" s="56" t="s">
        <v>306</v>
      </c>
      <c r="I7" s="393"/>
      <c r="J7" s="393"/>
      <c r="K7" s="52" t="s">
        <v>86</v>
      </c>
      <c r="L7" s="52" t="s">
        <v>87</v>
      </c>
      <c r="M7" s="52" t="s">
        <v>43</v>
      </c>
      <c r="N7" s="56" t="s">
        <v>306</v>
      </c>
      <c r="O7" s="52" t="s">
        <v>307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9" t="s">
        <v>308</v>
      </c>
      <c r="C9" s="58" t="s">
        <v>309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1"/>
      <c r="C10" s="62" t="s">
        <v>310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9" t="s">
        <v>311</v>
      </c>
      <c r="C11" s="62" t="s">
        <v>312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1"/>
      <c r="C12" s="62" t="s">
        <v>313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9" t="s">
        <v>314</v>
      </c>
      <c r="C13" s="58" t="s">
        <v>315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1"/>
      <c r="C14" s="62" t="s">
        <v>316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317</v>
      </c>
      <c r="C15" s="62" t="s">
        <v>318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319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320</v>
      </c>
    </row>
    <row r="19" spans="1:15" ht="30.75" customHeight="1" x14ac:dyDescent="0.25">
      <c r="L19" s="74"/>
    </row>
    <row r="20" spans="1:15" ht="15" customHeight="1" outlineLevel="1" x14ac:dyDescent="0.25">
      <c r="G20" s="376" t="s">
        <v>321</v>
      </c>
      <c r="H20" s="376"/>
      <c r="I20" s="376"/>
      <c r="J20" s="376"/>
      <c r="K20" s="376"/>
      <c r="L20" s="376"/>
      <c r="M20" s="376"/>
      <c r="N20" s="376"/>
      <c r="O20" s="51"/>
    </row>
    <row r="21" spans="1:15" ht="15.75" customHeight="1" outlineLevel="1" x14ac:dyDescent="0.25">
      <c r="G21" s="75"/>
      <c r="H21" s="75" t="s">
        <v>322</v>
      </c>
      <c r="I21" s="75" t="s">
        <v>323</v>
      </c>
      <c r="J21" s="76" t="s">
        <v>324</v>
      </c>
      <c r="K21" s="77" t="s">
        <v>325</v>
      </c>
      <c r="L21" s="75" t="s">
        <v>326</v>
      </c>
      <c r="M21" s="75" t="s">
        <v>327</v>
      </c>
      <c r="N21" s="76" t="s">
        <v>328</v>
      </c>
      <c r="O21" s="78"/>
    </row>
    <row r="22" spans="1:15" ht="15.75" customHeight="1" outlineLevel="1" x14ac:dyDescent="0.25">
      <c r="G22" s="396" t="s">
        <v>329</v>
      </c>
      <c r="H22" s="395">
        <v>6.09</v>
      </c>
      <c r="I22" s="397">
        <v>6.44</v>
      </c>
      <c r="J22" s="395">
        <v>5.77</v>
      </c>
      <c r="K22" s="397">
        <v>5.77</v>
      </c>
      <c r="L22" s="395">
        <v>5.23</v>
      </c>
      <c r="M22" s="395">
        <v>5.77</v>
      </c>
      <c r="N22" s="79">
        <v>6.29</v>
      </c>
      <c r="O22" s="50" t="s">
        <v>330</v>
      </c>
    </row>
    <row r="23" spans="1:15" ht="15.75" customHeight="1" outlineLevel="1" x14ac:dyDescent="0.25">
      <c r="G23" s="396"/>
      <c r="H23" s="395"/>
      <c r="I23" s="397"/>
      <c r="J23" s="395"/>
      <c r="K23" s="397"/>
      <c r="L23" s="395"/>
      <c r="M23" s="395"/>
      <c r="N23" s="79">
        <v>6.56</v>
      </c>
      <c r="O23" s="50" t="s">
        <v>331</v>
      </c>
    </row>
    <row r="24" spans="1:15" ht="15.75" customHeight="1" outlineLevel="1" x14ac:dyDescent="0.25">
      <c r="G24" s="80" t="s">
        <v>332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306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333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334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273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13" t="s">
        <v>335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</row>
    <row r="4" spans="1:18" ht="36.75" customHeight="1" x14ac:dyDescent="0.25">
      <c r="A4" s="379" t="s">
        <v>295</v>
      </c>
      <c r="B4" s="382" t="s">
        <v>296</v>
      </c>
      <c r="C4" s="385" t="s">
        <v>336</v>
      </c>
      <c r="D4" s="385" t="s">
        <v>337</v>
      </c>
      <c r="E4" s="388" t="s">
        <v>338</v>
      </c>
      <c r="F4" s="389"/>
      <c r="G4" s="389"/>
      <c r="H4" s="389"/>
      <c r="I4" s="389"/>
      <c r="J4" s="389"/>
      <c r="K4" s="389"/>
      <c r="L4" s="389"/>
      <c r="M4" s="389"/>
      <c r="N4" s="414" t="s">
        <v>339</v>
      </c>
      <c r="O4" s="415"/>
      <c r="P4" s="415"/>
      <c r="Q4" s="415"/>
      <c r="R4" s="416"/>
    </row>
    <row r="5" spans="1:18" ht="60" customHeight="1" x14ac:dyDescent="0.25">
      <c r="A5" s="380"/>
      <c r="B5" s="383"/>
      <c r="C5" s="386"/>
      <c r="D5" s="386"/>
      <c r="E5" s="393" t="s">
        <v>340</v>
      </c>
      <c r="F5" s="393" t="s">
        <v>341</v>
      </c>
      <c r="G5" s="390" t="s">
        <v>302</v>
      </c>
      <c r="H5" s="391"/>
      <c r="I5" s="391"/>
      <c r="J5" s="392"/>
      <c r="K5" s="393" t="s">
        <v>342</v>
      </c>
      <c r="L5" s="393"/>
      <c r="M5" s="393"/>
      <c r="N5" s="88" t="s">
        <v>343</v>
      </c>
      <c r="O5" s="88" t="s">
        <v>344</v>
      </c>
      <c r="P5" s="89" t="s">
        <v>345</v>
      </c>
      <c r="Q5" s="90" t="s">
        <v>346</v>
      </c>
      <c r="R5" s="89" t="s">
        <v>347</v>
      </c>
    </row>
    <row r="6" spans="1:18" ht="49.5" customHeight="1" x14ac:dyDescent="0.25">
      <c r="A6" s="381"/>
      <c r="B6" s="384"/>
      <c r="C6" s="387"/>
      <c r="D6" s="387"/>
      <c r="E6" s="393"/>
      <c r="F6" s="393"/>
      <c r="G6" s="52" t="s">
        <v>86</v>
      </c>
      <c r="H6" s="52" t="s">
        <v>87</v>
      </c>
      <c r="I6" s="91" t="s">
        <v>43</v>
      </c>
      <c r="J6" s="91" t="s">
        <v>273</v>
      </c>
      <c r="K6" s="52" t="s">
        <v>343</v>
      </c>
      <c r="L6" s="52" t="s">
        <v>344</v>
      </c>
      <c r="M6" s="52" t="s">
        <v>345</v>
      </c>
      <c r="N6" s="91" t="s">
        <v>348</v>
      </c>
      <c r="O6" s="91" t="s">
        <v>349</v>
      </c>
      <c r="P6" s="91" t="s">
        <v>350</v>
      </c>
      <c r="Q6" s="92" t="s">
        <v>351</v>
      </c>
      <c r="R6" s="93" t="s">
        <v>352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9">
        <v>1</v>
      </c>
      <c r="B9" s="379" t="s">
        <v>353</v>
      </c>
      <c r="C9" s="406" t="s">
        <v>309</v>
      </c>
      <c r="D9" s="98" t="s">
        <v>354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1"/>
      <c r="B10" s="380"/>
      <c r="C10" s="407"/>
      <c r="D10" s="98" t="s">
        <v>355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79">
        <v>2</v>
      </c>
      <c r="B11" s="380"/>
      <c r="C11" s="406" t="s">
        <v>356</v>
      </c>
      <c r="D11" s="103" t="s">
        <v>354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1"/>
      <c r="B12" s="381"/>
      <c r="C12" s="407"/>
      <c r="D12" s="103" t="s">
        <v>355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79">
        <v>3</v>
      </c>
      <c r="B13" s="379" t="s">
        <v>311</v>
      </c>
      <c r="C13" s="409" t="s">
        <v>312</v>
      </c>
      <c r="D13" s="98" t="s">
        <v>357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1"/>
      <c r="B14" s="380"/>
      <c r="C14" s="410"/>
      <c r="D14" s="98" t="s">
        <v>355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79">
        <v>4</v>
      </c>
      <c r="B15" s="380"/>
      <c r="C15" s="411" t="s">
        <v>313</v>
      </c>
      <c r="D15" s="104" t="s">
        <v>357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1"/>
      <c r="B16" s="381"/>
      <c r="C16" s="412"/>
      <c r="D16" s="104" t="s">
        <v>355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79">
        <v>5</v>
      </c>
      <c r="B17" s="394" t="s">
        <v>314</v>
      </c>
      <c r="C17" s="406" t="s">
        <v>358</v>
      </c>
      <c r="D17" s="98" t="s">
        <v>359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1"/>
      <c r="B18" s="394"/>
      <c r="C18" s="407"/>
      <c r="D18" s="98" t="s">
        <v>355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79">
        <v>6</v>
      </c>
      <c r="B19" s="394"/>
      <c r="C19" s="406" t="s">
        <v>316</v>
      </c>
      <c r="D19" s="104" t="s">
        <v>357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1"/>
      <c r="B20" s="394"/>
      <c r="C20" s="407"/>
      <c r="D20" s="104" t="s">
        <v>355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79">
        <v>7</v>
      </c>
      <c r="B21" s="379" t="s">
        <v>317</v>
      </c>
      <c r="C21" s="406" t="s">
        <v>318</v>
      </c>
      <c r="D21" s="104" t="s">
        <v>360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1"/>
      <c r="B22" s="381"/>
      <c r="C22" s="407"/>
      <c r="D22" s="105" t="s">
        <v>355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361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8" t="s">
        <v>362</v>
      </c>
      <c r="E26" s="408"/>
      <c r="F26" s="408"/>
      <c r="G26" s="408"/>
      <c r="H26" s="408"/>
      <c r="I26" s="408"/>
      <c r="J26" s="408"/>
      <c r="K26" s="408"/>
      <c r="L26" s="120"/>
      <c r="R26" s="121"/>
    </row>
    <row r="27" spans="1:18" outlineLevel="1" x14ac:dyDescent="0.25">
      <c r="D27" s="122"/>
      <c r="E27" s="122" t="s">
        <v>322</v>
      </c>
      <c r="F27" s="122" t="s">
        <v>323</v>
      </c>
      <c r="G27" s="122" t="s">
        <v>324</v>
      </c>
      <c r="H27" s="123" t="s">
        <v>325</v>
      </c>
      <c r="I27" s="123" t="s">
        <v>326</v>
      </c>
      <c r="J27" s="123" t="s">
        <v>327</v>
      </c>
      <c r="K27" s="110" t="s">
        <v>328</v>
      </c>
      <c r="L27" s="51"/>
    </row>
    <row r="28" spans="1:18" outlineLevel="1" x14ac:dyDescent="0.25">
      <c r="D28" s="402" t="s">
        <v>329</v>
      </c>
      <c r="E28" s="400">
        <v>6.09</v>
      </c>
      <c r="F28" s="404">
        <v>6.63</v>
      </c>
      <c r="G28" s="400">
        <v>5.77</v>
      </c>
      <c r="H28" s="398">
        <v>5.77</v>
      </c>
      <c r="I28" s="398">
        <v>6.35</v>
      </c>
      <c r="J28" s="400">
        <v>5.77</v>
      </c>
      <c r="K28" s="124">
        <v>6.29</v>
      </c>
      <c r="L28" s="86" t="s">
        <v>330</v>
      </c>
      <c r="M28" s="51"/>
    </row>
    <row r="29" spans="1:18" outlineLevel="1" x14ac:dyDescent="0.25">
      <c r="D29" s="403"/>
      <c r="E29" s="401"/>
      <c r="F29" s="405"/>
      <c r="G29" s="401"/>
      <c r="H29" s="399"/>
      <c r="I29" s="399"/>
      <c r="J29" s="401"/>
      <c r="K29" s="124">
        <v>6.56</v>
      </c>
      <c r="L29" s="86" t="s">
        <v>331</v>
      </c>
      <c r="M29" s="51"/>
    </row>
    <row r="30" spans="1:18" outlineLevel="1" x14ac:dyDescent="0.25">
      <c r="D30" s="125" t="s">
        <v>332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2" t="s">
        <v>306</v>
      </c>
      <c r="E31" s="400">
        <v>11.37</v>
      </c>
      <c r="F31" s="404">
        <v>13.56</v>
      </c>
      <c r="G31" s="400">
        <v>15.91</v>
      </c>
      <c r="H31" s="398">
        <v>15.91</v>
      </c>
      <c r="I31" s="398">
        <v>14.03</v>
      </c>
      <c r="J31" s="400">
        <v>15.91</v>
      </c>
      <c r="K31" s="124">
        <v>8.2899999999999991</v>
      </c>
      <c r="L31" s="86" t="s">
        <v>330</v>
      </c>
      <c r="R31" s="115"/>
    </row>
    <row r="32" spans="1:18" s="86" customFormat="1" outlineLevel="1" x14ac:dyDescent="0.25">
      <c r="D32" s="403"/>
      <c r="E32" s="401"/>
      <c r="F32" s="405"/>
      <c r="G32" s="401"/>
      <c r="H32" s="399"/>
      <c r="I32" s="399"/>
      <c r="J32" s="401"/>
      <c r="K32" s="124">
        <v>11.84</v>
      </c>
      <c r="L32" s="86" t="s">
        <v>331</v>
      </c>
      <c r="R32" s="115"/>
    </row>
    <row r="33" spans="4:18" s="86" customFormat="1" ht="15" customHeight="1" outlineLevel="1" x14ac:dyDescent="0.25">
      <c r="D33" s="128" t="s">
        <v>333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363</v>
      </c>
      <c r="R33" s="115"/>
    </row>
    <row r="34" spans="4:18" s="86" customFormat="1" outlineLevel="1" x14ac:dyDescent="0.25">
      <c r="D34" s="128" t="s">
        <v>334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363</v>
      </c>
      <c r="R34" s="115"/>
    </row>
    <row r="35" spans="4:18" s="86" customFormat="1" outlineLevel="1" x14ac:dyDescent="0.25">
      <c r="D35" s="125" t="s">
        <v>273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6" t="s">
        <v>10</v>
      </c>
      <c r="B2" s="316"/>
      <c r="C2" s="316"/>
      <c r="D2" s="31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9"/>
    </row>
    <row r="5" spans="1:4" x14ac:dyDescent="0.25">
      <c r="A5" s="6"/>
      <c r="B5" s="1"/>
      <c r="C5" s="1"/>
    </row>
    <row r="6" spans="1:4" x14ac:dyDescent="0.25">
      <c r="A6" s="316" t="s">
        <v>12</v>
      </c>
      <c r="B6" s="316"/>
      <c r="C6" s="316"/>
      <c r="D6" s="31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0" t="s">
        <v>5</v>
      </c>
      <c r="B15" s="321" t="s">
        <v>15</v>
      </c>
      <c r="C15" s="321"/>
      <c r="D15" s="321"/>
    </row>
    <row r="16" spans="1:4" x14ac:dyDescent="0.25">
      <c r="A16" s="320"/>
      <c r="B16" s="320" t="s">
        <v>17</v>
      </c>
      <c r="C16" s="321" t="s">
        <v>28</v>
      </c>
      <c r="D16" s="321"/>
    </row>
    <row r="17" spans="1:4" ht="39" customHeight="1" x14ac:dyDescent="0.25">
      <c r="A17" s="320"/>
      <c r="B17" s="320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2" t="s">
        <v>29</v>
      </c>
      <c r="B2" s="322"/>
      <c r="C2" s="322"/>
      <c r="D2" s="322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6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5703125" style="159" customWidth="1"/>
    <col min="5" max="5" width="17.5703125" style="159" customWidth="1"/>
    <col min="6" max="6" width="18.7109375" style="159" customWidth="1"/>
    <col min="7" max="7" width="9.140625" style="159"/>
  </cols>
  <sheetData>
    <row r="3" spans="2:4" x14ac:dyDescent="0.25">
      <c r="B3" s="323" t="s">
        <v>45</v>
      </c>
      <c r="C3" s="323"/>
      <c r="D3" s="323"/>
    </row>
    <row r="4" spans="2:4" x14ac:dyDescent="0.25">
      <c r="B4" s="324" t="s">
        <v>46</v>
      </c>
      <c r="C4" s="324"/>
      <c r="D4" s="324"/>
    </row>
    <row r="5" spans="2:4" x14ac:dyDescent="0.25">
      <c r="B5" s="160"/>
      <c r="C5" s="160"/>
      <c r="D5" s="160"/>
    </row>
    <row r="6" spans="2:4" x14ac:dyDescent="0.25">
      <c r="B6" s="160"/>
      <c r="C6" s="160"/>
      <c r="D6" s="160"/>
    </row>
    <row r="7" spans="2:4" ht="61.5" customHeight="1" x14ac:dyDescent="0.25">
      <c r="B7" s="325" t="s">
        <v>47</v>
      </c>
      <c r="C7" s="326"/>
      <c r="D7" s="326"/>
    </row>
    <row r="8" spans="2:4" ht="31.5" customHeight="1" x14ac:dyDescent="0.25">
      <c r="B8" s="326" t="s">
        <v>48</v>
      </c>
      <c r="C8" s="326"/>
      <c r="D8" s="326"/>
    </row>
    <row r="9" spans="2:4" x14ac:dyDescent="0.25">
      <c r="B9" s="326" t="s">
        <v>49</v>
      </c>
      <c r="C9" s="326"/>
      <c r="D9" s="326"/>
    </row>
    <row r="10" spans="2:4" x14ac:dyDescent="0.25">
      <c r="B10" s="260"/>
    </row>
    <row r="11" spans="2:4" x14ac:dyDescent="0.25">
      <c r="B11" s="261" t="s">
        <v>33</v>
      </c>
      <c r="C11" s="261" t="s">
        <v>50</v>
      </c>
      <c r="D11" s="161" t="s">
        <v>51</v>
      </c>
    </row>
    <row r="12" spans="2:4" ht="157.5" customHeight="1" x14ac:dyDescent="0.25">
      <c r="B12" s="261">
        <v>1</v>
      </c>
      <c r="C12" s="161" t="s">
        <v>52</v>
      </c>
      <c r="D12" s="311" t="s">
        <v>53</v>
      </c>
    </row>
    <row r="13" spans="2:4" ht="31.5" customHeight="1" x14ac:dyDescent="0.25">
      <c r="B13" s="261">
        <v>2</v>
      </c>
      <c r="C13" s="161" t="s">
        <v>54</v>
      </c>
      <c r="D13" s="311" t="s">
        <v>55</v>
      </c>
    </row>
    <row r="14" spans="2:4" x14ac:dyDescent="0.25">
      <c r="B14" s="261">
        <v>3</v>
      </c>
      <c r="C14" s="161" t="s">
        <v>56</v>
      </c>
      <c r="D14" s="311" t="s">
        <v>57</v>
      </c>
    </row>
    <row r="15" spans="2:4" x14ac:dyDescent="0.25">
      <c r="B15" s="261">
        <v>4</v>
      </c>
      <c r="C15" s="161" t="s">
        <v>58</v>
      </c>
      <c r="D15" s="311">
        <v>1</v>
      </c>
    </row>
    <row r="16" spans="2:4" ht="94.5" customHeight="1" x14ac:dyDescent="0.25">
      <c r="B16" s="261">
        <v>5</v>
      </c>
      <c r="C16" s="163" t="s">
        <v>59</v>
      </c>
      <c r="D16" s="161" t="s">
        <v>60</v>
      </c>
    </row>
    <row r="17" spans="2:6" ht="78.75" customHeight="1" x14ac:dyDescent="0.25">
      <c r="B17" s="261">
        <v>6</v>
      </c>
      <c r="C17" s="163" t="s">
        <v>61</v>
      </c>
      <c r="D17" s="164">
        <f>D18+D19</f>
        <v>30874.615288000001</v>
      </c>
    </row>
    <row r="18" spans="2:6" x14ac:dyDescent="0.25">
      <c r="B18" s="165" t="s">
        <v>62</v>
      </c>
      <c r="C18" s="161" t="s">
        <v>63</v>
      </c>
      <c r="D18" s="164">
        <f>'Прил.2 Расч стоим'!F12</f>
        <v>11.795044799999999</v>
      </c>
    </row>
    <row r="19" spans="2:6" ht="15.75" customHeight="1" x14ac:dyDescent="0.25">
      <c r="B19" s="165" t="s">
        <v>64</v>
      </c>
      <c r="C19" s="161" t="s">
        <v>65</v>
      </c>
      <c r="D19" s="164">
        <f>'Прил.2 Расч стоим'!H12</f>
        <v>30862.8202432</v>
      </c>
    </row>
    <row r="20" spans="2:6" ht="16.5" customHeight="1" x14ac:dyDescent="0.25">
      <c r="B20" s="165" t="s">
        <v>66</v>
      </c>
      <c r="C20" s="161" t="s">
        <v>67</v>
      </c>
      <c r="D20" s="164"/>
      <c r="F20" s="166"/>
    </row>
    <row r="21" spans="2:6" ht="35.25" customHeight="1" x14ac:dyDescent="0.25">
      <c r="B21" s="165" t="s">
        <v>68</v>
      </c>
      <c r="C21" s="167" t="s">
        <v>69</v>
      </c>
      <c r="D21" s="164"/>
    </row>
    <row r="22" spans="2:6" x14ac:dyDescent="0.25">
      <c r="B22" s="261">
        <v>7</v>
      </c>
      <c r="C22" s="167" t="s">
        <v>70</v>
      </c>
      <c r="D22" s="168" t="s">
        <v>71</v>
      </c>
    </row>
    <row r="23" spans="2:6" ht="123" customHeight="1" x14ac:dyDescent="0.25">
      <c r="B23" s="261">
        <v>8</v>
      </c>
      <c r="C23" s="169" t="s">
        <v>72</v>
      </c>
      <c r="D23" s="164">
        <f>D17</f>
        <v>30874.615288000001</v>
      </c>
    </row>
    <row r="24" spans="2:6" ht="60.75" customHeight="1" x14ac:dyDescent="0.25">
      <c r="B24" s="261">
        <v>9</v>
      </c>
      <c r="C24" s="163" t="s">
        <v>73</v>
      </c>
      <c r="D24" s="164">
        <f>D23/D15</f>
        <v>30874.615288000001</v>
      </c>
    </row>
    <row r="25" spans="2:6" ht="118.5" customHeight="1" x14ac:dyDescent="0.25">
      <c r="B25" s="261">
        <v>10</v>
      </c>
      <c r="C25" s="161" t="s">
        <v>74</v>
      </c>
      <c r="D25" s="161"/>
    </row>
    <row r="26" spans="2:6" x14ac:dyDescent="0.25">
      <c r="B26" s="170"/>
      <c r="C26" s="171"/>
      <c r="D26" s="171"/>
    </row>
    <row r="27" spans="2:6" ht="37.5" customHeight="1" x14ac:dyDescent="0.25">
      <c r="B27" s="172"/>
    </row>
    <row r="28" spans="2:6" x14ac:dyDescent="0.25">
      <c r="B28" s="159" t="s">
        <v>75</v>
      </c>
    </row>
    <row r="29" spans="2:6" x14ac:dyDescent="0.25">
      <c r="B29" s="172" t="s">
        <v>76</v>
      </c>
    </row>
    <row r="31" spans="2:6" x14ac:dyDescent="0.25">
      <c r="B31" s="159" t="s">
        <v>77</v>
      </c>
    </row>
    <row r="32" spans="2:6" x14ac:dyDescent="0.25">
      <c r="B32" s="172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G23" sqref="G23"/>
    </sheetView>
  </sheetViews>
  <sheetFormatPr defaultColWidth="9.140625" defaultRowHeight="15.75" x14ac:dyDescent="0.25"/>
  <cols>
    <col min="1" max="1" width="5.5703125" style="159" customWidth="1"/>
    <col min="2" max="2" width="9.140625" style="159"/>
    <col min="3" max="3" width="35.28515625" style="159" customWidth="1"/>
    <col min="4" max="4" width="13.85546875" style="159" customWidth="1"/>
    <col min="5" max="5" width="24.85546875" style="159" customWidth="1"/>
    <col min="6" max="6" width="15.5703125" style="159" customWidth="1"/>
    <col min="7" max="7" width="14.85546875" style="159" customWidth="1"/>
    <col min="8" max="8" width="16.7109375" style="159" customWidth="1"/>
    <col min="9" max="10" width="13" style="159" customWidth="1"/>
    <col min="11" max="11" width="18" style="159" customWidth="1"/>
    <col min="12" max="12" width="9.140625" style="159"/>
  </cols>
  <sheetData>
    <row r="3" spans="2:12" x14ac:dyDescent="0.25">
      <c r="B3" s="323" t="s">
        <v>79</v>
      </c>
      <c r="C3" s="323"/>
      <c r="D3" s="323"/>
      <c r="E3" s="323"/>
      <c r="F3" s="323"/>
      <c r="G3" s="323"/>
      <c r="H3" s="323"/>
      <c r="I3" s="323"/>
      <c r="J3" s="323"/>
      <c r="K3" s="172"/>
    </row>
    <row r="4" spans="2:12" x14ac:dyDescent="0.25">
      <c r="B4" s="324" t="s">
        <v>80</v>
      </c>
      <c r="C4" s="324"/>
      <c r="D4" s="324"/>
      <c r="E4" s="324"/>
      <c r="F4" s="324"/>
      <c r="G4" s="324"/>
      <c r="H4" s="324"/>
      <c r="I4" s="324"/>
      <c r="J4" s="324"/>
      <c r="K4" s="324"/>
    </row>
    <row r="5" spans="2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2:12" ht="33" customHeight="1" x14ac:dyDescent="0.25">
      <c r="B6" s="328" t="s">
        <v>81</v>
      </c>
      <c r="C6" s="328"/>
      <c r="D6" s="328"/>
      <c r="E6" s="328"/>
      <c r="F6" s="328"/>
      <c r="G6" s="328"/>
      <c r="H6" s="328"/>
      <c r="I6" s="328"/>
      <c r="J6" s="328"/>
      <c r="K6" s="172"/>
      <c r="L6" s="173"/>
    </row>
    <row r="7" spans="2:12" x14ac:dyDescent="0.25">
      <c r="B7" s="326" t="s">
        <v>49</v>
      </c>
      <c r="C7" s="326"/>
      <c r="D7" s="326"/>
      <c r="E7" s="326"/>
      <c r="F7" s="326"/>
      <c r="G7" s="326"/>
      <c r="H7" s="326"/>
      <c r="I7" s="326"/>
      <c r="J7" s="326"/>
      <c r="K7" s="326"/>
      <c r="L7" s="173"/>
    </row>
    <row r="8" spans="2:12" x14ac:dyDescent="0.25">
      <c r="B8" s="260"/>
    </row>
    <row r="9" spans="2:12" ht="15.75" customHeight="1" x14ac:dyDescent="0.25">
      <c r="B9" s="329" t="s">
        <v>33</v>
      </c>
      <c r="C9" s="329" t="s">
        <v>82</v>
      </c>
      <c r="D9" s="329" t="s">
        <v>51</v>
      </c>
      <c r="E9" s="329"/>
      <c r="F9" s="329"/>
      <c r="G9" s="329"/>
      <c r="H9" s="329"/>
      <c r="I9" s="329"/>
      <c r="J9" s="329"/>
    </row>
    <row r="10" spans="2:12" ht="15.75" customHeight="1" x14ac:dyDescent="0.25">
      <c r="B10" s="329"/>
      <c r="C10" s="329"/>
      <c r="D10" s="329" t="s">
        <v>83</v>
      </c>
      <c r="E10" s="329" t="s">
        <v>84</v>
      </c>
      <c r="F10" s="329" t="s">
        <v>85</v>
      </c>
      <c r="G10" s="329"/>
      <c r="H10" s="329"/>
      <c r="I10" s="329"/>
      <c r="J10" s="329"/>
    </row>
    <row r="11" spans="2:12" ht="31.5" customHeight="1" x14ac:dyDescent="0.25">
      <c r="B11" s="329"/>
      <c r="C11" s="329"/>
      <c r="D11" s="329"/>
      <c r="E11" s="329"/>
      <c r="F11" s="261" t="s">
        <v>86</v>
      </c>
      <c r="G11" s="261" t="s">
        <v>87</v>
      </c>
      <c r="H11" s="261" t="s">
        <v>43</v>
      </c>
      <c r="I11" s="261" t="s">
        <v>88</v>
      </c>
      <c r="J11" s="261" t="s">
        <v>89</v>
      </c>
    </row>
    <row r="12" spans="2:12" ht="63" customHeight="1" x14ac:dyDescent="0.25">
      <c r="B12" s="262">
        <v>1</v>
      </c>
      <c r="C12" s="279" t="s">
        <v>90</v>
      </c>
      <c r="D12" s="174"/>
      <c r="E12" s="162"/>
      <c r="F12" s="330">
        <v>11.795044799999999</v>
      </c>
      <c r="G12" s="331"/>
      <c r="H12" s="175">
        <v>30862.8202432</v>
      </c>
      <c r="I12" s="176"/>
      <c r="J12" s="177">
        <v>30874.615288000001</v>
      </c>
    </row>
    <row r="13" spans="2:12" ht="15.75" customHeight="1" x14ac:dyDescent="0.25">
      <c r="B13" s="327" t="s">
        <v>91</v>
      </c>
      <c r="C13" s="327"/>
      <c r="D13" s="327"/>
      <c r="E13" s="327"/>
      <c r="F13" s="178"/>
      <c r="G13" s="178"/>
      <c r="H13" s="178"/>
      <c r="I13" s="179"/>
      <c r="J13" s="180"/>
    </row>
    <row r="14" spans="2:12" ht="28.5" customHeight="1" x14ac:dyDescent="0.25">
      <c r="B14" s="327" t="s">
        <v>92</v>
      </c>
      <c r="C14" s="327"/>
      <c r="D14" s="327"/>
      <c r="E14" s="327"/>
      <c r="F14" s="332">
        <v>11.795044799999999</v>
      </c>
      <c r="G14" s="333"/>
      <c r="H14" s="313">
        <v>30862.8202432</v>
      </c>
      <c r="I14" s="314"/>
      <c r="J14" s="315">
        <v>30874.615288000001</v>
      </c>
    </row>
    <row r="15" spans="2:12" x14ac:dyDescent="0.25">
      <c r="B15" s="260"/>
    </row>
    <row r="18" spans="2:3" x14ac:dyDescent="0.25">
      <c r="B18" s="181" t="s">
        <v>93</v>
      </c>
      <c r="C18" s="159" t="s">
        <v>94</v>
      </c>
    </row>
    <row r="22" spans="2:3" x14ac:dyDescent="0.25">
      <c r="B22" s="159" t="s">
        <v>75</v>
      </c>
    </row>
    <row r="23" spans="2:3" x14ac:dyDescent="0.25">
      <c r="B23" s="172" t="s">
        <v>76</v>
      </c>
    </row>
    <row r="25" spans="2:3" x14ac:dyDescent="0.25">
      <c r="B25" s="159" t="s">
        <v>77</v>
      </c>
    </row>
    <row r="26" spans="2:3" x14ac:dyDescent="0.25">
      <c r="B26" s="172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26"/>
  <sheetViews>
    <sheetView view="pageBreakPreview" zoomScale="55" zoomScaleSheetLayoutView="55" workbookViewId="0">
      <selection activeCell="AJ111" sqref="AJ111"/>
    </sheetView>
  </sheetViews>
  <sheetFormatPr defaultColWidth="9.140625" defaultRowHeight="15.75" x14ac:dyDescent="0.25"/>
  <cols>
    <col min="1" max="1" width="9.140625" style="159"/>
    <col min="2" max="2" width="12.5703125" style="159" customWidth="1"/>
    <col min="3" max="3" width="22.42578125" style="159" customWidth="1"/>
    <col min="4" max="4" width="49.7109375" style="159" customWidth="1"/>
    <col min="5" max="5" width="10.140625" style="182" customWidth="1"/>
    <col min="6" max="6" width="20.7109375" style="159" customWidth="1"/>
    <col min="7" max="7" width="16.140625" style="159" customWidth="1"/>
    <col min="8" max="8" width="16.7109375" style="159" customWidth="1"/>
    <col min="9" max="9" width="9.140625" style="159"/>
    <col min="10" max="10" width="10.28515625" style="159" customWidth="1"/>
    <col min="11" max="11" width="9.140625" style="159"/>
  </cols>
  <sheetData>
    <row r="2" spans="1:12" s="300" customFormat="1" x14ac:dyDescent="0.25">
      <c r="A2" s="299"/>
      <c r="B2" s="299"/>
      <c r="C2" s="299"/>
      <c r="D2" s="299"/>
      <c r="E2" s="182"/>
      <c r="F2" s="299"/>
      <c r="G2" s="299"/>
      <c r="H2" s="299"/>
      <c r="I2" s="299"/>
      <c r="J2" s="299"/>
      <c r="K2" s="299"/>
    </row>
    <row r="3" spans="1:12" s="300" customFormat="1" x14ac:dyDescent="0.25">
      <c r="A3" s="299"/>
      <c r="B3" s="299"/>
      <c r="C3" s="299"/>
      <c r="D3" s="299"/>
      <c r="E3" s="182"/>
      <c r="F3" s="299"/>
      <c r="G3" s="299"/>
      <c r="H3" s="299"/>
      <c r="I3" s="299"/>
      <c r="J3" s="299"/>
      <c r="K3" s="299"/>
    </row>
    <row r="4" spans="1:12" x14ac:dyDescent="0.25">
      <c r="A4" s="323" t="s">
        <v>95</v>
      </c>
      <c r="B4" s="323"/>
      <c r="C4" s="323"/>
      <c r="D4" s="323"/>
      <c r="E4" s="323"/>
      <c r="F4" s="323"/>
      <c r="G4" s="323"/>
      <c r="H4" s="323"/>
    </row>
    <row r="5" spans="1:12" x14ac:dyDescent="0.25">
      <c r="A5" s="324" t="s">
        <v>96</v>
      </c>
      <c r="B5" s="324"/>
      <c r="C5" s="324"/>
      <c r="D5" s="324"/>
      <c r="E5" s="324"/>
      <c r="F5" s="324"/>
      <c r="G5" s="324"/>
      <c r="H5" s="324"/>
    </row>
    <row r="6" spans="1:12" x14ac:dyDescent="0.25">
      <c r="A6" s="260"/>
    </row>
    <row r="7" spans="1:12" x14ac:dyDescent="0.25">
      <c r="A7" s="337" t="s">
        <v>97</v>
      </c>
      <c r="B7" s="337"/>
      <c r="C7" s="337"/>
      <c r="D7" s="337"/>
      <c r="E7" s="337"/>
      <c r="F7" s="337"/>
      <c r="G7" s="337"/>
      <c r="H7" s="337"/>
    </row>
    <row r="8" spans="1:12" x14ac:dyDescent="0.25">
      <c r="A8" s="183"/>
      <c r="B8" s="183"/>
      <c r="C8" s="183"/>
      <c r="D8" s="183"/>
      <c r="E8" s="160"/>
      <c r="F8" s="183"/>
      <c r="G8" s="183"/>
      <c r="H8" s="183"/>
    </row>
    <row r="9" spans="1:12" ht="38.25" customHeight="1" x14ac:dyDescent="0.25">
      <c r="A9" s="329" t="s">
        <v>98</v>
      </c>
      <c r="B9" s="329" t="s">
        <v>99</v>
      </c>
      <c r="C9" s="329" t="s">
        <v>100</v>
      </c>
      <c r="D9" s="329" t="s">
        <v>101</v>
      </c>
      <c r="E9" s="329" t="s">
        <v>102</v>
      </c>
      <c r="F9" s="329" t="s">
        <v>103</v>
      </c>
      <c r="G9" s="329" t="s">
        <v>104</v>
      </c>
      <c r="H9" s="329"/>
    </row>
    <row r="10" spans="1:12" ht="40.5" customHeight="1" x14ac:dyDescent="0.25">
      <c r="A10" s="329"/>
      <c r="B10" s="329"/>
      <c r="C10" s="329"/>
      <c r="D10" s="329"/>
      <c r="E10" s="329"/>
      <c r="F10" s="329"/>
      <c r="G10" s="261" t="s">
        <v>105</v>
      </c>
      <c r="H10" s="261" t="s">
        <v>106</v>
      </c>
    </row>
    <row r="11" spans="1:12" x14ac:dyDescent="0.25">
      <c r="A11" s="184">
        <v>1</v>
      </c>
      <c r="B11" s="184"/>
      <c r="C11" s="184">
        <v>2</v>
      </c>
      <c r="D11" s="184" t="s">
        <v>107</v>
      </c>
      <c r="E11" s="184">
        <v>4</v>
      </c>
      <c r="F11" s="184">
        <v>5</v>
      </c>
      <c r="G11" s="184">
        <v>6</v>
      </c>
      <c r="H11" s="184">
        <v>7</v>
      </c>
    </row>
    <row r="12" spans="1:12" s="186" customFormat="1" x14ac:dyDescent="0.25">
      <c r="A12" s="334" t="s">
        <v>108</v>
      </c>
      <c r="B12" s="335"/>
      <c r="C12" s="336"/>
      <c r="D12" s="336"/>
      <c r="E12" s="335"/>
      <c r="F12" s="185">
        <f>SUM(F13:F13)</f>
        <v>136.83648121128999</v>
      </c>
      <c r="G12" s="185"/>
      <c r="H12" s="185">
        <f>SUM(H13:H13)</f>
        <v>1496.99</v>
      </c>
      <c r="I12" s="159"/>
      <c r="J12" s="159"/>
      <c r="K12" s="159"/>
      <c r="L12" s="159"/>
    </row>
    <row r="13" spans="1:12" x14ac:dyDescent="0.25">
      <c r="A13" s="187">
        <v>1</v>
      </c>
      <c r="B13" s="188" t="s">
        <v>109</v>
      </c>
      <c r="C13" s="189" t="s">
        <v>110</v>
      </c>
      <c r="D13" s="190" t="s">
        <v>111</v>
      </c>
      <c r="E13" s="191" t="s">
        <v>112</v>
      </c>
      <c r="F13" s="209">
        <v>136.83648121128999</v>
      </c>
      <c r="G13" s="192">
        <v>10.94</v>
      </c>
      <c r="H13" s="192">
        <f>ROUND(F13*G13,2)</f>
        <v>1496.99</v>
      </c>
    </row>
    <row r="14" spans="1:12" x14ac:dyDescent="0.25">
      <c r="A14" s="334" t="s">
        <v>113</v>
      </c>
      <c r="B14" s="335"/>
      <c r="C14" s="336"/>
      <c r="D14" s="336"/>
      <c r="E14" s="335"/>
      <c r="F14" s="263"/>
      <c r="G14" s="185"/>
      <c r="H14" s="185"/>
    </row>
    <row r="15" spans="1:12" s="186" customFormat="1" x14ac:dyDescent="0.25">
      <c r="A15" s="334" t="s">
        <v>114</v>
      </c>
      <c r="B15" s="335"/>
      <c r="C15" s="336"/>
      <c r="D15" s="336"/>
      <c r="E15" s="335"/>
      <c r="F15" s="263"/>
      <c r="G15" s="185"/>
      <c r="H15" s="185">
        <v>0</v>
      </c>
      <c r="I15" s="159"/>
      <c r="J15" s="159"/>
      <c r="K15" s="159"/>
      <c r="L15" s="159"/>
    </row>
    <row r="16" spans="1:12" x14ac:dyDescent="0.25">
      <c r="A16" s="334" t="s">
        <v>43</v>
      </c>
      <c r="B16" s="335"/>
      <c r="C16" s="336"/>
      <c r="D16" s="336"/>
      <c r="E16" s="335"/>
      <c r="F16" s="263"/>
      <c r="G16" s="185"/>
      <c r="H16" s="185">
        <f>SUM(H17:H17)</f>
        <v>6738607.04</v>
      </c>
      <c r="J16" s="312"/>
    </row>
    <row r="17" spans="1:12" s="186" customFormat="1" ht="47.25" customHeight="1" x14ac:dyDescent="0.25">
      <c r="A17" s="187">
        <v>2</v>
      </c>
      <c r="B17" s="187" t="s">
        <v>109</v>
      </c>
      <c r="C17" s="190" t="s">
        <v>115</v>
      </c>
      <c r="D17" s="190" t="s">
        <v>116</v>
      </c>
      <c r="E17" s="191" t="s">
        <v>117</v>
      </c>
      <c r="F17" s="187">
        <v>44</v>
      </c>
      <c r="G17" s="192">
        <v>153150.16</v>
      </c>
      <c r="H17" s="192">
        <f>ROUND(F17*G17,2)</f>
        <v>6738607.04</v>
      </c>
      <c r="I17" s="159"/>
      <c r="J17" s="159"/>
      <c r="K17" s="159"/>
      <c r="L17" s="159"/>
    </row>
    <row r="18" spans="1:12" x14ac:dyDescent="0.25">
      <c r="A18" s="334" t="s">
        <v>118</v>
      </c>
      <c r="B18" s="335"/>
      <c r="C18" s="336"/>
      <c r="D18" s="336"/>
      <c r="E18" s="335"/>
      <c r="F18" s="263"/>
      <c r="G18" s="185"/>
      <c r="H18" s="185">
        <f>SUM(H19:H19)</f>
        <v>7.48</v>
      </c>
    </row>
    <row r="19" spans="1:12" ht="31.5" customHeight="1" x14ac:dyDescent="0.25">
      <c r="A19" s="187">
        <v>3</v>
      </c>
      <c r="B19" s="187" t="s">
        <v>109</v>
      </c>
      <c r="C19" s="190" t="s">
        <v>119</v>
      </c>
      <c r="D19" s="190" t="s">
        <v>120</v>
      </c>
      <c r="E19" s="191" t="s">
        <v>121</v>
      </c>
      <c r="F19" s="187">
        <v>7.48</v>
      </c>
      <c r="G19" s="192">
        <v>1</v>
      </c>
      <c r="H19" s="192">
        <f>ROUND(F19*G19,2)</f>
        <v>7.48</v>
      </c>
    </row>
    <row r="22" spans="1:12" x14ac:dyDescent="0.25">
      <c r="B22" s="159" t="s">
        <v>75</v>
      </c>
    </row>
    <row r="23" spans="1:12" x14ac:dyDescent="0.25">
      <c r="B23" s="172" t="s">
        <v>76</v>
      </c>
    </row>
    <row r="25" spans="1:12" x14ac:dyDescent="0.25">
      <c r="B25" s="159" t="s">
        <v>77</v>
      </c>
    </row>
    <row r="26" spans="1:12" x14ac:dyDescent="0.25">
      <c r="B26" s="172" t="s">
        <v>78</v>
      </c>
    </row>
  </sheetData>
  <mergeCells count="15">
    <mergeCell ref="A14:E14"/>
    <mergeCell ref="A18:E18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0"/>
  <sheetViews>
    <sheetView view="pageBreakPreview" topLeftCell="A34" workbookViewId="0">
      <selection activeCell="E52" sqref="E52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277" t="s">
        <v>122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6" t="s">
        <v>123</v>
      </c>
      <c r="C5" s="316"/>
      <c r="D5" s="316"/>
      <c r="E5" s="316"/>
    </row>
    <row r="6" spans="2:5" x14ac:dyDescent="0.25">
      <c r="B6" s="193"/>
      <c r="C6" s="153"/>
      <c r="D6" s="153"/>
      <c r="E6" s="153"/>
    </row>
    <row r="7" spans="2:5" ht="25.5" customHeight="1" x14ac:dyDescent="0.25">
      <c r="B7" s="338" t="s">
        <v>47</v>
      </c>
      <c r="C7" s="338"/>
      <c r="D7" s="338"/>
      <c r="E7" s="338"/>
    </row>
    <row r="8" spans="2:5" x14ac:dyDescent="0.25">
      <c r="B8" s="339" t="s">
        <v>49</v>
      </c>
      <c r="C8" s="339"/>
      <c r="D8" s="339"/>
      <c r="E8" s="339"/>
    </row>
    <row r="9" spans="2:5" x14ac:dyDescent="0.25">
      <c r="B9" s="193"/>
      <c r="C9" s="153"/>
      <c r="D9" s="153"/>
      <c r="E9" s="153"/>
    </row>
    <row r="10" spans="2:5" ht="51" customHeight="1" x14ac:dyDescent="0.25">
      <c r="B10" s="194" t="s">
        <v>124</v>
      </c>
      <c r="C10" s="194" t="s">
        <v>125</v>
      </c>
      <c r="D10" s="194" t="s">
        <v>126</v>
      </c>
      <c r="E10" s="194" t="s">
        <v>127</v>
      </c>
    </row>
    <row r="11" spans="2:5" x14ac:dyDescent="0.25">
      <c r="B11" s="154" t="s">
        <v>128</v>
      </c>
      <c r="C11" s="155">
        <f>'Прил.5 Расчет СМР и ОБ'!J14</f>
        <v>69069.22</v>
      </c>
      <c r="D11" s="156">
        <f t="shared" ref="D11:D18" si="0">C11/$C$24</f>
        <v>0.42372881147971431</v>
      </c>
      <c r="E11" s="156">
        <f t="shared" ref="E11:E18" si="1">C11/$C$40</f>
        <v>1.5348049811725565E-3</v>
      </c>
    </row>
    <row r="12" spans="2:5" x14ac:dyDescent="0.25">
      <c r="B12" s="154" t="s">
        <v>129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130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131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132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133</v>
      </c>
      <c r="C16" s="155">
        <f>'Прил.5 Расчет СМР и ОБ'!J29</f>
        <v>0</v>
      </c>
      <c r="D16" s="156">
        <f t="shared" si="0"/>
        <v>0</v>
      </c>
      <c r="E16" s="156">
        <f t="shared" si="1"/>
        <v>0</v>
      </c>
    </row>
    <row r="17" spans="2:5" x14ac:dyDescent="0.25">
      <c r="B17" s="154" t="s">
        <v>134</v>
      </c>
      <c r="C17" s="155">
        <f>'Прил.5 Расчет СМР и ОБ'!J30</f>
        <v>0</v>
      </c>
      <c r="D17" s="156">
        <f t="shared" si="0"/>
        <v>0</v>
      </c>
      <c r="E17" s="156">
        <f t="shared" si="1"/>
        <v>0</v>
      </c>
    </row>
    <row r="18" spans="2:5" x14ac:dyDescent="0.25">
      <c r="B18" s="154" t="s">
        <v>135</v>
      </c>
      <c r="C18" s="155">
        <f>C17+C16</f>
        <v>0</v>
      </c>
      <c r="D18" s="156">
        <f t="shared" si="0"/>
        <v>0</v>
      </c>
      <c r="E18" s="156">
        <f t="shared" si="1"/>
        <v>0</v>
      </c>
    </row>
    <row r="19" spans="2:5" x14ac:dyDescent="0.25">
      <c r="B19" s="154" t="s">
        <v>136</v>
      </c>
      <c r="C19" s="155">
        <f>C18+C14+C11</f>
        <v>69069.22</v>
      </c>
      <c r="D19" s="156"/>
      <c r="E19" s="154"/>
    </row>
    <row r="20" spans="2:5" x14ac:dyDescent="0.25">
      <c r="B20" s="154" t="s">
        <v>137</v>
      </c>
      <c r="C20" s="155">
        <f>ROUND(C21*(C11+C15),2)</f>
        <v>31771.84</v>
      </c>
      <c r="D20" s="156">
        <f>C20/$C$24</f>
        <v>0.19491524591885714</v>
      </c>
      <c r="E20" s="156">
        <f>C20/$C$40</f>
        <v>7.0601026467386602E-4</v>
      </c>
    </row>
    <row r="21" spans="2:5" x14ac:dyDescent="0.25">
      <c r="B21" s="154" t="s">
        <v>138</v>
      </c>
      <c r="C21" s="278">
        <v>0.46</v>
      </c>
      <c r="D21" s="156"/>
      <c r="E21" s="154"/>
    </row>
    <row r="22" spans="2:5" x14ac:dyDescent="0.25">
      <c r="B22" s="154" t="s">
        <v>139</v>
      </c>
      <c r="C22" s="155">
        <f>ROUND(C23*(C11+C15),2)</f>
        <v>62162.3</v>
      </c>
      <c r="D22" s="156">
        <f>C22/$C$24</f>
        <v>0.38135594260142863</v>
      </c>
      <c r="E22" s="156">
        <f>C22/$C$40</f>
        <v>1.3813245274978175E-3</v>
      </c>
    </row>
    <row r="23" spans="2:5" x14ac:dyDescent="0.25">
      <c r="B23" s="154" t="s">
        <v>140</v>
      </c>
      <c r="C23" s="278">
        <v>0.9</v>
      </c>
      <c r="D23" s="156"/>
      <c r="E23" s="154"/>
    </row>
    <row r="24" spans="2:5" x14ac:dyDescent="0.25">
      <c r="B24" s="154" t="s">
        <v>141</v>
      </c>
      <c r="C24" s="155">
        <f>C19+C20+C22</f>
        <v>163003.35999999999</v>
      </c>
      <c r="D24" s="156">
        <f>C24/$C$24</f>
        <v>1</v>
      </c>
      <c r="E24" s="156">
        <f>C24/$C$40</f>
        <v>3.6221397733442397E-3</v>
      </c>
    </row>
    <row r="25" spans="2:5" ht="25.5" customHeight="1" x14ac:dyDescent="0.25">
      <c r="B25" s="154" t="s">
        <v>142</v>
      </c>
      <c r="C25" s="155">
        <f>'Прил.5 Расчет СМР и ОБ'!J25</f>
        <v>42183680</v>
      </c>
      <c r="D25" s="156"/>
      <c r="E25" s="156">
        <f>C25/$C$40</f>
        <v>0.93737445114030749</v>
      </c>
    </row>
    <row r="26" spans="2:5" ht="25.5" customHeight="1" x14ac:dyDescent="0.25">
      <c r="B26" s="154" t="s">
        <v>143</v>
      </c>
      <c r="C26" s="155">
        <f>'Прил.5 Расчет СМР и ОБ'!J26</f>
        <v>42183680.07</v>
      </c>
      <c r="D26" s="156"/>
      <c r="E26" s="156">
        <f>C26/$C$40</f>
        <v>0.93737445269579556</v>
      </c>
    </row>
    <row r="27" spans="2:5" x14ac:dyDescent="0.25">
      <c r="B27" s="154" t="s">
        <v>144</v>
      </c>
      <c r="C27" s="157">
        <f>C24+C25</f>
        <v>42346683.359999999</v>
      </c>
      <c r="D27" s="156"/>
      <c r="E27" s="156">
        <f>C27/$C$40</f>
        <v>0.94099659091365173</v>
      </c>
    </row>
    <row r="28" spans="2:5" ht="33" customHeight="1" x14ac:dyDescent="0.25">
      <c r="B28" s="154" t="s">
        <v>145</v>
      </c>
      <c r="C28" s="154"/>
      <c r="D28" s="154"/>
      <c r="E28" s="154"/>
    </row>
    <row r="29" spans="2:5" ht="25.5" customHeight="1" x14ac:dyDescent="0.25">
      <c r="B29" s="154" t="s">
        <v>146</v>
      </c>
      <c r="C29" s="157">
        <f>ROUND(C24*3.9%,2)</f>
        <v>6357.13</v>
      </c>
      <c r="D29" s="154"/>
      <c r="E29" s="156">
        <f t="shared" ref="E29:E38" si="2">C29/$C$40</f>
        <v>1.4126342805031669E-4</v>
      </c>
    </row>
    <row r="30" spans="2:5" ht="38.25" customHeight="1" x14ac:dyDescent="0.25">
      <c r="B30" s="154" t="s">
        <v>147</v>
      </c>
      <c r="C30" s="297">
        <f>ROUND((C24+C29)*2.1%,2)</f>
        <v>3556.57</v>
      </c>
      <c r="D30" s="298"/>
      <c r="E30" s="156">
        <f t="shared" si="2"/>
        <v>7.9031460785120776E-5</v>
      </c>
    </row>
    <row r="31" spans="2:5" x14ac:dyDescent="0.25">
      <c r="B31" s="154" t="s">
        <v>148</v>
      </c>
      <c r="C31" s="297">
        <v>511550</v>
      </c>
      <c r="D31" s="298"/>
      <c r="E31" s="156">
        <f t="shared" si="2"/>
        <v>1.1367284705384268E-2</v>
      </c>
    </row>
    <row r="32" spans="2:5" ht="25.5" customHeight="1" x14ac:dyDescent="0.25">
      <c r="B32" s="154" t="s">
        <v>149</v>
      </c>
      <c r="C32" s="297">
        <v>0</v>
      </c>
      <c r="D32" s="298"/>
      <c r="E32" s="156">
        <f t="shared" si="2"/>
        <v>0</v>
      </c>
    </row>
    <row r="33" spans="2:5" ht="25.5" customHeight="1" x14ac:dyDescent="0.25">
      <c r="B33" s="154" t="s">
        <v>150</v>
      </c>
      <c r="C33" s="157">
        <v>0</v>
      </c>
      <c r="D33" s="154"/>
      <c r="E33" s="156">
        <f t="shared" si="2"/>
        <v>0</v>
      </c>
    </row>
    <row r="34" spans="2:5" ht="51" customHeight="1" x14ac:dyDescent="0.25">
      <c r="B34" s="154" t="s">
        <v>151</v>
      </c>
      <c r="C34" s="157">
        <v>0</v>
      </c>
      <c r="D34" s="154"/>
      <c r="E34" s="156">
        <f t="shared" si="2"/>
        <v>0</v>
      </c>
    </row>
    <row r="35" spans="2:5" ht="76.5" customHeight="1" x14ac:dyDescent="0.25">
      <c r="B35" s="154" t="s">
        <v>152</v>
      </c>
      <c r="C35" s="157">
        <v>0</v>
      </c>
      <c r="D35" s="154"/>
      <c r="E35" s="156">
        <f t="shared" si="2"/>
        <v>0</v>
      </c>
    </row>
    <row r="36" spans="2:5" ht="25.5" customHeight="1" x14ac:dyDescent="0.25">
      <c r="B36" s="154" t="s">
        <v>153</v>
      </c>
      <c r="C36" s="157">
        <f>ROUND((C27+C32+C33+C34+C35+C29+C31+C30)*1.72%,2)</f>
        <v>737332.13</v>
      </c>
      <c r="D36" s="154"/>
      <c r="E36" s="156">
        <f t="shared" si="2"/>
        <v>1.6384447745357064E-2</v>
      </c>
    </row>
    <row r="37" spans="2:5" x14ac:dyDescent="0.25">
      <c r="B37" s="154" t="s">
        <v>154</v>
      </c>
      <c r="C37" s="157">
        <f>ROUND((C27+C32+C33+C34+C35+C29+C31+C30)*0.2%,2)</f>
        <v>85736.29</v>
      </c>
      <c r="D37" s="154"/>
      <c r="E37" s="156">
        <f t="shared" si="2"/>
        <v>1.9051682494641584E-3</v>
      </c>
    </row>
    <row r="38" spans="2:5" ht="38.25" customHeight="1" x14ac:dyDescent="0.25">
      <c r="B38" s="154" t="s">
        <v>155</v>
      </c>
      <c r="C38" s="155">
        <f>C27+C32+C33+C34+C35+C29+C31+C30+C36+C37</f>
        <v>43691215.480000004</v>
      </c>
      <c r="D38" s="154"/>
      <c r="E38" s="156">
        <f t="shared" si="2"/>
        <v>0.97087378650269274</v>
      </c>
    </row>
    <row r="39" spans="2:5" ht="13.5" customHeight="1" x14ac:dyDescent="0.25">
      <c r="B39" s="154" t="s">
        <v>156</v>
      </c>
      <c r="C39" s="155">
        <f>ROUND(C38*3%,2)</f>
        <v>1310736.46</v>
      </c>
      <c r="D39" s="154"/>
      <c r="E39" s="156">
        <f>C39/$C$38</f>
        <v>2.9999999899293254E-2</v>
      </c>
    </row>
    <row r="40" spans="2:5" x14ac:dyDescent="0.25">
      <c r="B40" s="154" t="s">
        <v>157</v>
      </c>
      <c r="C40" s="155">
        <f>C39+C38</f>
        <v>45001951.940000005</v>
      </c>
      <c r="D40" s="154"/>
      <c r="E40" s="156">
        <f>C40/$C$40</f>
        <v>1</v>
      </c>
    </row>
    <row r="41" spans="2:5" x14ac:dyDescent="0.25">
      <c r="B41" s="154" t="s">
        <v>158</v>
      </c>
      <c r="C41" s="155">
        <f>C40/'Прил.5 Расчет СМР и ОБ'!E37</f>
        <v>45001951.940000005</v>
      </c>
      <c r="D41" s="154"/>
      <c r="E41" s="154"/>
    </row>
    <row r="42" spans="2:5" x14ac:dyDescent="0.25">
      <c r="B42" s="158"/>
      <c r="C42" s="153"/>
      <c r="D42" s="153"/>
      <c r="E42" s="153"/>
    </row>
    <row r="43" spans="2:5" x14ac:dyDescent="0.25">
      <c r="B43" s="158" t="s">
        <v>159</v>
      </c>
      <c r="C43" s="153"/>
      <c r="D43" s="153"/>
      <c r="E43" s="153"/>
    </row>
    <row r="44" spans="2:5" x14ac:dyDescent="0.25">
      <c r="B44" s="158" t="s">
        <v>160</v>
      </c>
      <c r="C44" s="153"/>
      <c r="D44" s="153"/>
      <c r="E44" s="153"/>
    </row>
    <row r="45" spans="2:5" x14ac:dyDescent="0.25">
      <c r="B45" s="158"/>
      <c r="C45" s="153"/>
      <c r="D45" s="153"/>
      <c r="E45" s="153"/>
    </row>
    <row r="46" spans="2:5" x14ac:dyDescent="0.25">
      <c r="B46" s="158" t="s">
        <v>161</v>
      </c>
      <c r="C46" s="153"/>
      <c r="D46" s="153"/>
      <c r="E46" s="153"/>
    </row>
    <row r="47" spans="2:5" x14ac:dyDescent="0.25">
      <c r="B47" s="339" t="s">
        <v>162</v>
      </c>
      <c r="C47" s="339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3"/>
  <sheetViews>
    <sheetView tabSelected="1" view="pageBreakPreview" zoomScale="70" zoomScaleSheetLayoutView="70" workbookViewId="0">
      <selection activeCell="O20" sqref="O20"/>
    </sheetView>
  </sheetViews>
  <sheetFormatPr defaultColWidth="9.140625" defaultRowHeight="15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1.4257812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</cols>
  <sheetData>
    <row r="1" spans="1:10" s="196" customForma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</row>
    <row r="2" spans="1:10" s="196" customFormat="1" ht="15.75" customHeight="1" x14ac:dyDescent="0.25">
      <c r="A2" s="195"/>
      <c r="B2" s="195"/>
      <c r="C2" s="195"/>
      <c r="D2" s="195"/>
      <c r="E2" s="195"/>
      <c r="F2" s="195"/>
      <c r="G2" s="195"/>
      <c r="H2" s="360" t="s">
        <v>163</v>
      </c>
      <c r="I2" s="360"/>
      <c r="J2" s="360"/>
    </row>
    <row r="3" spans="1:10" s="196" customForma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</row>
    <row r="4" spans="1:10" s="197" customFormat="1" ht="12.75" customHeight="1" x14ac:dyDescent="0.2">
      <c r="A4" s="316" t="s">
        <v>164</v>
      </c>
      <c r="B4" s="316"/>
      <c r="C4" s="316"/>
      <c r="D4" s="316"/>
      <c r="E4" s="316"/>
      <c r="F4" s="316"/>
      <c r="G4" s="316"/>
      <c r="H4" s="316"/>
      <c r="I4" s="316"/>
      <c r="J4" s="316"/>
    </row>
    <row r="5" spans="1:10" s="197" customFormat="1" ht="12.75" customHeight="1" x14ac:dyDescent="0.2">
      <c r="A5" s="272"/>
      <c r="B5" s="272"/>
      <c r="C5" s="198"/>
      <c r="D5" s="272"/>
      <c r="E5" s="272"/>
      <c r="F5" s="272"/>
      <c r="G5" s="272"/>
      <c r="H5" s="272"/>
      <c r="I5" s="272"/>
      <c r="J5" s="272"/>
    </row>
    <row r="6" spans="1:10" s="197" customFormat="1" ht="21.75" customHeight="1" x14ac:dyDescent="0.2">
      <c r="A6" s="199" t="s">
        <v>165</v>
      </c>
      <c r="B6" s="200"/>
      <c r="C6" s="200"/>
      <c r="D6" s="364" t="s">
        <v>166</v>
      </c>
      <c r="E6" s="364"/>
      <c r="F6" s="364"/>
      <c r="G6" s="364"/>
      <c r="H6" s="364"/>
      <c r="I6" s="364"/>
      <c r="J6" s="364"/>
    </row>
    <row r="7" spans="1:10" s="197" customFormat="1" ht="12.75" customHeight="1" x14ac:dyDescent="0.2">
      <c r="A7" s="319" t="s">
        <v>49</v>
      </c>
      <c r="B7" s="338"/>
      <c r="C7" s="338"/>
      <c r="D7" s="338"/>
      <c r="E7" s="338"/>
      <c r="F7" s="338"/>
      <c r="G7" s="338"/>
      <c r="H7" s="338"/>
      <c r="I7" s="201"/>
      <c r="J7" s="201"/>
    </row>
    <row r="8" spans="1:10" s="4" customFormat="1" ht="13.5" customHeight="1" x14ac:dyDescent="0.2">
      <c r="A8" s="319"/>
      <c r="B8" s="338"/>
      <c r="C8" s="338"/>
      <c r="D8" s="338"/>
      <c r="E8" s="338"/>
      <c r="F8" s="338"/>
      <c r="G8" s="338"/>
      <c r="H8" s="338"/>
    </row>
    <row r="9" spans="1:10" s="196" customFormat="1" ht="27" customHeight="1" x14ac:dyDescent="0.25">
      <c r="A9" s="347" t="s">
        <v>13</v>
      </c>
      <c r="B9" s="347" t="s">
        <v>100</v>
      </c>
      <c r="C9" s="347" t="s">
        <v>124</v>
      </c>
      <c r="D9" s="347" t="s">
        <v>102</v>
      </c>
      <c r="E9" s="341" t="s">
        <v>167</v>
      </c>
      <c r="F9" s="361" t="s">
        <v>104</v>
      </c>
      <c r="G9" s="362"/>
      <c r="H9" s="341" t="s">
        <v>168</v>
      </c>
      <c r="I9" s="361" t="s">
        <v>169</v>
      </c>
      <c r="J9" s="362"/>
    </row>
    <row r="10" spans="1:10" s="196" customFormat="1" ht="28.5" customHeight="1" x14ac:dyDescent="0.25">
      <c r="A10" s="347"/>
      <c r="B10" s="347"/>
      <c r="C10" s="347"/>
      <c r="D10" s="347"/>
      <c r="E10" s="363"/>
      <c r="F10" s="144" t="s">
        <v>170</v>
      </c>
      <c r="G10" s="144" t="s">
        <v>106</v>
      </c>
      <c r="H10" s="363"/>
      <c r="I10" s="144" t="s">
        <v>170</v>
      </c>
      <c r="J10" s="144" t="s">
        <v>106</v>
      </c>
    </row>
    <row r="11" spans="1:10" s="196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1">
        <v>9</v>
      </c>
      <c r="J11" s="271">
        <v>10</v>
      </c>
    </row>
    <row r="12" spans="1:10" x14ac:dyDescent="0.25">
      <c r="A12" s="2"/>
      <c r="B12" s="345" t="s">
        <v>171</v>
      </c>
      <c r="C12" s="346"/>
      <c r="D12" s="347"/>
      <c r="E12" s="348"/>
      <c r="F12" s="349"/>
      <c r="G12" s="349"/>
      <c r="H12" s="350"/>
      <c r="I12" s="202"/>
      <c r="J12" s="202"/>
    </row>
    <row r="13" spans="1:10" ht="25.5" customHeight="1" x14ac:dyDescent="0.25">
      <c r="A13" s="2">
        <v>1</v>
      </c>
      <c r="B13" s="203" t="s">
        <v>110</v>
      </c>
      <c r="C13" s="204" t="s">
        <v>172</v>
      </c>
      <c r="D13" s="144" t="s">
        <v>173</v>
      </c>
      <c r="E13" s="205">
        <v>136.83648121128999</v>
      </c>
      <c r="F13" s="206">
        <v>10.94</v>
      </c>
      <c r="G13" s="206">
        <f>Прил.3!H12</f>
        <v>1496.99</v>
      </c>
      <c r="H13" s="207">
        <f>G13/$G$14</f>
        <v>1</v>
      </c>
      <c r="I13" s="208">
        <f>ФОТр.тек.!E13</f>
        <v>504.75733271476997</v>
      </c>
      <c r="J13" s="208">
        <f>ROUND(I13*E13,2)</f>
        <v>69069.22</v>
      </c>
    </row>
    <row r="14" spans="1:10" s="14" customFormat="1" ht="25.5" customHeight="1" x14ac:dyDescent="0.2">
      <c r="A14" s="2"/>
      <c r="B14" s="2"/>
      <c r="C14" s="265" t="s">
        <v>174</v>
      </c>
      <c r="D14" s="2" t="s">
        <v>173</v>
      </c>
      <c r="E14" s="209">
        <f>SUM(E13:E13)</f>
        <v>136.83648121128999</v>
      </c>
      <c r="F14" s="28"/>
      <c r="G14" s="28">
        <f>SUM(G13:G13)</f>
        <v>1496.99</v>
      </c>
      <c r="H14" s="268">
        <v>1</v>
      </c>
      <c r="I14" s="202"/>
      <c r="J14" s="206">
        <f>SUM(J13:J13)</f>
        <v>69069.22</v>
      </c>
    </row>
    <row r="15" spans="1:10" s="14" customFormat="1" ht="14.25" customHeight="1" x14ac:dyDescent="0.2">
      <c r="A15" s="2"/>
      <c r="B15" s="346" t="s">
        <v>113</v>
      </c>
      <c r="C15" s="346"/>
      <c r="D15" s="347"/>
      <c r="E15" s="348"/>
      <c r="F15" s="349"/>
      <c r="G15" s="349"/>
      <c r="H15" s="350"/>
      <c r="I15" s="202"/>
      <c r="J15" s="202"/>
    </row>
    <row r="16" spans="1:10" s="14" customFormat="1" ht="14.25" customHeight="1" x14ac:dyDescent="0.2">
      <c r="A16" s="2"/>
      <c r="B16" s="345" t="s">
        <v>114</v>
      </c>
      <c r="C16" s="346"/>
      <c r="D16" s="347"/>
      <c r="E16" s="348"/>
      <c r="F16" s="349"/>
      <c r="G16" s="349"/>
      <c r="H16" s="350"/>
      <c r="I16" s="202"/>
      <c r="J16" s="202"/>
    </row>
    <row r="17" spans="1:10" s="14" customFormat="1" ht="14.25" customHeight="1" x14ac:dyDescent="0.2">
      <c r="A17" s="2"/>
      <c r="B17" s="2"/>
      <c r="C17" s="9" t="s">
        <v>175</v>
      </c>
      <c r="D17" s="2"/>
      <c r="E17" s="209"/>
      <c r="F17" s="28"/>
      <c r="G17" s="28">
        <v>0</v>
      </c>
      <c r="H17" s="268">
        <v>0</v>
      </c>
      <c r="I17" s="211"/>
      <c r="J17" s="28">
        <v>0</v>
      </c>
    </row>
    <row r="18" spans="1:10" s="14" customFormat="1" ht="14.25" customHeight="1" x14ac:dyDescent="0.2">
      <c r="A18" s="2"/>
      <c r="B18" s="2"/>
      <c r="C18" s="9" t="s">
        <v>176</v>
      </c>
      <c r="D18" s="2"/>
      <c r="E18" s="266"/>
      <c r="F18" s="28"/>
      <c r="G18" s="211">
        <v>0</v>
      </c>
      <c r="H18" s="212">
        <v>0</v>
      </c>
      <c r="I18" s="213"/>
      <c r="J18" s="213">
        <v>0</v>
      </c>
    </row>
    <row r="19" spans="1:10" s="14" customFormat="1" ht="25.5" customHeight="1" x14ac:dyDescent="0.2">
      <c r="A19" s="2"/>
      <c r="B19" s="2"/>
      <c r="C19" s="265" t="s">
        <v>177</v>
      </c>
      <c r="D19" s="2"/>
      <c r="E19" s="266"/>
      <c r="F19" s="28"/>
      <c r="G19" s="28">
        <f>G18+G17</f>
        <v>0</v>
      </c>
      <c r="H19" s="214">
        <v>1</v>
      </c>
      <c r="I19" s="215"/>
      <c r="J19" s="216">
        <f>J18+J17</f>
        <v>0</v>
      </c>
    </row>
    <row r="20" spans="1:10" s="14" customFormat="1" ht="14.25" customHeight="1" x14ac:dyDescent="0.2">
      <c r="A20" s="2"/>
      <c r="B20" s="345" t="s">
        <v>43</v>
      </c>
      <c r="C20" s="345"/>
      <c r="D20" s="351"/>
      <c r="E20" s="352"/>
      <c r="F20" s="353"/>
      <c r="G20" s="353"/>
      <c r="H20" s="354"/>
      <c r="I20" s="202"/>
      <c r="J20" s="202"/>
    </row>
    <row r="21" spans="1:10" x14ac:dyDescent="0.25">
      <c r="A21" s="269"/>
      <c r="B21" s="346" t="s">
        <v>178</v>
      </c>
      <c r="C21" s="346"/>
      <c r="D21" s="347"/>
      <c r="E21" s="348"/>
      <c r="F21" s="349"/>
      <c r="G21" s="349"/>
      <c r="H21" s="350"/>
      <c r="I21" s="217"/>
      <c r="J21" s="217"/>
    </row>
    <row r="22" spans="1:10" s="14" customFormat="1" ht="63.75" customHeight="1" x14ac:dyDescent="0.2">
      <c r="A22" s="2">
        <v>2</v>
      </c>
      <c r="B22" s="280" t="s">
        <v>179</v>
      </c>
      <c r="C22" s="281" t="s">
        <v>180</v>
      </c>
      <c r="D22" s="280" t="s">
        <v>117</v>
      </c>
      <c r="E22" s="282">
        <v>44</v>
      </c>
      <c r="F22" s="283">
        <f>ROUND(I22/Прил.10!$D$14,2)</f>
        <v>153150.16</v>
      </c>
      <c r="G22" s="284">
        <f>ROUND(E22*F22,2)</f>
        <v>6738607.04</v>
      </c>
      <c r="H22" s="285">
        <f>G22/$G$25</f>
        <v>1</v>
      </c>
      <c r="I22" s="206">
        <v>958720</v>
      </c>
      <c r="J22" s="206">
        <f>ROUND(I22*E22,2)</f>
        <v>42183680</v>
      </c>
    </row>
    <row r="23" spans="1:10" x14ac:dyDescent="0.25">
      <c r="A23" s="2"/>
      <c r="B23" s="286"/>
      <c r="C23" s="287" t="s">
        <v>181</v>
      </c>
      <c r="D23" s="288"/>
      <c r="E23" s="289"/>
      <c r="F23" s="290"/>
      <c r="G23" s="291">
        <f>SUM(G22)</f>
        <v>6738607.04</v>
      </c>
      <c r="H23" s="285">
        <f>G22/$G$25</f>
        <v>1</v>
      </c>
      <c r="I23" s="219"/>
      <c r="J23" s="218">
        <f>SUM(J22)</f>
        <v>42183680</v>
      </c>
    </row>
    <row r="24" spans="1:10" x14ac:dyDescent="0.25">
      <c r="A24" s="2"/>
      <c r="B24" s="286"/>
      <c r="C24" s="287" t="s">
        <v>182</v>
      </c>
      <c r="D24" s="286"/>
      <c r="E24" s="289"/>
      <c r="F24" s="290"/>
      <c r="G24" s="291">
        <v>0</v>
      </c>
      <c r="H24" s="285">
        <f>G24/$G$25</f>
        <v>0</v>
      </c>
      <c r="I24" s="219"/>
      <c r="J24" s="218">
        <v>0</v>
      </c>
    </row>
    <row r="25" spans="1:10" x14ac:dyDescent="0.25">
      <c r="A25" s="269"/>
      <c r="B25" s="286"/>
      <c r="C25" s="292" t="s">
        <v>183</v>
      </c>
      <c r="D25" s="286"/>
      <c r="E25" s="293"/>
      <c r="F25" s="290"/>
      <c r="G25" s="291">
        <f>G23+G24</f>
        <v>6738607.04</v>
      </c>
      <c r="H25" s="294">
        <v>1</v>
      </c>
      <c r="I25" s="219"/>
      <c r="J25" s="218">
        <f>J24+J23</f>
        <v>42183680</v>
      </c>
    </row>
    <row r="26" spans="1:10" ht="25.5" customHeight="1" x14ac:dyDescent="0.25">
      <c r="A26" s="269"/>
      <c r="B26" s="286"/>
      <c r="C26" s="287" t="s">
        <v>184</v>
      </c>
      <c r="D26" s="286"/>
      <c r="E26" s="295"/>
      <c r="F26" s="290"/>
      <c r="G26" s="291">
        <f>'Прил.6 Расчет ОБ'!G13</f>
        <v>6738607.04</v>
      </c>
      <c r="H26" s="296"/>
      <c r="I26" s="219"/>
      <c r="J26" s="218">
        <f>ROUND(G26*Прил.10!D14,2)</f>
        <v>42183680.07</v>
      </c>
    </row>
    <row r="27" spans="1:10" s="14" customFormat="1" ht="14.25" customHeight="1" x14ac:dyDescent="0.2">
      <c r="A27" s="2"/>
      <c r="B27" s="355" t="s">
        <v>118</v>
      </c>
      <c r="C27" s="355"/>
      <c r="D27" s="356"/>
      <c r="E27" s="357"/>
      <c r="F27" s="358"/>
      <c r="G27" s="358"/>
      <c r="H27" s="359"/>
      <c r="I27" s="202"/>
      <c r="J27" s="202"/>
    </row>
    <row r="28" spans="1:10" s="14" customFormat="1" ht="14.25" customHeight="1" x14ac:dyDescent="0.2">
      <c r="A28" s="264"/>
      <c r="B28" s="340" t="s">
        <v>185</v>
      </c>
      <c r="C28" s="340"/>
      <c r="D28" s="341"/>
      <c r="E28" s="342"/>
      <c r="F28" s="343"/>
      <c r="G28" s="343"/>
      <c r="H28" s="344"/>
      <c r="I28" s="221"/>
      <c r="J28" s="221"/>
    </row>
    <row r="29" spans="1:10" s="14" customFormat="1" ht="14.25" customHeight="1" x14ac:dyDescent="0.2">
      <c r="A29" s="222"/>
      <c r="B29" s="223"/>
      <c r="C29" s="224" t="s">
        <v>186</v>
      </c>
      <c r="D29" s="225"/>
      <c r="E29" s="226"/>
      <c r="F29" s="227"/>
      <c r="G29" s="228">
        <v>0</v>
      </c>
      <c r="H29" s="212">
        <v>0</v>
      </c>
      <c r="I29" s="206"/>
      <c r="J29" s="228">
        <v>0</v>
      </c>
    </row>
    <row r="30" spans="1:10" s="14" customFormat="1" ht="14.25" customHeight="1" x14ac:dyDescent="0.2">
      <c r="A30" s="2"/>
      <c r="B30" s="2"/>
      <c r="C30" s="9" t="s">
        <v>187</v>
      </c>
      <c r="D30" s="2"/>
      <c r="E30" s="266"/>
      <c r="F30" s="267"/>
      <c r="G30" s="28">
        <v>0</v>
      </c>
      <c r="H30" s="212">
        <v>0</v>
      </c>
      <c r="I30" s="28"/>
      <c r="J30" s="28">
        <v>0</v>
      </c>
    </row>
    <row r="31" spans="1:10" s="14" customFormat="1" ht="14.25" customHeight="1" x14ac:dyDescent="0.2">
      <c r="A31" s="2"/>
      <c r="B31" s="2"/>
      <c r="C31" s="265" t="s">
        <v>188</v>
      </c>
      <c r="D31" s="2"/>
      <c r="E31" s="266"/>
      <c r="F31" s="267"/>
      <c r="G31" s="28">
        <f>G29+G30</f>
        <v>0</v>
      </c>
      <c r="H31" s="268">
        <v>0</v>
      </c>
      <c r="I31" s="28"/>
      <c r="J31" s="28">
        <f>J29+J30</f>
        <v>0</v>
      </c>
    </row>
    <row r="32" spans="1:10" s="14" customFormat="1" ht="14.25" customHeight="1" x14ac:dyDescent="0.2">
      <c r="A32" s="2"/>
      <c r="B32" s="2"/>
      <c r="C32" s="9" t="s">
        <v>189</v>
      </c>
      <c r="D32" s="2"/>
      <c r="E32" s="266"/>
      <c r="F32" s="267"/>
      <c r="G32" s="28">
        <f>G14+G19+G31</f>
        <v>1496.99</v>
      </c>
      <c r="H32" s="268"/>
      <c r="I32" s="28"/>
      <c r="J32" s="28">
        <f>J14+J19+J31</f>
        <v>69069.22</v>
      </c>
    </row>
    <row r="33" spans="1:10" s="14" customFormat="1" ht="14.25" customHeight="1" x14ac:dyDescent="0.2">
      <c r="A33" s="2"/>
      <c r="B33" s="2"/>
      <c r="C33" s="9" t="s">
        <v>190</v>
      </c>
      <c r="D33" s="229">
        <f>ROUND(G33/(0+$G$14),2)</f>
        <v>0.22</v>
      </c>
      <c r="E33" s="266"/>
      <c r="F33" s="267"/>
      <c r="G33" s="28">
        <v>336.8</v>
      </c>
      <c r="H33" s="268"/>
      <c r="I33" s="28"/>
      <c r="J33" s="206">
        <f>ROUND(D33*(J14+0),2)</f>
        <v>15195.23</v>
      </c>
    </row>
    <row r="34" spans="1:10" s="14" customFormat="1" ht="14.25" customHeight="1" x14ac:dyDescent="0.2">
      <c r="A34" s="2"/>
      <c r="B34" s="2"/>
      <c r="C34" s="9" t="s">
        <v>191</v>
      </c>
      <c r="D34" s="229">
        <f>ROUND(G34/(G$14+0),2)</f>
        <v>0.11</v>
      </c>
      <c r="E34" s="266"/>
      <c r="F34" s="267"/>
      <c r="G34" s="28">
        <v>172.14</v>
      </c>
      <c r="H34" s="268"/>
      <c r="I34" s="28"/>
      <c r="J34" s="206">
        <f>ROUND(D34*(J14+0),2)</f>
        <v>7597.61</v>
      </c>
    </row>
    <row r="35" spans="1:10" s="14" customFormat="1" ht="14.25" customHeight="1" x14ac:dyDescent="0.2">
      <c r="A35" s="2"/>
      <c r="B35" s="2"/>
      <c r="C35" s="9" t="s">
        <v>192</v>
      </c>
      <c r="D35" s="2"/>
      <c r="E35" s="266"/>
      <c r="F35" s="267"/>
      <c r="G35" s="28">
        <f>G14+G19+G31+G33+G34</f>
        <v>2005.9299999999998</v>
      </c>
      <c r="H35" s="268"/>
      <c r="I35" s="28"/>
      <c r="J35" s="28">
        <f>J14+J19+J31+J33+J34</f>
        <v>91862.06</v>
      </c>
    </row>
    <row r="36" spans="1:10" s="14" customFormat="1" ht="14.25" customHeight="1" x14ac:dyDescent="0.2">
      <c r="A36" s="2"/>
      <c r="B36" s="2"/>
      <c r="C36" s="9" t="s">
        <v>193</v>
      </c>
      <c r="D36" s="2"/>
      <c r="E36" s="266"/>
      <c r="F36" s="267"/>
      <c r="G36" s="28">
        <f>G35+G25</f>
        <v>6740612.9699999997</v>
      </c>
      <c r="H36" s="268"/>
      <c r="I36" s="28"/>
      <c r="J36" s="28">
        <f>J35+J25</f>
        <v>42275542.060000002</v>
      </c>
    </row>
    <row r="37" spans="1:10" s="14" customFormat="1" ht="34.5" customHeight="1" x14ac:dyDescent="0.2">
      <c r="A37" s="2"/>
      <c r="B37" s="2"/>
      <c r="C37" s="9" t="s">
        <v>158</v>
      </c>
      <c r="D37" s="2" t="s">
        <v>194</v>
      </c>
      <c r="E37" s="276">
        <v>1</v>
      </c>
      <c r="F37" s="267"/>
      <c r="G37" s="28">
        <f>G36/E37</f>
        <v>6740612.9699999997</v>
      </c>
      <c r="H37" s="268"/>
      <c r="I37" s="28"/>
      <c r="J37" s="28">
        <f>J36/E37</f>
        <v>42275542.060000002</v>
      </c>
    </row>
    <row r="39" spans="1:10" s="14" customFormat="1" ht="14.25" customHeight="1" x14ac:dyDescent="0.2">
      <c r="A39" s="4" t="s">
        <v>195</v>
      </c>
    </row>
    <row r="40" spans="1:10" s="14" customFormat="1" ht="14.25" customHeight="1" x14ac:dyDescent="0.2">
      <c r="A40" s="230" t="s">
        <v>76</v>
      </c>
    </row>
    <row r="41" spans="1:10" s="14" customFormat="1" ht="14.25" customHeight="1" x14ac:dyDescent="0.2">
      <c r="A41" s="4"/>
    </row>
    <row r="42" spans="1:10" s="14" customFormat="1" ht="14.25" customHeight="1" x14ac:dyDescent="0.2">
      <c r="A42" s="4" t="s">
        <v>196</v>
      </c>
    </row>
    <row r="43" spans="1:10" s="14" customFormat="1" ht="14.25" customHeight="1" x14ac:dyDescent="0.2">
      <c r="A43" s="230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8:H28"/>
    <mergeCell ref="B12:H12"/>
    <mergeCell ref="B15:H15"/>
    <mergeCell ref="B16:H16"/>
    <mergeCell ref="B21:H21"/>
    <mergeCell ref="B20:H20"/>
    <mergeCell ref="B27:H27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7" workbookViewId="0">
      <selection activeCell="D17" sqref="D1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5" t="s">
        <v>197</v>
      </c>
      <c r="B1" s="365"/>
      <c r="C1" s="365"/>
      <c r="D1" s="365"/>
      <c r="E1" s="365"/>
      <c r="F1" s="365"/>
      <c r="G1" s="365"/>
    </row>
    <row r="2" spans="1:7" ht="21.75" customHeight="1" x14ac:dyDescent="0.25">
      <c r="A2" s="273"/>
      <c r="B2" s="273"/>
      <c r="C2" s="273"/>
      <c r="D2" s="273"/>
      <c r="E2" s="273"/>
      <c r="F2" s="273"/>
      <c r="G2" s="273"/>
    </row>
    <row r="3" spans="1:7" x14ac:dyDescent="0.25">
      <c r="A3" s="316" t="s">
        <v>198</v>
      </c>
      <c r="B3" s="316"/>
      <c r="C3" s="316"/>
      <c r="D3" s="316"/>
      <c r="E3" s="316"/>
      <c r="F3" s="316"/>
      <c r="G3" s="316"/>
    </row>
    <row r="4" spans="1:7" ht="25.5" customHeight="1" x14ac:dyDescent="0.25">
      <c r="A4" s="319" t="s">
        <v>47</v>
      </c>
      <c r="B4" s="319"/>
      <c r="C4" s="319"/>
      <c r="D4" s="319"/>
      <c r="E4" s="319"/>
      <c r="F4" s="319"/>
      <c r="G4" s="319"/>
    </row>
    <row r="5" spans="1:7" x14ac:dyDescent="0.25">
      <c r="A5" s="231"/>
      <c r="B5" s="231"/>
      <c r="C5" s="231"/>
      <c r="D5" s="231"/>
      <c r="E5" s="231"/>
      <c r="F5" s="231"/>
      <c r="G5" s="231"/>
    </row>
    <row r="6" spans="1:7" ht="30" customHeight="1" x14ac:dyDescent="0.25">
      <c r="A6" s="370" t="s">
        <v>13</v>
      </c>
      <c r="B6" s="370" t="s">
        <v>100</v>
      </c>
      <c r="C6" s="370" t="s">
        <v>124</v>
      </c>
      <c r="D6" s="370" t="s">
        <v>102</v>
      </c>
      <c r="E6" s="341" t="s">
        <v>167</v>
      </c>
      <c r="F6" s="370" t="s">
        <v>104</v>
      </c>
      <c r="G6" s="370"/>
    </row>
    <row r="7" spans="1:7" x14ac:dyDescent="0.25">
      <c r="A7" s="370"/>
      <c r="B7" s="370"/>
      <c r="C7" s="370"/>
      <c r="D7" s="370"/>
      <c r="E7" s="363"/>
      <c r="F7" s="269" t="s">
        <v>170</v>
      </c>
      <c r="G7" s="269" t="s">
        <v>106</v>
      </c>
    </row>
    <row r="8" spans="1:7" x14ac:dyDescent="0.25">
      <c r="A8" s="269">
        <v>1</v>
      </c>
      <c r="B8" s="269">
        <v>2</v>
      </c>
      <c r="C8" s="269">
        <v>3</v>
      </c>
      <c r="D8" s="269">
        <v>4</v>
      </c>
      <c r="E8" s="269">
        <v>5</v>
      </c>
      <c r="F8" s="269">
        <v>6</v>
      </c>
      <c r="G8" s="269">
        <v>7</v>
      </c>
    </row>
    <row r="9" spans="1:7" ht="15" customHeight="1" x14ac:dyDescent="0.25">
      <c r="A9" s="232"/>
      <c r="B9" s="366" t="s">
        <v>199</v>
      </c>
      <c r="C9" s="367"/>
      <c r="D9" s="367"/>
      <c r="E9" s="367"/>
      <c r="F9" s="367"/>
      <c r="G9" s="368"/>
    </row>
    <row r="10" spans="1:7" ht="27" customHeight="1" x14ac:dyDescent="0.25">
      <c r="A10" s="269"/>
      <c r="B10" s="220"/>
      <c r="C10" s="135" t="s">
        <v>200</v>
      </c>
      <c r="D10" s="220"/>
      <c r="E10" s="233"/>
      <c r="F10" s="270"/>
      <c r="G10" s="218">
        <v>0</v>
      </c>
    </row>
    <row r="11" spans="1:7" x14ac:dyDescent="0.25">
      <c r="A11" s="269"/>
      <c r="B11" s="346" t="s">
        <v>201</v>
      </c>
      <c r="C11" s="346"/>
      <c r="D11" s="346"/>
      <c r="E11" s="369"/>
      <c r="F11" s="349"/>
      <c r="G11" s="349"/>
    </row>
    <row r="12" spans="1:7" s="159" customFormat="1" ht="51" customHeight="1" x14ac:dyDescent="0.25">
      <c r="A12" s="269">
        <v>1</v>
      </c>
      <c r="B12" s="135" t="str">
        <f>'Прил.5 Расчет СМР и ОБ'!B22</f>
        <v>БЦ.54.13</v>
      </c>
      <c r="C12" s="234" t="str">
        <f>'Прил.5 Расчет СМР и ОБ'!C22</f>
        <v>Подвесная купольная IP поворотная видеокамера с термокожухом и кронштейном IP66 от -40 до +50 градусов В85-20
Коммутационный шкаф</v>
      </c>
      <c r="D12" s="235" t="str">
        <f>'Прил.5 Расчет СМР и ОБ'!D22</f>
        <v>шт.</v>
      </c>
      <c r="E12" s="236">
        <f>'Прил.5 Расчет СМР и ОБ'!E22</f>
        <v>44</v>
      </c>
      <c r="F12" s="210">
        <f>'Прил.5 Расчет СМР и ОБ'!F22</f>
        <v>153150.16</v>
      </c>
      <c r="G12" s="218">
        <f>ROUND(E12*F12,2)</f>
        <v>6738607.04</v>
      </c>
    </row>
    <row r="13" spans="1:7" ht="25.5" customHeight="1" x14ac:dyDescent="0.25">
      <c r="A13" s="269"/>
      <c r="B13" s="135"/>
      <c r="C13" s="135" t="s">
        <v>202</v>
      </c>
      <c r="D13" s="135"/>
      <c r="E13" s="274"/>
      <c r="F13" s="270"/>
      <c r="G13" s="218">
        <f>SUM(G12:G12)</f>
        <v>6738607.04</v>
      </c>
    </row>
    <row r="14" spans="1:7" ht="19.5" customHeight="1" x14ac:dyDescent="0.25">
      <c r="A14" s="269"/>
      <c r="B14" s="135"/>
      <c r="C14" s="135" t="s">
        <v>203</v>
      </c>
      <c r="D14" s="135"/>
      <c r="E14" s="274"/>
      <c r="F14" s="270"/>
      <c r="G14" s="218">
        <f>G10+G13</f>
        <v>6738607.04</v>
      </c>
    </row>
    <row r="15" spans="1:7" x14ac:dyDescent="0.25">
      <c r="A15" s="237"/>
      <c r="B15" s="238"/>
      <c r="C15" s="237"/>
      <c r="D15" s="237"/>
      <c r="E15" s="237"/>
      <c r="F15" s="237"/>
      <c r="G15" s="237"/>
    </row>
    <row r="16" spans="1:7" x14ac:dyDescent="0.25">
      <c r="A16" s="4" t="s">
        <v>195</v>
      </c>
      <c r="B16" s="14"/>
      <c r="C16" s="14"/>
      <c r="D16" s="237"/>
      <c r="E16" s="237"/>
      <c r="F16" s="237"/>
      <c r="G16" s="237"/>
    </row>
    <row r="17" spans="1:7" x14ac:dyDescent="0.25">
      <c r="A17" s="230" t="s">
        <v>76</v>
      </c>
      <c r="B17" s="14"/>
      <c r="C17" s="14"/>
      <c r="D17" s="237"/>
      <c r="E17" s="237"/>
      <c r="F17" s="237"/>
      <c r="G17" s="237"/>
    </row>
    <row r="18" spans="1:7" x14ac:dyDescent="0.25">
      <c r="A18" s="4"/>
      <c r="B18" s="14"/>
      <c r="C18" s="14"/>
      <c r="D18" s="237"/>
      <c r="E18" s="237"/>
      <c r="F18" s="237"/>
      <c r="G18" s="237"/>
    </row>
    <row r="19" spans="1:7" x14ac:dyDescent="0.25">
      <c r="A19" s="4" t="s">
        <v>196</v>
      </c>
      <c r="B19" s="14"/>
      <c r="C19" s="14"/>
      <c r="D19" s="237"/>
      <c r="E19" s="237"/>
      <c r="F19" s="237"/>
      <c r="G19" s="237"/>
    </row>
    <row r="20" spans="1:7" x14ac:dyDescent="0.25">
      <c r="A20" s="230" t="s">
        <v>78</v>
      </c>
      <c r="B20" s="14"/>
      <c r="C20" s="14"/>
      <c r="D20" s="237"/>
      <c r="E20" s="237"/>
      <c r="F20" s="237"/>
      <c r="G20" s="23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2023-11-25T10:51:47Z</cp:lastPrinted>
  <dcterms:created xsi:type="dcterms:W3CDTF">2020-09-30T08:50:27Z</dcterms:created>
  <dcterms:modified xsi:type="dcterms:W3CDTF">2023-11-25T10:52:30Z</dcterms:modified>
  <cp:category/>
</cp:coreProperties>
</file>