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4\Desktop\"/>
    </mc:Choice>
  </mc:AlternateContent>
  <xr:revisionPtr revIDLastSave="0" documentId="8_{268A90CB-A118-4390-9C2B-CE53A5BD448C}" xr6:coauthVersionLast="40" xr6:coauthVersionMax="40" xr10:uidLastSave="{00000000-0000-0000-0000-000000000000}"/>
  <bookViews>
    <workbookView xWindow="0" yWindow="0" windowWidth="28800" windowHeight="10425" tabRatio="924" firstSheet="3" activeTab="6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 3" sheetId="6" r:id="rId6"/>
    <sheet name="Прил.4 РМ" sheetId="7" r:id="rId7"/>
    <sheet name="Прил.5 Расчет СМР и ОБ" sheetId="8" r:id="rId8"/>
    <sheet name="Прил.6 Расчет ОБ" sheetId="9" r:id="rId9"/>
    <sheet name="Прил.7" sheetId="10" r:id="rId10"/>
    <sheet name="Прил. 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5">#REF!</definedName>
    <definedName name="\AUTOEXEC" localSheetId="3">#REF!</definedName>
    <definedName name="\AUTOEXEC" localSheetId="4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5">#REF!</definedName>
    <definedName name="\z" localSheetId="3">#REF!</definedName>
    <definedName name="\z" localSheetId="4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5">#REF!</definedName>
    <definedName name="______a2" localSheetId="3">#REF!</definedName>
    <definedName name="______a2" localSheetId="4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5">#REF!</definedName>
    <definedName name="______xlnm.Primt_Area_3" localSheetId="3">#REF!</definedName>
    <definedName name="______xlnm.Primt_Area_3" localSheetId="4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5">#REF!</definedName>
    <definedName name="_____xlnm.Print_Area_1" localSheetId="3">#REF!</definedName>
    <definedName name="_____xlnm.Print_Area_1" localSheetId="4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5">#REF!</definedName>
    <definedName name="____xlnm.Primt_Area_3" localSheetId="3">#REF!</definedName>
    <definedName name="____xlnm.Primt_Area_3" localSheetId="4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5">#REF!</definedName>
    <definedName name="___xlnm.Primt_Area_3" localSheetId="3">#REF!</definedName>
    <definedName name="___xlnm.Primt_Area_3" localSheetId="4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5">#REF!</definedName>
    <definedName name="__qs2" localSheetId="3">#REF!</definedName>
    <definedName name="__qs2" localSheetId="4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5">#REF!</definedName>
    <definedName name="__xlnm.Primt_Area_3" localSheetId="3">#REF!</definedName>
    <definedName name="__xlnm.Primt_Area_3" localSheetId="4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5">#REF!</definedName>
    <definedName name="_02121" localSheetId="3">#REF!</definedName>
    <definedName name="_02121" localSheetId="4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5">#REF!</definedName>
    <definedName name="_AUTOEXEC" localSheetId="3">#REF!</definedName>
    <definedName name="_AUTOEXEC" localSheetId="4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5">#REF!</definedName>
    <definedName name="_Fill" localSheetId="3">#REF!</definedName>
    <definedName name="_Fill" localSheetId="4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5">#REF!</definedName>
    <definedName name="_k" localSheetId="3">#REF!</definedName>
    <definedName name="_k" localSheetId="4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5">#REF!</definedName>
    <definedName name="_qs2" localSheetId="3">#REF!</definedName>
    <definedName name="_qs2" localSheetId="4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5">#REF!</definedName>
    <definedName name="_z" localSheetId="3">#REF!</definedName>
    <definedName name="_z" localSheetId="4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5">#REF!</definedName>
    <definedName name="_Стоимость_УНЦП" localSheetId="3">#REF!</definedName>
    <definedName name="_Стоимость_УНЦП" localSheetId="4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5">#REF!</definedName>
    <definedName name="a" localSheetId="3">#REF!</definedName>
    <definedName name="a" localSheetId="4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5">#REF!</definedName>
    <definedName name="asd" localSheetId="3">#REF!</definedName>
    <definedName name="asd" localSheetId="4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5">#REF!</definedName>
    <definedName name="Categories" localSheetId="3">#REF!</definedName>
    <definedName name="Categories" localSheetId="4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5">#REF!</definedName>
    <definedName name="Criteria" localSheetId="3">#REF!</definedName>
    <definedName name="Criteria" localSheetId="4">#REF!</definedName>
    <definedName name="Criteria" localSheetId="7">#REF!</definedName>
    <definedName name="Criteria" localSheetId="9">#REF!</definedName>
    <definedName name="Criteria">#REF!</definedName>
    <definedName name="cvtnf" localSheetId="5">#REF!</definedName>
    <definedName name="cvtnf" localSheetId="3">#REF!</definedName>
    <definedName name="cvtnf" localSheetId="4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5">#REF!</definedName>
    <definedName name="ddduy" localSheetId="3">#REF!</definedName>
    <definedName name="ddduy" localSheetId="4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5">#REF!</definedName>
    <definedName name="DiscontRate" localSheetId="3">#REF!</definedName>
    <definedName name="DiscontRate" localSheetId="4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5">#REF!</definedName>
    <definedName name="Excel_BuiltIn_Database" localSheetId="3">#REF!</definedName>
    <definedName name="Excel_BuiltIn_Database" localSheetId="4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5">#REF!</definedName>
    <definedName name="Excel_BuiltIn_Print_Area_10_1" localSheetId="3">#REF!</definedName>
    <definedName name="Excel_BuiltIn_Print_Area_10_1" localSheetId="4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5">#REF!</definedName>
    <definedName name="Excel_BuiltIn_Print_Area_15" localSheetId="3">#REF!</definedName>
    <definedName name="Excel_BuiltIn_Print_Area_15" localSheetId="4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5">#REF!</definedName>
    <definedName name="Excel_BuiltIn_Print_Area_2_1" localSheetId="3">#REF!</definedName>
    <definedName name="Excel_BuiltIn_Print_Area_2_1" localSheetId="4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5">#REF!</definedName>
    <definedName name="Excel_BuiltIn_Print_Area_3_1" localSheetId="3">#REF!</definedName>
    <definedName name="Excel_BuiltIn_Print_Area_3_1" localSheetId="4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5">#REF!</definedName>
    <definedName name="Excel_BuiltIn_Print_Area_7_1" localSheetId="3">#REF!</definedName>
    <definedName name="Excel_BuiltIn_Print_Area_7_1" localSheetId="4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5">#REF!</definedName>
    <definedName name="Excel_BuiltIn_Print_Area_8_1" localSheetId="3">#REF!</definedName>
    <definedName name="Excel_BuiltIn_Print_Area_8_1" localSheetId="4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5">#REF!</definedName>
    <definedName name="Excel_BuiltIn_Print_Area_9_1" localSheetId="3">#REF!</definedName>
    <definedName name="Excel_BuiltIn_Print_Area_9_1" localSheetId="4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5">#REF!</definedName>
    <definedName name="htvjyn" localSheetId="3">#REF!</definedName>
    <definedName name="htvjyn" localSheetId="4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5">#REF!</definedName>
    <definedName name="iii" localSheetId="3">#REF!</definedName>
    <definedName name="iii" localSheetId="4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5">#REF!</definedName>
    <definedName name="Itog" localSheetId="3">#REF!</definedName>
    <definedName name="Itog" localSheetId="4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5">#REF!</definedName>
    <definedName name="jkjhggh" localSheetId="3">#REF!</definedName>
    <definedName name="jkjhggh" localSheetId="4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5">#REF!</definedName>
    <definedName name="kk" localSheetId="3">#REF!</definedName>
    <definedName name="kk" localSheetId="4">#REF!</definedName>
    <definedName name="kk" localSheetId="6">#REF!</definedName>
    <definedName name="kk">#REF!</definedName>
    <definedName name="kl" localSheetId="5">#REF!</definedName>
    <definedName name="kl" localSheetId="3">#REF!</definedName>
    <definedName name="kl" localSheetId="4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5">#REF!</definedName>
    <definedName name="KPlan" localSheetId="3">#REF!</definedName>
    <definedName name="KPlan" localSheetId="4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5">#REF!</definedName>
    <definedName name="m" localSheetId="3">#REF!</definedName>
    <definedName name="m" localSheetId="4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10">IF('Прил. 10'!n_3=1,'Прил. 10'!n_2,'Прил. 10'!n_3&amp;'Прил. 10'!n_1)</definedName>
    <definedName name="n0x" localSheetId="5">IF('Прил. 3'!n_3=1,'Прил. 3'!n_2,'Прил. 3'!n_3&amp;'Прил. 3'!n_1)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IF(Прил.7!n_3=1,Прил.7!n_2,Прил.7!n_3&amp;Прил.7!n_1)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10">IF('Прил. 10'!n_3=1,'Прил. 10'!n_2,'Прил. 10'!n_3&amp;'Прил. 10'!n_5)</definedName>
    <definedName name="n1x" localSheetId="5">IF('Прил. 3'!n_3=1,'Прил. 3'!n_2,'Прил. 3'!n_3&amp;'Прил. 3'!n_5)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IF(Прил.7!n_3=1,Прил.7!n_2,Прил.7!n_3&amp;Прил.7!n_5)</definedName>
    <definedName name="Nalog" localSheetId="0">#REF!</definedName>
    <definedName name="Nalog" localSheetId="1">#REF!</definedName>
    <definedName name="Nalog" localSheetId="2">#REF!</definedName>
    <definedName name="Nalog" localSheetId="5">#REF!</definedName>
    <definedName name="Nalog" localSheetId="3">#REF!</definedName>
    <definedName name="Nalog" localSheetId="4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5">#REF!</definedName>
    <definedName name="NumColJournal" localSheetId="3">#REF!</definedName>
    <definedName name="NumColJournal" localSheetId="4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5">#REF!</definedName>
    <definedName name="oppp" localSheetId="3">#REF!</definedName>
    <definedName name="oppp" localSheetId="4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5">#REF!</definedName>
    <definedName name="pp" localSheetId="3">#REF!</definedName>
    <definedName name="pp" localSheetId="4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5">#REF!</definedName>
    <definedName name="Print_Area" localSheetId="3">#REF!</definedName>
    <definedName name="Print_Area" localSheetId="4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5">#REF!</definedName>
    <definedName name="propis" localSheetId="3">#REF!</definedName>
    <definedName name="propis" localSheetId="4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5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5">#REF!</definedName>
    <definedName name="rrrrrr" localSheetId="3">#REF!</definedName>
    <definedName name="rrrrrr" localSheetId="4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5">#REF!</definedName>
    <definedName name="SD_DC" localSheetId="3">#REF!</definedName>
    <definedName name="SD_DC" localSheetId="4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5">#REF!</definedName>
    <definedName name="SDDsfd" localSheetId="3">#REF!</definedName>
    <definedName name="SDDsfd" localSheetId="4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5">#REF!</definedName>
    <definedName name="SM" localSheetId="3">#REF!</definedName>
    <definedName name="SM" localSheetId="4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5">#REF!</definedName>
    <definedName name="SM_STO1" localSheetId="3">#REF!</definedName>
    <definedName name="SM_STO1" localSheetId="4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5">#REF!</definedName>
    <definedName name="Status" localSheetId="3">#REF!</definedName>
    <definedName name="Status" localSheetId="4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5">#REF!</definedName>
    <definedName name="SUM_" localSheetId="3">#REF!</definedName>
    <definedName name="SUM_" localSheetId="4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5">#REF!</definedName>
    <definedName name="ttt" localSheetId="3">#REF!</definedName>
    <definedName name="ttt" localSheetId="4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5">#REF!</definedName>
    <definedName name="USA_1" localSheetId="3">#REF!</definedName>
    <definedName name="USA_1" localSheetId="4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5">#REF!</definedName>
    <definedName name="v" localSheetId="3">#REF!</definedName>
    <definedName name="v" localSheetId="4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5">#REF!</definedName>
    <definedName name="w" localSheetId="3">#REF!</definedName>
    <definedName name="w" localSheetId="4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10">{#N/A,#N/A,FALSE,"Шаблон_Спец1"}</definedName>
    <definedName name="wrn.1." localSheetId="5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5">#REF!</definedName>
    <definedName name="xh" localSheetId="3">#REF!</definedName>
    <definedName name="xh" localSheetId="4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5">#REF!</definedName>
    <definedName name="А10" localSheetId="3">#REF!</definedName>
    <definedName name="А10" localSheetId="4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0">#REF!</definedName>
    <definedName name="аааа" localSheetId="5">#REF!</definedName>
    <definedName name="аааа" localSheetId="3">#REF!</definedName>
    <definedName name="аааа" localSheetId="4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5">#REF!</definedName>
    <definedName name="ало" localSheetId="3">#REF!</definedName>
    <definedName name="ало" localSheetId="4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5">#REF!</definedName>
    <definedName name="анол" localSheetId="3">#REF!</definedName>
    <definedName name="анол" localSheetId="4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5">#REF!</definedName>
    <definedName name="аода" localSheetId="3">#REF!</definedName>
    <definedName name="аода" localSheetId="4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5">#REF!</definedName>
    <definedName name="аопы" localSheetId="3">#REF!</definedName>
    <definedName name="аопы" localSheetId="4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5">#REF!</definedName>
    <definedName name="аправи" localSheetId="3">#REF!</definedName>
    <definedName name="аправи" localSheetId="4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5">#REF!</definedName>
    <definedName name="апыо" localSheetId="3">#REF!</definedName>
    <definedName name="апыо" localSheetId="4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5">#REF!</definedName>
    <definedName name="аро" localSheetId="3">#REF!</definedName>
    <definedName name="аро" localSheetId="4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5">#REF!</definedName>
    <definedName name="ародарод" localSheetId="3">#REF!</definedName>
    <definedName name="ародарод" localSheetId="4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5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5">#REF!</definedName>
    <definedName name="аыв" localSheetId="3">#REF!</definedName>
    <definedName name="аыв" localSheetId="4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5">#REF!</definedName>
    <definedName name="аыпрыпр" localSheetId="3">#REF!</definedName>
    <definedName name="аыпрыпр" localSheetId="4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5">#REF!</definedName>
    <definedName name="б" localSheetId="3">#REF!</definedName>
    <definedName name="б" localSheetId="4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5">#REF!</definedName>
    <definedName name="Больш" localSheetId="3">#REF!</definedName>
    <definedName name="Больш" localSheetId="4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5">#REF!</definedName>
    <definedName name="бьюждж" localSheetId="3">#REF!</definedName>
    <definedName name="бьюждж" localSheetId="4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5">#REF!</definedName>
    <definedName name="вава" localSheetId="3">#REF!</definedName>
    <definedName name="вава" localSheetId="4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5">#REF!</definedName>
    <definedName name="ВАЛ_" localSheetId="3">#REF!</definedName>
    <definedName name="ВАЛ_" localSheetId="4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5">#REF!</definedName>
    <definedName name="вао" localSheetId="3">#REF!</definedName>
    <definedName name="вао" localSheetId="4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5">#REF!</definedName>
    <definedName name="варо" localSheetId="3">#REF!</definedName>
    <definedName name="варо" localSheetId="4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5">#REF!</definedName>
    <definedName name="ввв" localSheetId="3">#REF!</definedName>
    <definedName name="ввв" localSheetId="4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5">#REF!</definedName>
    <definedName name="вген" localSheetId="3">#REF!</definedName>
    <definedName name="вген" localSheetId="4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5">#REF!</definedName>
    <definedName name="веше" localSheetId="3">#REF!</definedName>
    <definedName name="веше" localSheetId="4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5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5">#REF!</definedName>
    <definedName name="внеове" localSheetId="3">#REF!</definedName>
    <definedName name="внеове" localSheetId="4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5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5">#REF!</definedName>
    <definedName name="Вп" localSheetId="3">#REF!</definedName>
    <definedName name="Вп" localSheetId="4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5">#REF!</definedName>
    <definedName name="впор" localSheetId="3">#REF!</definedName>
    <definedName name="впор" localSheetId="4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5">#REF!</definedName>
    <definedName name="врьпврь" localSheetId="3">#REF!</definedName>
    <definedName name="врьпврь" localSheetId="4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5">#REF!</definedName>
    <definedName name="Всего_по_смете" localSheetId="3">#REF!</definedName>
    <definedName name="Всего_по_смете" localSheetId="4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5">#REF!</definedName>
    <definedName name="ВсегоШурфов" localSheetId="3">#REF!</definedName>
    <definedName name="ВсегоШурфов" localSheetId="4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5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5">#REF!</definedName>
    <definedName name="ГАП" localSheetId="3">#REF!</definedName>
    <definedName name="ГАП" localSheetId="4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5">#REF!</definedName>
    <definedName name="гелог" localSheetId="3">#REF!</definedName>
    <definedName name="гелог" localSheetId="4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5">#REF!</definedName>
    <definedName name="геол1" localSheetId="3">#REF!</definedName>
    <definedName name="геол1" localSheetId="4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5">#REF!</definedName>
    <definedName name="гидро1" localSheetId="3">#REF!</definedName>
    <definedName name="гидро1" localSheetId="4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5">#REF!</definedName>
    <definedName name="гидро5" localSheetId="3">#REF!</definedName>
    <definedName name="гидро5" localSheetId="4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5">#REF!</definedName>
    <definedName name="глрп" localSheetId="3">#REF!</definedName>
    <definedName name="глрп" localSheetId="4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5">#REF!</definedName>
    <definedName name="гор" localSheetId="3">#REF!</definedName>
    <definedName name="гор" localSheetId="4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5">#REF!</definedName>
    <definedName name="гш" localSheetId="3">#REF!</definedName>
    <definedName name="гш" localSheetId="4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5">#REF!</definedName>
    <definedName name="десятый" localSheetId="3">#REF!</definedName>
    <definedName name="десятый" localSheetId="4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5">#REF!</definedName>
    <definedName name="Дефлятор" localSheetId="3">#REF!</definedName>
    <definedName name="Дефлятор" localSheetId="4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5">#REF!</definedName>
    <definedName name="Дефлятор1" localSheetId="3">#REF!</definedName>
    <definedName name="Дефлятор1" localSheetId="4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5">#REF!</definedName>
    <definedName name="диапазон" localSheetId="3">#REF!</definedName>
    <definedName name="диапазон" localSheetId="4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5">#REF!</definedName>
    <definedName name="Диск" localSheetId="3">#REF!</definedName>
    <definedName name="Диск" localSheetId="4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5">#REF!</definedName>
    <definedName name="Длинна_границы" localSheetId="3">#REF!</definedName>
    <definedName name="Длинна_границы" localSheetId="4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5">#REF!</definedName>
    <definedName name="длозщшзщдлжб" localSheetId="3">#REF!</definedName>
    <definedName name="длозщшзщдлжб" localSheetId="4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5">#REF!</definedName>
    <definedName name="Дн_ставка" localSheetId="3">#REF!</definedName>
    <definedName name="Дн_ставка" localSheetId="4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5">#REF!</definedName>
    <definedName name="ДОЛЛАР" localSheetId="3">#REF!</definedName>
    <definedName name="ДОЛЛАР" localSheetId="4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5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5">#REF!</definedName>
    <definedName name="Дорога_1" localSheetId="3">#REF!</definedName>
    <definedName name="Дорога_1" localSheetId="4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5">#REF!</definedName>
    <definedName name="дщшю" localSheetId="3">#REF!</definedName>
    <definedName name="дщшю" localSheetId="4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5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5">#REF!</definedName>
    <definedName name="жжж" localSheetId="3">#REF!</definedName>
    <definedName name="жжж" localSheetId="4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5">#REF!</definedName>
    <definedName name="Заказчик" localSheetId="3">#REF!</definedName>
    <definedName name="Заказчик" localSheetId="4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5">#REF!</definedName>
    <definedName name="зждзд" localSheetId="3">#REF!</definedName>
    <definedName name="зждзд" localSheetId="4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5">#REF!</definedName>
    <definedName name="ЗИП_Всего_1" localSheetId="3">#REF!</definedName>
    <definedName name="ЗИП_Всего_1" localSheetId="4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5">#REF!</definedName>
    <definedName name="зощр" localSheetId="3">#REF!</definedName>
    <definedName name="зощр" localSheetId="4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5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5">#REF!</definedName>
    <definedName name="имт" localSheetId="3">#REF!</definedName>
    <definedName name="имт" localSheetId="4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5">#REF!</definedName>
    <definedName name="Ини" localSheetId="3">#REF!</definedName>
    <definedName name="Ини" localSheetId="4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5">#REF!</definedName>
    <definedName name="ИС__И.Максимов" localSheetId="3">#REF!</definedName>
    <definedName name="ИС__И.Максимов" localSheetId="4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5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5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5">#REF!</definedName>
    <definedName name="йцйу3йк" localSheetId="3">#REF!</definedName>
    <definedName name="йцйу3йк" localSheetId="4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5">#REF!</definedName>
    <definedName name="йцу" localSheetId="3">#REF!</definedName>
    <definedName name="йцу" localSheetId="4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5">#REF!</definedName>
    <definedName name="Кабели_1" localSheetId="3">#REF!</definedName>
    <definedName name="Кабели_1" localSheetId="4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5">#REF!</definedName>
    <definedName name="кака" localSheetId="3">#REF!</definedName>
    <definedName name="кака" localSheetId="4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5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5">#REF!</definedName>
    <definedName name="КВАРТАЛ2" localSheetId="3">#REF!</definedName>
    <definedName name="КВАРТАЛ2" localSheetId="4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5">#REF!</definedName>
    <definedName name="кгкг" localSheetId="3">#REF!</definedName>
    <definedName name="кгкг" localSheetId="4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5">#REF!</definedName>
    <definedName name="КИПиавтом" localSheetId="3">#REF!</definedName>
    <definedName name="КИПиавтом" localSheetId="4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5">#REF!</definedName>
    <definedName name="книга" localSheetId="3">#REF!</definedName>
    <definedName name="книга" localSheetId="4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5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5">#REF!</definedName>
    <definedName name="ком." localSheetId="3">#REF!</definedName>
    <definedName name="ком." localSheetId="4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5">#REF!</definedName>
    <definedName name="комплект" localSheetId="3">#REF!</definedName>
    <definedName name="комплект" localSheetId="4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5">#REF!</definedName>
    <definedName name="конкурс" localSheetId="3">#REF!</definedName>
    <definedName name="конкурс" localSheetId="4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5">#REF!</definedName>
    <definedName name="Контроллер_1" localSheetId="3">#REF!</definedName>
    <definedName name="Контроллер_1" localSheetId="4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10">{#N/A,#N/A,FALSE,"Шаблон_Спец1"}</definedName>
    <definedName name="корр" localSheetId="5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5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5">#REF!</definedName>
    <definedName name="КОЭФ3" localSheetId="3">#REF!</definedName>
    <definedName name="КОЭФ3" localSheetId="4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5">#REF!</definedName>
    <definedName name="КоэфБезПоля" localSheetId="3">#REF!</definedName>
    <definedName name="КоэфБезПоля" localSheetId="4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5">#REF!</definedName>
    <definedName name="Коэффициент" localSheetId="3">#REF!</definedName>
    <definedName name="Коэффициент" localSheetId="4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5">#REF!</definedName>
    <definedName name="крас" localSheetId="3">#REF!</definedName>
    <definedName name="крас" localSheetId="4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3">#REF!</definedName>
    <definedName name="_xlnm.Criteria" localSheetId="4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5">#REF!</definedName>
    <definedName name="куку" localSheetId="3">#REF!</definedName>
    <definedName name="куку" localSheetId="4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5">#REF!</definedName>
    <definedName name="Курс_доллара_США" localSheetId="3">#REF!</definedName>
    <definedName name="Курс_доллара_США" localSheetId="4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5">#REF!</definedName>
    <definedName name="лаборатория" localSheetId="3">#REF!</definedName>
    <definedName name="лаборатория" localSheetId="4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5">#REF!</definedName>
    <definedName name="ленин" localSheetId="3">#REF!</definedName>
    <definedName name="ленин" localSheetId="4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5">#REF!</definedName>
    <definedName name="ЛимитУРС_ПИР" localSheetId="3">#REF!</definedName>
    <definedName name="ЛимитУРС_ПИР" localSheetId="4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5">#REF!</definedName>
    <definedName name="М" localSheetId="3">#REF!</definedName>
    <definedName name="М" localSheetId="4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5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5">#REF!</definedName>
    <definedName name="МАРЖА" localSheetId="3">#REF!</definedName>
    <definedName name="МАРЖА" localSheetId="4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5">#REF!</definedName>
    <definedName name="МИ_Т" localSheetId="3">#REF!</definedName>
    <definedName name="МИ_Т" localSheetId="4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10">{0,"овz";1,"z";2,"аz";5,"овz"}</definedName>
    <definedName name="мил" localSheetId="5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5">#REF!</definedName>
    <definedName name="мин" localSheetId="3">#REF!</definedName>
    <definedName name="мин" localSheetId="4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5">#REF!</definedName>
    <definedName name="мм" localSheetId="3">#REF!</definedName>
    <definedName name="мм" localSheetId="4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5">#REF!</definedName>
    <definedName name="Монтаж" localSheetId="3">#REF!</definedName>
    <definedName name="Монтаж" localSheetId="4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5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5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5">#REF!</definedName>
    <definedName name="над" localSheetId="3">#REF!</definedName>
    <definedName name="над" localSheetId="4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5">#REF!</definedName>
    <definedName name="Название_проекта" localSheetId="3">#REF!</definedName>
    <definedName name="Название_проекта" localSheetId="4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5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5">#REF!</definedName>
    <definedName name="нвле" localSheetId="3">#REF!</definedName>
    <definedName name="нвле" localSheetId="4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5">#REF!</definedName>
    <definedName name="нер" localSheetId="3">#REF!</definedName>
    <definedName name="нер" localSheetId="4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5">#REF!</definedName>
    <definedName name="неуо" localSheetId="3">#REF!</definedName>
    <definedName name="неуо" localSheetId="4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5">#REF!</definedName>
    <definedName name="новый" localSheetId="3">#REF!</definedName>
    <definedName name="новый" localSheetId="4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5">#REF!</definedName>
    <definedName name="НормаАУП_на_УЕ" localSheetId="3">#REF!</definedName>
    <definedName name="НормаАУП_на_УЕ" localSheetId="4">#REF!</definedName>
    <definedName name="НормаАУП_на_УЕ" localSheetId="6">#REF!</definedName>
    <definedName name="НормаАУП_на_УЕ">#REF!</definedName>
    <definedName name="НормаПП_на_УЕ" localSheetId="5">#REF!</definedName>
    <definedName name="НормаПП_на_УЕ" localSheetId="3">#REF!</definedName>
    <definedName name="НормаПП_на_УЕ" localSheetId="4">#REF!</definedName>
    <definedName name="НормаПП_на_УЕ" localSheetId="6">#REF!</definedName>
    <definedName name="НормаПП_на_УЕ">#REF!</definedName>
    <definedName name="НормаРостаУЕ" localSheetId="5">#REF!</definedName>
    <definedName name="НормаРостаУЕ" localSheetId="3">#REF!</definedName>
    <definedName name="НормаРостаУЕ" localSheetId="4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10">граж</definedName>
    <definedName name="нр" localSheetId="5">граж</definedName>
    <definedName name="нр" localSheetId="3">граж</definedName>
    <definedName name="нр" localSheetId="4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5">#REF!</definedName>
    <definedName name="о" localSheetId="3">#REF!</definedName>
    <definedName name="о" localSheetId="4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5">#REF!</definedName>
    <definedName name="об" localSheetId="3">#REF!</definedName>
    <definedName name="об" localSheetId="4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5">'Прил. 3'!$A$1:$H$62</definedName>
    <definedName name="_xlnm.Print_Area" localSheetId="3">'Прил.1 Сравнит табл'!$A$1:$D$32</definedName>
    <definedName name="_xlnm.Print_Area" localSheetId="4">'Прил.2 Расч стоим'!$A$1:$J$22</definedName>
    <definedName name="_xlnm.Print_Area" localSheetId="6">'Прил.4 РМ'!$A$1:$E$48</definedName>
    <definedName name="_xlnm.Print_Area" localSheetId="7">'Прил.5 Расчет СМР и ОБ'!$A$1:$J$77</definedName>
    <definedName name="_xlnm.Print_Area" localSheetId="8">'Прил.6 Расчет ОБ'!$A$1:$G$32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5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5">#REF!</definedName>
    <definedName name="объем___0" localSheetId="3">#REF!</definedName>
    <definedName name="объем___0" localSheetId="4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5">#REF!</definedName>
    <definedName name="объем___10___0___0" localSheetId="3">#REF!</definedName>
    <definedName name="объем___10___0___0" localSheetId="4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5">#REF!</definedName>
    <definedName name="объем___11" localSheetId="3">#REF!</definedName>
    <definedName name="объем___11" localSheetId="4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5">#REF!</definedName>
    <definedName name="объем___11___10" localSheetId="3">#REF!</definedName>
    <definedName name="объем___11___10" localSheetId="4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5">#REF!</definedName>
    <definedName name="объем___2" localSheetId="3">#REF!</definedName>
    <definedName name="объем___2" localSheetId="4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5">#REF!</definedName>
    <definedName name="объем___3___10" localSheetId="3">#REF!</definedName>
    <definedName name="объем___3___10" localSheetId="4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5">#REF!</definedName>
    <definedName name="объем___4___0___0" localSheetId="3">#REF!</definedName>
    <definedName name="объем___4___0___0" localSheetId="4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5">#REF!</definedName>
    <definedName name="объем___5___0" localSheetId="3">#REF!</definedName>
    <definedName name="объем___5___0" localSheetId="4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5">#REF!</definedName>
    <definedName name="объем___6___0" localSheetId="3">#REF!</definedName>
    <definedName name="объем___6___0" localSheetId="4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5">#REF!</definedName>
    <definedName name="окн" localSheetId="3">#REF!</definedName>
    <definedName name="окн" localSheetId="4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5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5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6">#REF!</definedName>
    <definedName name="ОсвоениеИмущества">#REF!</definedName>
    <definedName name="ОсвоениеИП" localSheetId="5">#REF!</definedName>
    <definedName name="ОсвоениеИП" localSheetId="3">#REF!</definedName>
    <definedName name="ОсвоениеИП" localSheetId="4">#REF!</definedName>
    <definedName name="ОсвоениеИП" localSheetId="6">#REF!</definedName>
    <definedName name="ОсвоениеИП">#REF!</definedName>
    <definedName name="ОсвоениеНИОКР" localSheetId="5">#REF!</definedName>
    <definedName name="ОсвоениеНИОКР" localSheetId="3">#REF!</definedName>
    <definedName name="ОсвоениеНИОКР" localSheetId="4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5">#REF!</definedName>
    <definedName name="ОтпускИзЕНЭС" localSheetId="3">#REF!</definedName>
    <definedName name="ОтпускИзЕНЭС" localSheetId="4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5">#REF!</definedName>
    <definedName name="оьт" localSheetId="3">#REF!</definedName>
    <definedName name="оьт" localSheetId="4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5">#REF!</definedName>
    <definedName name="паша" localSheetId="3">#REF!</definedName>
    <definedName name="паша" localSheetId="4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5">#REF!</definedName>
    <definedName name="пвьрвпрь" localSheetId="3">#REF!</definedName>
    <definedName name="пвьрвпрь" localSheetId="4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5">#REF!</definedName>
    <definedName name="Пи" localSheetId="3">#REF!</definedName>
    <definedName name="Пи" localSheetId="4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5">#REF!</definedName>
    <definedName name="пл" localSheetId="3">#REF!</definedName>
    <definedName name="пл" localSheetId="4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5">#REF!</definedName>
    <definedName name="плдпол" localSheetId="3">#REF!</definedName>
    <definedName name="плдпол" localSheetId="4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5">#REF!</definedName>
    <definedName name="плыа" localSheetId="3">#REF!</definedName>
    <definedName name="плыа" localSheetId="4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5">#REF!</definedName>
    <definedName name="пов" localSheetId="3">#REF!</definedName>
    <definedName name="пов" localSheetId="4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5">#REF!</definedName>
    <definedName name="Подгон" localSheetId="3">#REF!</definedName>
    <definedName name="Подгон" localSheetId="4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5">#REF!</definedName>
    <definedName name="подста" localSheetId="3">#REF!</definedName>
    <definedName name="подста" localSheetId="4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5">#REF!</definedName>
    <definedName name="Покупное_ПО" localSheetId="3">#REF!</definedName>
    <definedName name="Покупное_ПО" localSheetId="4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5">#REF!</definedName>
    <definedName name="ПотериНорма" localSheetId="3">#REF!</definedName>
    <definedName name="ПотериНорма" localSheetId="4">#REF!</definedName>
    <definedName name="ПотериНорма" localSheetId="6">#REF!</definedName>
    <definedName name="ПотериНорма">#REF!</definedName>
    <definedName name="ПотериФакт" localSheetId="5">#REF!</definedName>
    <definedName name="ПотериФакт" localSheetId="3">#REF!</definedName>
    <definedName name="ПотериФакт" localSheetId="4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5">#REF!</definedName>
    <definedName name="пп" localSheetId="3">#REF!</definedName>
    <definedName name="пп" localSheetId="4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5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5">#REF!</definedName>
    <definedName name="прд" localSheetId="3">#REF!</definedName>
    <definedName name="прд" localSheetId="4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5">#REF!</definedName>
    <definedName name="прибыль" localSheetId="3">#REF!</definedName>
    <definedName name="прибыль" localSheetId="4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5">#REF!</definedName>
    <definedName name="Приморский_край" localSheetId="3">#REF!</definedName>
    <definedName name="Приморский_край" localSheetId="4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5">#REF!</definedName>
    <definedName name="прл" localSheetId="3">#REF!</definedName>
    <definedName name="прл" localSheetId="4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5">#REF!</definedName>
    <definedName name="проект" localSheetId="3">#REF!</definedName>
    <definedName name="проект" localSheetId="4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5">#REF!</definedName>
    <definedName name="пролоддошщ" localSheetId="3">#REF!</definedName>
    <definedName name="пролоддошщ" localSheetId="4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5">#REF!</definedName>
    <definedName name="Промбезоп" localSheetId="3">#REF!</definedName>
    <definedName name="Промбезоп" localSheetId="4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5">#REF!</definedName>
    <definedName name="пропр" localSheetId="3">#REF!</definedName>
    <definedName name="пропр" localSheetId="4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5">#REF!</definedName>
    <definedName name="протоколРМВК" localSheetId="3">#REF!</definedName>
    <definedName name="протоколРМВК" localSheetId="4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5">#REF!</definedName>
    <definedName name="Прочие_работы" localSheetId="3">#REF!</definedName>
    <definedName name="Прочие_работы" localSheetId="4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5">#REF!</definedName>
    <definedName name="прпр_1" localSheetId="3">#REF!</definedName>
    <definedName name="прпр_1" localSheetId="4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5">#REF!</definedName>
    <definedName name="прьто" localSheetId="3">#REF!</definedName>
    <definedName name="прьто" localSheetId="4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5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5">#REF!</definedName>
    <definedName name="пшждю" localSheetId="3">#REF!</definedName>
    <definedName name="пшждю" localSheetId="4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5">#REF!</definedName>
    <definedName name="Работа1" localSheetId="3">#REF!</definedName>
    <definedName name="Работа1" localSheetId="4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5">#REF!</definedName>
    <definedName name="раоб" localSheetId="3">#REF!</definedName>
    <definedName name="раоб" localSheetId="4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5">#REF!</definedName>
    <definedName name="расш" localSheetId="3">#REF!</definedName>
    <definedName name="расш" localSheetId="4">#REF!</definedName>
    <definedName name="расш" localSheetId="6">#REF!</definedName>
    <definedName name="расш">#REF!</definedName>
    <definedName name="расш." localSheetId="5">#REF!</definedName>
    <definedName name="расш." localSheetId="3">#REF!</definedName>
    <definedName name="расш." localSheetId="4">#REF!</definedName>
    <definedName name="расш." localSheetId="6">#REF!</definedName>
    <definedName name="расш.">#REF!</definedName>
    <definedName name="Расшифровка" localSheetId="5">#REF!</definedName>
    <definedName name="Расшифровка" localSheetId="3">#REF!</definedName>
    <definedName name="Расшифровка" localSheetId="4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5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5">#REF!</definedName>
    <definedName name="рлвро" localSheetId="3">#REF!</definedName>
    <definedName name="рлвро" localSheetId="4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5">#REF!</definedName>
    <definedName name="роло" localSheetId="3">#REF!</definedName>
    <definedName name="роло" localSheetId="4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5">#REF!</definedName>
    <definedName name="рпьрь" localSheetId="3">#REF!</definedName>
    <definedName name="рпьрь" localSheetId="4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5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10">{#N/A,#N/A,FALSE,"Шаблон_Спец1"}</definedName>
    <definedName name="С" localSheetId="5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5">#REF!</definedName>
    <definedName name="с1" localSheetId="3">#REF!</definedName>
    <definedName name="с1" localSheetId="4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5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5">#REF!</definedName>
    <definedName name="Сводка" localSheetId="3">#REF!</definedName>
    <definedName name="Сводка" localSheetId="4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5">#REF!</definedName>
    <definedName name="сев" localSheetId="3">#REF!</definedName>
    <definedName name="сев" localSheetId="4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5">#REF!</definedName>
    <definedName name="Сегодня" localSheetId="3">#REF!</definedName>
    <definedName name="Сегодня" localSheetId="4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5">#REF!</definedName>
    <definedName name="Семь" localSheetId="3">#REF!</definedName>
    <definedName name="Семь" localSheetId="4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5">#REF!</definedName>
    <definedName name="Сервис_Всего_1" localSheetId="3">#REF!</definedName>
    <definedName name="Сервис_Всего_1" localSheetId="4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5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5">#REF!</definedName>
    <definedName name="СлБелг" localSheetId="3">#REF!</definedName>
    <definedName name="СлБелг" localSheetId="4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5">#REF!</definedName>
    <definedName name="см" localSheetId="3">#REF!</definedName>
    <definedName name="см" localSheetId="4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5">#REF!</definedName>
    <definedName name="См7" localSheetId="3">#REF!</definedName>
    <definedName name="См7" localSheetId="4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5">#REF!</definedName>
    <definedName name="смета" localSheetId="3">#REF!</definedName>
    <definedName name="смета" localSheetId="4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5">#REF!</definedName>
    <definedName name="смета1" localSheetId="3">#REF!</definedName>
    <definedName name="смета1" localSheetId="4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5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5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5">#REF!</definedName>
    <definedName name="Согласование" localSheetId="3">#REF!</definedName>
    <definedName name="Согласование" localSheetId="4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5">#REF!</definedName>
    <definedName name="Составитель" localSheetId="3">#REF!</definedName>
    <definedName name="Составитель" localSheetId="4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5">#REF!</definedName>
    <definedName name="сп2" localSheetId="3">#REF!</definedName>
    <definedName name="сп2" localSheetId="4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5">#REF!</definedName>
    <definedName name="срл" localSheetId="3">#REF!</definedName>
    <definedName name="срл" localSheetId="4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5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6">#REF!</definedName>
    <definedName name="СтавкаАмортизации">#REF!</definedName>
    <definedName name="СтавкаДепозитов" localSheetId="5">#REF!</definedName>
    <definedName name="СтавкаДепозитов" localSheetId="3">#REF!</definedName>
    <definedName name="СтавкаДепозитов" localSheetId="4">#REF!</definedName>
    <definedName name="СтавкаДепозитов" localSheetId="6">#REF!</definedName>
    <definedName name="СтавкаДепозитов">#REF!</definedName>
    <definedName name="СтавкаДивидендов" localSheetId="5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5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5">#REF!</definedName>
    <definedName name="Стоимость" localSheetId="3">#REF!</definedName>
    <definedName name="Стоимость" localSheetId="4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5">#REF!</definedName>
    <definedName name="страх" localSheetId="3">#REF!</definedName>
    <definedName name="страх" localSheetId="4">#REF!</definedName>
    <definedName name="страх" localSheetId="6">#REF!</definedName>
    <definedName name="страх">#REF!</definedName>
    <definedName name="страхов" localSheetId="5">#REF!</definedName>
    <definedName name="страхов" localSheetId="3">#REF!</definedName>
    <definedName name="страхов" localSheetId="4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5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5">#REF!</definedName>
    <definedName name="т" localSheetId="3">#REF!</definedName>
    <definedName name="т" localSheetId="4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5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5">#REF!</definedName>
    <definedName name="Томская_область" localSheetId="3">#REF!</definedName>
    <definedName name="Томская_область" localSheetId="4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5">#REF!</definedName>
    <definedName name="третий" localSheetId="3">#REF!</definedName>
    <definedName name="третий" localSheetId="4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10">{0,"тысячz";1,"тысячаz";2,"тысячиz";5,"тысячz"}</definedName>
    <definedName name="тыс" localSheetId="5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5">#REF!</definedName>
    <definedName name="тьбю" localSheetId="3">#REF!</definedName>
    <definedName name="тьбю" localSheetId="4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5">#REF!</definedName>
    <definedName name="УслугиТОиР_ГС" localSheetId="3">#REF!</definedName>
    <definedName name="УслугиТОиР_ГС" localSheetId="4">#REF!</definedName>
    <definedName name="УслугиТОиР_ГС" localSheetId="6">#REF!</definedName>
    <definedName name="УслугиТОиР_ГС">#REF!</definedName>
    <definedName name="УслугиТОиР_ЭСС" localSheetId="5">#REF!</definedName>
    <definedName name="УслугиТОиР_ЭСС" localSheetId="3">#REF!</definedName>
    <definedName name="УслугиТОиР_ЭСС" localSheetId="4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5">#REF!</definedName>
    <definedName name="Ф5.1" localSheetId="3">#REF!</definedName>
    <definedName name="Ф5.1" localSheetId="4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5">#REF!</definedName>
    <definedName name="Ф91" localSheetId="3">#REF!</definedName>
    <definedName name="Ф91" localSheetId="4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5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5">#REF!</definedName>
    <definedName name="фукек" localSheetId="3">#REF!</definedName>
    <definedName name="фукек" localSheetId="4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5">#REF!</definedName>
    <definedName name="ффггг" localSheetId="3">#REF!</definedName>
    <definedName name="ффггг" localSheetId="4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5">#REF!</definedName>
    <definedName name="цена___0" localSheetId="3">#REF!</definedName>
    <definedName name="цена___0" localSheetId="4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5">#REF!</definedName>
    <definedName name="цена___10___0___0" localSheetId="3">#REF!</definedName>
    <definedName name="цена___10___0___0" localSheetId="4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5">#REF!</definedName>
    <definedName name="цена___11" localSheetId="3">#REF!</definedName>
    <definedName name="цена___11" localSheetId="4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5">#REF!</definedName>
    <definedName name="цена___11___10" localSheetId="3">#REF!</definedName>
    <definedName name="цена___11___10" localSheetId="4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5">#REF!</definedName>
    <definedName name="цена___2" localSheetId="3">#REF!</definedName>
    <definedName name="цена___2" localSheetId="4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5">#REF!</definedName>
    <definedName name="цена___3___10" localSheetId="3">#REF!</definedName>
    <definedName name="цена___3___10" localSheetId="4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5">#REF!</definedName>
    <definedName name="цена___4___0___0" localSheetId="3">#REF!</definedName>
    <definedName name="цена___4___0___0" localSheetId="4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5">#REF!</definedName>
    <definedName name="цена___5___0" localSheetId="3">#REF!</definedName>
    <definedName name="цена___5___0" localSheetId="4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5">#REF!</definedName>
    <definedName name="цена___6___0" localSheetId="3">#REF!</definedName>
    <definedName name="цена___6___0" localSheetId="4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5">#REF!</definedName>
    <definedName name="ЦенаШурфов" localSheetId="3">#REF!</definedName>
    <definedName name="ЦенаШурфов" localSheetId="4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5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5">#REF!</definedName>
    <definedName name="Шкафы_ТМ" localSheetId="3">#REF!</definedName>
    <definedName name="Шкафы_ТМ" localSheetId="4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5">#REF!</definedName>
    <definedName name="ыа" localSheetId="3">#REF!</definedName>
    <definedName name="ыа" localSheetId="4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5">#REF!</definedName>
    <definedName name="ыапраыр" localSheetId="3">#REF!</definedName>
    <definedName name="ыапраыр" localSheetId="4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5">#REF!</definedName>
    <definedName name="ЫВGGGGGGGGGGGGGGG" localSheetId="3">#REF!</definedName>
    <definedName name="ЫВGGGGGGGGGGGGGGG" localSheetId="4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5">#REF!</definedName>
    <definedName name="ываф" localSheetId="3">#REF!</definedName>
    <definedName name="ываф" localSheetId="4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5">#REF!</definedName>
    <definedName name="ыВПВП" localSheetId="3">#REF!</definedName>
    <definedName name="ыВПВП" localSheetId="4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5">#REF!</definedName>
    <definedName name="ыпры" localSheetId="3">#REF!</definedName>
    <definedName name="ыпры" localSheetId="4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5">#REF!</definedName>
    <definedName name="ьбюбб" localSheetId="3">#REF!</definedName>
    <definedName name="ьбюбб" localSheetId="4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5">#REF!</definedName>
    <definedName name="экол1" localSheetId="3">#REF!</definedName>
    <definedName name="экол1" localSheetId="4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10">граж</definedName>
    <definedName name="ЭКСПО" localSheetId="5">граж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10">граж</definedName>
    <definedName name="ЭКСПОФОРУМ" localSheetId="5">граж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5">#REF!</definedName>
    <definedName name="экт" localSheetId="3">#REF!</definedName>
    <definedName name="экт" localSheetId="4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5">#REF!</definedName>
    <definedName name="ЭлеСи_1" localSheetId="3">#REF!</definedName>
    <definedName name="ЭлеСи_1" localSheetId="4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5">#REF!</definedName>
    <definedName name="юдшншджгп" localSheetId="3">#REF!</definedName>
    <definedName name="юдшншджгп" localSheetId="4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5">#REF!</definedName>
    <definedName name="яапт" localSheetId="3">#REF!</definedName>
    <definedName name="яапт" localSheetId="4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99999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D11" i="10"/>
  <c r="C11" i="10"/>
  <c r="D5" i="10"/>
  <c r="G26" i="9"/>
  <c r="G25" i="9"/>
  <c r="G24" i="9"/>
  <c r="F24" i="9"/>
  <c r="E24" i="9"/>
  <c r="D24" i="9"/>
  <c r="C24" i="9"/>
  <c r="B24" i="9"/>
  <c r="G23" i="9"/>
  <c r="F23" i="9"/>
  <c r="E23" i="9"/>
  <c r="D23" i="9"/>
  <c r="C23" i="9"/>
  <c r="B23" i="9"/>
  <c r="G22" i="9"/>
  <c r="F22" i="9"/>
  <c r="E22" i="9"/>
  <c r="D22" i="9"/>
  <c r="C22" i="9"/>
  <c r="B22" i="9"/>
  <c r="G21" i="9"/>
  <c r="F21" i="9"/>
  <c r="E21" i="9"/>
  <c r="D21" i="9"/>
  <c r="C21" i="9"/>
  <c r="B21" i="9"/>
  <c r="G20" i="9"/>
  <c r="F20" i="9"/>
  <c r="E20" i="9"/>
  <c r="D20" i="9"/>
  <c r="C20" i="9"/>
  <c r="B20" i="9"/>
  <c r="G19" i="9"/>
  <c r="F19" i="9"/>
  <c r="E19" i="9"/>
  <c r="D19" i="9"/>
  <c r="C19" i="9"/>
  <c r="B19" i="9"/>
  <c r="G18" i="9"/>
  <c r="F18" i="9"/>
  <c r="E18" i="9"/>
  <c r="D18" i="9"/>
  <c r="C18" i="9"/>
  <c r="B18" i="9"/>
  <c r="G17" i="9"/>
  <c r="F17" i="9"/>
  <c r="E17" i="9"/>
  <c r="D17" i="9"/>
  <c r="C17" i="9"/>
  <c r="B17" i="9"/>
  <c r="G16" i="9"/>
  <c r="F16" i="9"/>
  <c r="E16" i="9"/>
  <c r="D16" i="9"/>
  <c r="C16" i="9"/>
  <c r="B16" i="9"/>
  <c r="G15" i="9"/>
  <c r="F15" i="9"/>
  <c r="E15" i="9"/>
  <c r="D15" i="9"/>
  <c r="C15" i="9"/>
  <c r="B15" i="9"/>
  <c r="G14" i="9"/>
  <c r="F14" i="9"/>
  <c r="E14" i="9"/>
  <c r="D14" i="9"/>
  <c r="C14" i="9"/>
  <c r="B14" i="9"/>
  <c r="G13" i="9"/>
  <c r="F13" i="9"/>
  <c r="E13" i="9"/>
  <c r="D13" i="9"/>
  <c r="C13" i="9"/>
  <c r="B13" i="9"/>
  <c r="G12" i="9"/>
  <c r="F12" i="9"/>
  <c r="E12" i="9"/>
  <c r="D12" i="9"/>
  <c r="C12" i="9"/>
  <c r="B12" i="9"/>
  <c r="J71" i="8"/>
  <c r="G71" i="8"/>
  <c r="J70" i="8"/>
  <c r="G70" i="8"/>
  <c r="J69" i="8"/>
  <c r="G69" i="8"/>
  <c r="J68" i="8"/>
  <c r="D68" i="8"/>
  <c r="J67" i="8"/>
  <c r="D67" i="8"/>
  <c r="J66" i="8"/>
  <c r="G66" i="8"/>
  <c r="J65" i="8"/>
  <c r="H65" i="8"/>
  <c r="G65" i="8"/>
  <c r="J64" i="8"/>
  <c r="H64" i="8"/>
  <c r="G64" i="8"/>
  <c r="J63" i="8"/>
  <c r="I63" i="8"/>
  <c r="H63" i="8"/>
  <c r="G63" i="8"/>
  <c r="J62" i="8"/>
  <c r="I62" i="8"/>
  <c r="H62" i="8"/>
  <c r="G62" i="8"/>
  <c r="J61" i="8"/>
  <c r="I61" i="8"/>
  <c r="H61" i="8"/>
  <c r="G61" i="8"/>
  <c r="J60" i="8"/>
  <c r="I60" i="8"/>
  <c r="H60" i="8"/>
  <c r="G60" i="8"/>
  <c r="J59" i="8"/>
  <c r="I59" i="8"/>
  <c r="H59" i="8"/>
  <c r="G59" i="8"/>
  <c r="J58" i="8"/>
  <c r="I58" i="8"/>
  <c r="H58" i="8"/>
  <c r="G58" i="8"/>
  <c r="J57" i="8"/>
  <c r="I57" i="8"/>
  <c r="H57" i="8"/>
  <c r="G57" i="8"/>
  <c r="J56" i="8"/>
  <c r="I56" i="8"/>
  <c r="H56" i="8"/>
  <c r="G56" i="8"/>
  <c r="J55" i="8"/>
  <c r="I55" i="8"/>
  <c r="H55" i="8"/>
  <c r="G55" i="8"/>
  <c r="J54" i="8"/>
  <c r="I54" i="8"/>
  <c r="H54" i="8"/>
  <c r="G54" i="8"/>
  <c r="J53" i="8"/>
  <c r="I53" i="8"/>
  <c r="H53" i="8"/>
  <c r="G53" i="8"/>
  <c r="J52" i="8"/>
  <c r="I52" i="8"/>
  <c r="H52" i="8"/>
  <c r="G52" i="8"/>
  <c r="J51" i="8"/>
  <c r="H51" i="8"/>
  <c r="G51" i="8"/>
  <c r="J50" i="8"/>
  <c r="I50" i="8"/>
  <c r="H50" i="8"/>
  <c r="G50" i="8"/>
  <c r="J49" i="8"/>
  <c r="I49" i="8"/>
  <c r="H49" i="8"/>
  <c r="G49" i="8"/>
  <c r="J48" i="8"/>
  <c r="I48" i="8"/>
  <c r="H48" i="8"/>
  <c r="G48" i="8"/>
  <c r="J45" i="8"/>
  <c r="G45" i="8"/>
  <c r="J44" i="8"/>
  <c r="H44" i="8"/>
  <c r="G44" i="8"/>
  <c r="J43" i="8"/>
  <c r="H43" i="8"/>
  <c r="G43" i="8"/>
  <c r="J42" i="8"/>
  <c r="I42" i="8"/>
  <c r="H42" i="8"/>
  <c r="G42" i="8"/>
  <c r="J41" i="8"/>
  <c r="I41" i="8"/>
  <c r="H41" i="8"/>
  <c r="G41" i="8"/>
  <c r="J40" i="8"/>
  <c r="I40" i="8"/>
  <c r="H40" i="8"/>
  <c r="G40" i="8"/>
  <c r="J39" i="8"/>
  <c r="I39" i="8"/>
  <c r="H39" i="8"/>
  <c r="G39" i="8"/>
  <c r="J38" i="8"/>
  <c r="I38" i="8"/>
  <c r="H38" i="8"/>
  <c r="G38" i="8"/>
  <c r="J37" i="8"/>
  <c r="H37" i="8"/>
  <c r="G37" i="8"/>
  <c r="J36" i="8"/>
  <c r="I36" i="8"/>
  <c r="H36" i="8"/>
  <c r="G36" i="8"/>
  <c r="J35" i="8"/>
  <c r="I35" i="8"/>
  <c r="H35" i="8"/>
  <c r="G35" i="8"/>
  <c r="J34" i="8"/>
  <c r="I34" i="8"/>
  <c r="H34" i="8"/>
  <c r="G34" i="8"/>
  <c r="J33" i="8"/>
  <c r="I33" i="8"/>
  <c r="H33" i="8"/>
  <c r="G33" i="8"/>
  <c r="J32" i="8"/>
  <c r="I32" i="8"/>
  <c r="H32" i="8"/>
  <c r="G32" i="8"/>
  <c r="J31" i="8"/>
  <c r="I31" i="8"/>
  <c r="H31" i="8"/>
  <c r="G31" i="8"/>
  <c r="J30" i="8"/>
  <c r="I30" i="8"/>
  <c r="H30" i="8"/>
  <c r="G30" i="8"/>
  <c r="J29" i="8"/>
  <c r="I29" i="8"/>
  <c r="H29" i="8"/>
  <c r="G29" i="8"/>
  <c r="J26" i="8"/>
  <c r="G26" i="8"/>
  <c r="J25" i="8"/>
  <c r="H25" i="8"/>
  <c r="G25" i="8"/>
  <c r="J24" i="8"/>
  <c r="I24" i="8"/>
  <c r="H24" i="8"/>
  <c r="G24" i="8"/>
  <c r="J23" i="8"/>
  <c r="H23" i="8"/>
  <c r="G23" i="8"/>
  <c r="J22" i="8"/>
  <c r="I22" i="8"/>
  <c r="H22" i="8"/>
  <c r="G22" i="8"/>
  <c r="J21" i="8"/>
  <c r="I21" i="8"/>
  <c r="H21" i="8"/>
  <c r="G21" i="8"/>
  <c r="J20" i="8"/>
  <c r="I20" i="8"/>
  <c r="H20" i="8"/>
  <c r="G20" i="8"/>
  <c r="J17" i="8"/>
  <c r="I17" i="8"/>
  <c r="G17" i="8"/>
  <c r="J15" i="8"/>
  <c r="G15" i="8"/>
  <c r="E15" i="8"/>
  <c r="J14" i="8"/>
  <c r="I14" i="8"/>
  <c r="H14" i="8"/>
  <c r="G14" i="8"/>
  <c r="C41" i="7"/>
  <c r="E40" i="7"/>
  <c r="C40" i="7"/>
  <c r="E39" i="7"/>
  <c r="C39" i="7"/>
  <c r="E38" i="7"/>
  <c r="C38" i="7"/>
  <c r="E37" i="7"/>
  <c r="C37" i="7"/>
  <c r="E36" i="7"/>
  <c r="C36" i="7"/>
  <c r="E35" i="7"/>
  <c r="E34" i="7"/>
  <c r="C34" i="7"/>
  <c r="E33" i="7"/>
  <c r="C33" i="7"/>
  <c r="E32" i="7"/>
  <c r="C32" i="7"/>
  <c r="E31" i="7"/>
  <c r="E30" i="7"/>
  <c r="C30" i="7"/>
  <c r="E29" i="7"/>
  <c r="C29" i="7"/>
  <c r="E27" i="7"/>
  <c r="C27" i="7"/>
  <c r="E26" i="7"/>
  <c r="C26" i="7"/>
  <c r="E25" i="7"/>
  <c r="C25" i="7"/>
  <c r="E24" i="7"/>
  <c r="D24" i="7"/>
  <c r="C24" i="7"/>
  <c r="E22" i="7"/>
  <c r="D22" i="7"/>
  <c r="C22" i="7"/>
  <c r="E20" i="7"/>
  <c r="D20" i="7"/>
  <c r="C20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E14" i="7"/>
  <c r="D14" i="7"/>
  <c r="C14" i="7"/>
  <c r="E13" i="7"/>
  <c r="D13" i="7"/>
  <c r="C13" i="7"/>
  <c r="E12" i="7"/>
  <c r="D12" i="7"/>
  <c r="C12" i="7"/>
  <c r="E11" i="7"/>
  <c r="D11" i="7"/>
  <c r="C11" i="7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19" i="6"/>
  <c r="F19" i="6"/>
  <c r="H18" i="6"/>
  <c r="H17" i="6"/>
  <c r="H16" i="6"/>
  <c r="H15" i="6"/>
  <c r="H14" i="6"/>
  <c r="H13" i="6"/>
  <c r="H12" i="6"/>
  <c r="H11" i="6"/>
  <c r="H10" i="6"/>
  <c r="F10" i="6"/>
  <c r="J14" i="5"/>
  <c r="H14" i="5"/>
  <c r="F14" i="5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  <family val="2"/>
            <charset val="204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  <family val="2"/>
            <charset val="204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  <family val="2"/>
            <charset val="204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  <family val="2"/>
            <charset val="204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  <family val="2"/>
            <charset val="204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  <family val="2"/>
            <charset val="204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<sst xmlns="http://schemas.openxmlformats.org/spreadsheetml/2006/main" count="749" uniqueCount="444">
  <si>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</si>
  <si>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</si>
  <si>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</si>
  <si>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</si>
  <si>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  <family val="2"/>
        <charset val="204"/>
      </rPr>
      <t>Единица измерения:</t>
    </r>
    <r>
      <rPr>
        <sz val="11"/>
        <color rgb="FF000000"/>
        <rFont val="Calibri"/>
        <family val="2"/>
        <charset val="204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</si>
  <si>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</si>
  <si>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</si>
  <si>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</si>
  <si>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</si>
  <si>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</si>
  <si>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</si>
  <si>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</si>
  <si>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</si>
  <si>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</si>
  <si>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</si>
  <si>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</si>
  <si>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</si>
  <si>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</si>
  <si>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</si>
  <si>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</si>
  <si>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</si>
  <si>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</si>
  <si>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</si>
  <si>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</si>
  <si>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</si>
  <si>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</si>
  <si>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</si>
  <si>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</si>
  <si>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</si>
  <si>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</si>
  <si>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</si>
  <si>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</si>
  <si>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</si>
  <si>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</si>
  <si>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</si>
  <si>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</si>
  <si>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</si>
  <si>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</si>
  <si>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</si>
  <si>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</si>
  <si>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</si>
  <si>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</si>
  <si>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</si>
  <si>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</si>
  <si>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</si>
  <si>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</si>
  <si>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</si>
  <si>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 xml:space="preserve">Наименование разрабатываемого показателя УНЦ — Постоянная часть ПС система пожарной и охранной сигнализации ПС 110 кВ </t>
  </si>
  <si>
    <t>Сопоставимый уровень цен: 2 кв 2020</t>
  </si>
  <si>
    <t>Единица измерения  — 1 ПС</t>
  </si>
  <si>
    <t>Параметр</t>
  </si>
  <si>
    <t>Объект-представитель 1</t>
  </si>
  <si>
    <t>Наименование объекта-представителя</t>
  </si>
  <si>
    <t>ПС 110 кВ Джуракская</t>
  </si>
  <si>
    <t>Наименование субъекта Российской Федерации</t>
  </si>
  <si>
    <t xml:space="preserve">Республика Калмыкия 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</si>
  <si>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</si>
  <si>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</si>
  <si>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</si>
  <si>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</si>
  <si>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 xml:space="preserve">Охранная и пожарная сигнализация - 1220 м2
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</si>
  <si>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</si>
  <si>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</si>
  <si>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</si>
  <si>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</si>
  <si>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</si>
  <si>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</si>
  <si>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</si>
  <si>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</si>
  <si>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</si>
  <si>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</si>
  <si>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2 кв 2020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</si>
  <si>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</si>
  <si>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</si>
  <si>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</si>
  <si>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</si>
  <si>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</si>
  <si>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</si>
  <si>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</si>
  <si>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</si>
  <si>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</si>
  <si>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 xml:space="preserve">Наименование разрабатываемого показателя УНЦ —  Постоянная часть ПС система пожарной и охранной сигнализации ПС 110 кВ 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</si>
  <si>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</si>
  <si>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</si>
  <si>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</si>
  <si>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2 кв. 2020 г., тыс. руб.</t>
  </si>
  <si>
    <t>Строительные работы</t>
  </si>
  <si>
    <t>Монтажные работы</t>
  </si>
  <si>
    <t>Прочее</t>
  </si>
  <si>
    <t>Всего</t>
  </si>
  <si>
    <t xml:space="preserve">Система пожарной и охранной сигнализации ПС 110 кВ </t>
  </si>
  <si>
    <t>Всего по объекту:</t>
  </si>
  <si>
    <t>Всего по объекту в сопоставимом уровне цен 2 кв. 2020 г:</t>
  </si>
  <si>
    <t xml:space="preserve">Приложение № 3 </t>
  </si>
  <si>
    <t>Объектная ресурсная ведомость</t>
  </si>
  <si>
    <t xml:space="preserve">Наименование разрабатываемого показателя УНЦ - Постоянная часть ПС система пожарной и охранной сигнализации ПС 110 кВ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</si>
  <si>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</si>
  <si>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</si>
  <si>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</si>
  <si>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</si>
  <si>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</si>
  <si>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</si>
  <si>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</si>
  <si>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</si>
  <si>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</si>
  <si>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</si>
  <si>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</si>
  <si>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</si>
  <si>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1-4-0</t>
  </si>
  <si>
    <t>Затраты труда рабочих (ср 4)</t>
  </si>
  <si>
    <t>чел.-ч</t>
  </si>
  <si>
    <t>1-3-8</t>
  </si>
  <si>
    <t>Затраты труда рабочих (ср 3,8)</t>
  </si>
  <si>
    <t>1-4-3</t>
  </si>
  <si>
    <t>Затраты труда рабочих (ср 4,3)</t>
  </si>
  <si>
    <t>1-4-2</t>
  </si>
  <si>
    <t>Затраты труда рабочих (ср 4,2)</t>
  </si>
  <si>
    <t>1-3-5</t>
  </si>
  <si>
    <t>Затраты труда рабочих (ср 3,5)</t>
  </si>
  <si>
    <t>1-4-6</t>
  </si>
  <si>
    <t>Затраты труда рабочих (ср 4,6)</t>
  </si>
  <si>
    <t>1-4-4</t>
  </si>
  <si>
    <t>Затраты труда рабочих (ср 4,4)</t>
  </si>
  <si>
    <t>1-4-5</t>
  </si>
  <si>
    <t>Затраты труда рабочих (ср 4,5)</t>
  </si>
  <si>
    <t>Затраты труда машинистов</t>
  </si>
  <si>
    <t>Машины и механизмы</t>
  </si>
  <si>
    <t>91.05.05-015</t>
  </si>
  <si>
    <t>Краны на автомобильном ходу, грузоподъемность 16 т</t>
  </si>
  <si>
    <t>маш.час</t>
  </si>
  <si>
    <t>91.14.02-001</t>
  </si>
  <si>
    <t>Автомобили бортовые, грузоподъемность до 5 т</t>
  </si>
  <si>
    <t>91.06.03-061</t>
  </si>
  <si>
    <t>Лебедки электрические тяговым усилием до 12,26 кН (1,25 т)</t>
  </si>
  <si>
    <t>91.06.01-003</t>
  </si>
  <si>
    <t>Домкраты гидравлические, грузоподъемность 63-100 т</t>
  </si>
  <si>
    <t>62.4.02.02-0041</t>
  </si>
  <si>
    <t>Источник резервного питания, марка: "РИП 12" исп. 06</t>
  </si>
  <si>
    <t>шт</t>
  </si>
  <si>
    <t>61.2.02.01-1004</t>
  </si>
  <si>
    <t>Извещатель пожарный дымовой ДИП-34А (ИП 212-34А) оптико-электронный адресно-аналоговый в комплекте с базой (розеткой)</t>
  </si>
  <si>
    <t>61.2.02.02-0001</t>
  </si>
  <si>
    <t>Извещатель адресный пожарный тепловой интеллектуальный ИП101-24А-A1R максимально-дифференциальный «Leonardo-Т», без базы (прим. марка "С2000-ИП")</t>
  </si>
  <si>
    <t>10 шт</t>
  </si>
  <si>
    <t>61.2.02.01-0095</t>
  </si>
  <si>
    <t>Извещатель пожарный дымовой: ИПДЛ</t>
  </si>
  <si>
    <t>61.2.04.05-0018</t>
  </si>
  <si>
    <t>Оповещатель охранно-пожарный звуковой, тип СВИРЕЛЬ-2 исп.00 6-15В/600мА</t>
  </si>
  <si>
    <t>61.2.04.07-0008</t>
  </si>
  <si>
    <t>Оповещатель световой МОЛНИЯ-12(24)</t>
  </si>
  <si>
    <t>61.2.07.02-0034</t>
  </si>
  <si>
    <t>Блок контрольно-пусковой, марка "С2000-КПБ"</t>
  </si>
  <si>
    <t>61.2.07.02-0042</t>
  </si>
  <si>
    <t>Блок контроля и индикации для работы в составе интегрированной системе охраны совместно с пультом контроля и управления, ручного управления 60 разделами системы и отображения с помощью встроенных индикаторов и звуковой сигнализации, количество кнопок для управления разделами 60, напряжение питания от 10.2 до 28 В, потребляемый ток, в дежурном режиме 200 мА</t>
  </si>
  <si>
    <t>61.2.07.04-0002</t>
  </si>
  <si>
    <t>Контроллер двухпроводной линии связи, марка "С2000-КДЛ"</t>
  </si>
  <si>
    <t>61.2.02.03-0025</t>
  </si>
  <si>
    <t>Извещатель пожарный ручной: ИПР-513-3 исп. 02</t>
  </si>
  <si>
    <t>61.2.07.02-0051</t>
  </si>
  <si>
    <t>Блоки разветвительно-изолирующие типа БРИЗ, для участка двухпроводной линии с коротким замыканием, размер не более 56х38х20 мм</t>
  </si>
  <si>
    <t>61.2.04.10-0005</t>
  </si>
  <si>
    <t>Пульт контроля и управления охранно-пожарный, марка "С2000"</t>
  </si>
  <si>
    <t>61.2.07.06-0005</t>
  </si>
  <si>
    <t>Расширитель адресный ("адресная метка"), марка "С2000-АР2" (прим. "С2000-АР8")</t>
  </si>
  <si>
    <t>100 шт</t>
  </si>
  <si>
    <t>Материалы</t>
  </si>
  <si>
    <t>21.1.08.01-0315</t>
  </si>
  <si>
    <t>Кабель пожарной сигнализации КПСЭнг(A)-FRLS 2х2х1</t>
  </si>
  <si>
    <t>1000 м</t>
  </si>
  <si>
    <t>01.7.15.07-0012</t>
  </si>
  <si>
    <t>Дюбели пластмассовые с шурупами, размер 12х70 мм</t>
  </si>
  <si>
    <t>10.3.02.03-0012</t>
  </si>
  <si>
    <t>Припои оловянно-свинцовые бессурьмянистые, марка ПОС40</t>
  </si>
  <si>
    <t>т</t>
  </si>
  <si>
    <t>10.3.02.03-0011</t>
  </si>
  <si>
    <t>Припои оловянно-свинцовые бессурьмянистые, марка ПОС30</t>
  </si>
  <si>
    <t>21.1.08.01-0313</t>
  </si>
  <si>
    <t>Кабель пожарной сигнализации КПСЭнг(A)-FRLS 1х2х1,5</t>
  </si>
  <si>
    <t>999-9950</t>
  </si>
  <si>
    <t>Вспомогательные ненормируемые ресурсы (2% от Оплаты труда рабочих)</t>
  </si>
  <si>
    <t>руб</t>
  </si>
  <si>
    <t>21.2.03.09-0105</t>
  </si>
  <si>
    <t>Провод силовой ПРТО 1х1,5-660</t>
  </si>
  <si>
    <t>22.2.02.23-0011</t>
  </si>
  <si>
    <t>Глухари</t>
  </si>
  <si>
    <t>01.7.06.05-0042</t>
  </si>
  <si>
    <t>Лента липкая изоляционная на поликасиновом компаунде, ширина 20-30 мм, толщина от 0,14 до 0,19 мм</t>
  </si>
  <si>
    <t>кг</t>
  </si>
  <si>
    <t>01.7.15.03-0042</t>
  </si>
  <si>
    <t>Болты с гайками и шайбами строительные</t>
  </si>
  <si>
    <t>01.3.05.17-0002</t>
  </si>
  <si>
    <t>Канифоль сосновая</t>
  </si>
  <si>
    <t>01.7.06.07-0002</t>
  </si>
  <si>
    <t>Лента монтажная, тип ЛМ-5</t>
  </si>
  <si>
    <t>10 м</t>
  </si>
  <si>
    <t>14.4.03.03-0002</t>
  </si>
  <si>
    <t>Лак битумный БТ-123</t>
  </si>
  <si>
    <t>03.1.01.01-0002</t>
  </si>
  <si>
    <t>Гипс строительный Г-3</t>
  </si>
  <si>
    <t>14.1.04.02-0002</t>
  </si>
  <si>
    <t>Клей 88-СА</t>
  </si>
  <si>
    <t>Приложение № 4</t>
  </si>
  <si>
    <t>Ресурсная модель</t>
  </si>
  <si>
    <t>Единица измерения  —  1 ПС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</si>
  <si>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</si>
  <si>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</si>
  <si>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</si>
  <si>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</si>
  <si>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</si>
  <si>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</si>
  <si>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</si>
  <si>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</si>
  <si>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</si>
  <si>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</si>
  <si>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</si>
  <si>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</si>
  <si>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</si>
  <si>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</si>
  <si>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</si>
  <si>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</si>
  <si>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</si>
  <si>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</si>
  <si>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</si>
  <si>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</si>
  <si>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</si>
  <si>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</si>
  <si>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</si>
  <si>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</si>
  <si>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</si>
  <si>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</si>
  <si>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</si>
  <si>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</si>
  <si>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</si>
  <si>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- 1,72%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</si>
  <si>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</si>
  <si>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</si>
  <si>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</si>
  <si>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</si>
  <si>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</si>
  <si>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</si>
  <si>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</si>
  <si>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</si>
  <si>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</si>
  <si>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</si>
  <si>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</si>
  <si>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</si>
  <si>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 xml:space="preserve">Постоянная часть ПС система пожарной и охранной сигнализации ПС 110 кВ 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</si>
  <si>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</si>
  <si>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</si>
  <si>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</si>
  <si>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</si>
  <si>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</si>
  <si>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(4,0)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</si>
  <si>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</si>
  <si>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</si>
  <si>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</si>
  <si>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</si>
  <si>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</si>
  <si>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</si>
  <si>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</si>
  <si>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</si>
  <si>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</si>
  <si>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</si>
  <si>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</si>
  <si>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</si>
  <si>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</si>
  <si>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</si>
  <si>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</si>
  <si>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</si>
  <si>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</si>
  <si>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</si>
  <si>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</si>
  <si>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</si>
  <si>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</si>
  <si>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  <family val="2"/>
        <charset val="204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</si>
  <si>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  <family val="2"/>
        <charset val="204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</si>
  <si>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</si>
  <si>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</si>
  <si>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</si>
  <si>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</si>
  <si>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</si>
  <si>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</si>
  <si>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</si>
  <si>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</si>
  <si>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</si>
  <si>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</si>
  <si>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</si>
  <si>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</si>
  <si>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 xml:space="preserve">З1 ПС система пожарной и охранной сигнализации ПС 110 кВ </t>
  </si>
  <si>
    <t xml:space="preserve">УНЦ комплекса систем безопасности ПС </t>
  </si>
  <si>
    <t>Составил ______________________      Д.Ю. Нефедова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</si>
  <si>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</si>
  <si>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</si>
  <si>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</si>
  <si>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</si>
  <si>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</si>
  <si>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</si>
  <si>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</si>
  <si>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</si>
  <si>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</si>
  <si>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</si>
  <si>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</si>
  <si>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</si>
  <si>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</si>
  <si>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</si>
  <si>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</si>
  <si>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</si>
  <si>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</si>
  <si>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</si>
  <si>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</si>
  <si>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  <family val="2"/>
        <charset val="204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</si>
  <si>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</si>
  <si>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</si>
  <si>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</si>
  <si>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</si>
  <si>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</si>
  <si>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</si>
  <si>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</si>
  <si>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</si>
  <si>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</si>
  <si>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  <family val="1"/>
        <charset val="204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</si>
  <si>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</si>
  <si>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</si>
  <si>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</si>
  <si>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</si>
  <si>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  <family val="1"/>
        <charset val="204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</si>
  <si>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</si>
  <si>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</si>
  <si>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</si>
  <si>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</si>
  <si>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</si>
  <si>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</si>
  <si>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</si>
  <si>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</si>
  <si>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</si>
  <si>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</si>
  <si>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</si>
  <si>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</si>
  <si>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</si>
  <si>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</si>
  <si>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</si>
  <si>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</si>
  <si>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</si>
  <si>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</si>
  <si>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), руб/чел.-ч</t>
    </r>
  </si>
  <si>
    <r>
      <t>ФОТ</t>
    </r>
    <r>
      <rPr>
        <vertAlign val="subscript"/>
        <sz val="12"/>
        <color rgb="FF000000"/>
        <rFont val="Times New Roman"/>
        <family val="1"/>
        <charset val="204"/>
      </rPr>
      <t>р.тек.</t>
    </r>
  </si>
  <si>
    <r>
      <t>(С</t>
    </r>
    <r>
      <rPr>
        <vertAlign val="subscript"/>
        <sz val="12"/>
        <color rgb="FF000000"/>
        <rFont val="Times New Roman"/>
        <family val="1"/>
        <charset val="204"/>
      </rPr>
      <t>1ср</t>
    </r>
    <r>
      <rPr>
        <sz val="12"/>
        <color rgb="FF000000"/>
        <rFont val="Times New Roman"/>
        <family val="1"/>
        <charset val="204"/>
      </rPr>
      <t>/t</t>
    </r>
    <r>
      <rPr>
        <vertAlign val="subscript"/>
        <sz val="12"/>
        <color rgb="FF000000"/>
        <rFont val="Times New Roman"/>
        <family val="1"/>
        <charset val="204"/>
      </rPr>
      <t>ср</t>
    </r>
    <r>
      <rPr>
        <sz val="12"/>
        <color rgb="FF000000"/>
        <rFont val="Times New Roman"/>
        <family val="1"/>
        <charset val="204"/>
      </rPr>
      <t>*К</t>
    </r>
    <r>
      <rPr>
        <vertAlign val="subscript"/>
        <sz val="12"/>
        <color rgb="FF000000"/>
        <rFont val="Times New Roman"/>
        <family val="1"/>
        <charset val="204"/>
      </rPr>
      <t>Т</t>
    </r>
    <r>
      <rPr>
        <sz val="12"/>
        <color rgb="FF000000"/>
        <rFont val="Times New Roman"/>
        <family val="1"/>
        <charset val="204"/>
      </rPr>
      <t>*Т*Кув)*К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</si>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</sst>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#,##0.0"/>
    <numFmt numFmtId="169" formatCode="#,##0.000"/>
    <numFmt numFmtId="170" formatCode="0.000"/>
  </numFmts>
  <fonts count="30" x14ac:knownFonts="1">
    <font>
      <sz val="11"/>
      <color rgb="FF000000"/>
      <name val="Calibri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i/>
      <sz val="8"/>
      <color rgb="FFFF0000"/>
      <name val="Arial"/>
      <family val="2"/>
      <charset val="204"/>
    </font>
    <font>
      <i/>
      <sz val="8"/>
      <color rgb="FF000000"/>
      <name val="Arial"/>
      <family val="2"/>
      <charset val="204"/>
    </font>
    <font>
      <i/>
      <sz val="11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sz val="18"/>
      <color rgb="FF000000"/>
      <name val="Arial"/>
      <family val="2"/>
      <charset val="204"/>
    </font>
    <font>
      <b/>
      <sz val="9"/>
      <color rgb="FFFF0000"/>
      <name val="Arial"/>
      <family val="2"/>
      <charset val="204"/>
    </font>
    <font>
      <i/>
      <sz val="10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  <font>
      <sz val="11"/>
      <color rgb="FFFF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2"/>
      <color rgb="FF0563C1"/>
      <name val="Times New Roman"/>
      <family val="1"/>
      <charset val="204"/>
    </font>
    <font>
      <i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0"/>
      <color rgb="FF000000"/>
      <name val="Arial"/>
      <family val="2"/>
      <charset val="204"/>
    </font>
    <font>
      <b/>
      <vertAlign val="subscript"/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9"/>
      <color rgb="FF000000"/>
      <name val="Tahoma"/>
      <family val="2"/>
      <charset val="204"/>
    </font>
    <font>
      <b/>
      <sz val="9"/>
      <color rgb="FF000000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9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10" fontId="16" fillId="0" borderId="0" xfId="0" applyNumberFormat="1" applyFont="1"/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/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8" fillId="0" borderId="1" xfId="0" applyNumberFormat="1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8" fillId="0" borderId="1" xfId="0" applyNumberFormat="1" applyFont="1" applyBorder="1" applyAlignment="1">
      <alignment vertical="top"/>
    </xf>
    <xf numFmtId="0" fontId="18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4" fontId="16" fillId="0" borderId="1" xfId="0" applyNumberFormat="1" applyFont="1" applyBorder="1" applyAlignment="1">
      <alignment vertical="top"/>
    </xf>
    <xf numFmtId="10" fontId="0" fillId="0" borderId="0" xfId="0" applyNumberFormat="1"/>
    <xf numFmtId="0" fontId="1" fillId="0" borderId="0" xfId="0" applyFont="1" applyAlignment="1">
      <alignment horizontal="justify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10" fontId="19" fillId="0" borderId="1" xfId="0" applyNumberFormat="1" applyFont="1" applyBorder="1" applyAlignment="1">
      <alignment horizontal="center" vertical="top" wrapText="1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20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10" fontId="16" fillId="0" borderId="1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horizontal="justify" vertical="center"/>
    </xf>
    <xf numFmtId="49" fontId="16" fillId="0" borderId="0" xfId="0" applyNumberFormat="1" applyFont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" fontId="16" fillId="0" borderId="1" xfId="0" applyNumberFormat="1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4" fontId="18" fillId="0" borderId="1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8" fillId="0" borderId="1" xfId="0" applyFont="1" applyBorder="1" applyAlignment="1">
      <alignment vertical="top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170" fontId="1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left" vertical="center" wrapText="1"/>
    </xf>
    <xf numFmtId="4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 wrapText="1"/>
    </xf>
    <xf numFmtId="4" fontId="16" fillId="0" borderId="0" xfId="0" applyNumberFormat="1" applyFont="1" applyAlignment="1">
      <alignment horizontal="left" vertical="center" wrapText="1"/>
    </xf>
    <xf numFmtId="4" fontId="16" fillId="0" borderId="1" xfId="0" applyNumberFormat="1" applyFont="1" applyBorder="1" applyAlignment="1">
      <alignment vertical="center" wrapText="1"/>
    </xf>
    <xf numFmtId="0" fontId="16" fillId="0" borderId="1" xfId="0" applyFont="1" applyBorder="1" applyAlignment="1">
      <alignment vertical="top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 wrapText="1"/>
    </xf>
    <xf numFmtId="0" fontId="16" fillId="0" borderId="0" xfId="0" applyFont="1" applyAlignment="1">
      <alignment horizontal="justify" vertical="center"/>
    </xf>
    <xf numFmtId="0" fontId="18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6" xfId="0" applyNumberFormat="1" applyFont="1" applyBorder="1" applyAlignment="1">
      <alignment horizontal="center" vertical="center"/>
    </xf>
    <xf numFmtId="2" fontId="18" fillId="0" borderId="2" xfId="0" applyNumberFormat="1" applyFont="1" applyBorder="1" applyAlignment="1">
      <alignment horizontal="center" vertical="center" wrapText="1"/>
    </xf>
    <xf numFmtId="2" fontId="18" fillId="0" borderId="6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3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196" t="s">
        <v>0</v>
      </c>
      <c r="B2" s="196"/>
      <c r="C2" s="196"/>
    </row>
    <row r="3" spans="1:3" x14ac:dyDescent="0.25">
      <c r="A3" s="1"/>
      <c r="B3" s="1"/>
      <c r="C3" s="1"/>
    </row>
    <row r="4" spans="1:3" x14ac:dyDescent="0.25">
      <c r="A4" s="197" t="s">
        <v>1</v>
      </c>
      <c r="B4" s="197"/>
      <c r="C4" s="197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99" t="s">
        <v>2</v>
      </c>
      <c r="B6" s="198" t="s">
        <v>3</v>
      </c>
      <c r="C6" s="198"/>
    </row>
    <row r="7" spans="1:3" x14ac:dyDescent="0.25">
      <c r="A7" s="100" t="s">
        <v>4</v>
      </c>
      <c r="B7" s="1"/>
      <c r="C7" s="1"/>
    </row>
    <row r="8" spans="1:3" x14ac:dyDescent="0.25">
      <c r="A8" s="100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1" t="s">
        <v>8</v>
      </c>
      <c r="B10" s="102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7"/>
  <sheetViews>
    <sheetView view="pageBreakPreview" workbookViewId="0">
      <selection activeCell="D14" sqref="D14"/>
    </sheetView>
  </sheetViews>
  <sheetFormatPr defaultRowHeight="15" x14ac:dyDescent="0.25"/>
  <cols>
    <col min="1" max="1" width="27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113"/>
      <c r="B1" s="113"/>
      <c r="C1" s="113"/>
      <c r="D1" s="113" t="s">
        <v>283</v>
      </c>
    </row>
    <row r="2" spans="1:4" ht="15.75" customHeight="1" x14ac:dyDescent="0.25">
      <c r="A2" s="113"/>
      <c r="B2" s="113"/>
      <c r="C2" s="113"/>
      <c r="D2" s="113"/>
    </row>
    <row r="3" spans="1:4" ht="15.75" customHeight="1" x14ac:dyDescent="0.25">
      <c r="A3" s="113"/>
      <c r="B3" s="138" t="s">
        <v>284</v>
      </c>
      <c r="C3" s="113"/>
      <c r="D3" s="113"/>
    </row>
    <row r="4" spans="1:4" ht="15.75" customHeight="1" x14ac:dyDescent="0.25">
      <c r="A4" s="113"/>
      <c r="B4" s="113"/>
      <c r="C4" s="113"/>
      <c r="D4" s="113"/>
    </row>
    <row r="5" spans="1:4" ht="31.7" customHeight="1" x14ac:dyDescent="0.25">
      <c r="A5" s="245" t="s">
        <v>285</v>
      </c>
      <c r="B5" s="245"/>
      <c r="C5" s="245"/>
      <c r="D5" s="193" t="str">
        <f>'Прил.5 Расчет СМР и ОБ'!D6:J6</f>
        <v xml:space="preserve">Постоянная часть ПС система пожарной и охранной сигнализации ПС 110 кВ </v>
      </c>
    </row>
    <row r="6" spans="1:4" ht="15.75" customHeight="1" x14ac:dyDescent="0.25">
      <c r="A6" s="113" t="s">
        <v>49</v>
      </c>
      <c r="B6" s="113"/>
      <c r="C6" s="113"/>
      <c r="D6" s="113"/>
    </row>
    <row r="7" spans="1:4" ht="15.75" customHeight="1" x14ac:dyDescent="0.25">
      <c r="A7" s="113"/>
      <c r="B7" s="113"/>
      <c r="C7" s="113"/>
      <c r="D7" s="113"/>
    </row>
    <row r="8" spans="1:4" x14ac:dyDescent="0.25">
      <c r="A8" s="209" t="s">
        <v>5</v>
      </c>
      <c r="B8" s="209" t="s">
        <v>6</v>
      </c>
      <c r="C8" s="209" t="s">
        <v>286</v>
      </c>
      <c r="D8" s="209" t="s">
        <v>287</v>
      </c>
    </row>
    <row r="9" spans="1:4" x14ac:dyDescent="0.25">
      <c r="A9" s="209"/>
      <c r="B9" s="209"/>
      <c r="C9" s="209"/>
      <c r="D9" s="209"/>
    </row>
    <row r="10" spans="1:4" ht="15.75" customHeight="1" x14ac:dyDescent="0.25">
      <c r="A10" s="116">
        <v>1</v>
      </c>
      <c r="B10" s="116">
        <v>2</v>
      </c>
      <c r="C10" s="116">
        <v>3</v>
      </c>
      <c r="D10" s="116">
        <v>4</v>
      </c>
    </row>
    <row r="11" spans="1:4" ht="63" customHeight="1" x14ac:dyDescent="0.25">
      <c r="A11" s="116" t="s">
        <v>288</v>
      </c>
      <c r="B11" s="116" t="s">
        <v>289</v>
      </c>
      <c r="C11" s="194" t="str">
        <f>D5</f>
        <v xml:space="preserve">Постоянная часть ПС система пожарной и охранной сигнализации ПС 110 кВ </v>
      </c>
      <c r="D11" s="176">
        <f>'Прил.4 РМ'!C41/1000</f>
        <v>3043.5642200000002</v>
      </c>
    </row>
    <row r="13" spans="1:4" x14ac:dyDescent="0.25">
      <c r="A13" s="4" t="s">
        <v>290</v>
      </c>
      <c r="B13" s="12"/>
      <c r="C13" s="12"/>
      <c r="D13" s="24"/>
    </row>
    <row r="14" spans="1:4" x14ac:dyDescent="0.25">
      <c r="A14" s="166" t="s">
        <v>76</v>
      </c>
      <c r="B14" s="12"/>
      <c r="C14" s="12"/>
      <c r="D14" s="24"/>
    </row>
    <row r="15" spans="1:4" x14ac:dyDescent="0.25">
      <c r="A15" s="4"/>
      <c r="B15" s="12"/>
      <c r="C15" s="12"/>
      <c r="D15" s="24"/>
    </row>
    <row r="16" spans="1:4" x14ac:dyDescent="0.25">
      <c r="A16" s="4" t="s">
        <v>77</v>
      </c>
      <c r="B16" s="12"/>
      <c r="C16" s="12"/>
      <c r="D16" s="24"/>
    </row>
    <row r="17" spans="1:4" x14ac:dyDescent="0.25">
      <c r="A17" s="166" t="s">
        <v>78</v>
      </c>
      <c r="B17" s="12"/>
      <c r="C17" s="12"/>
      <c r="D17" s="24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68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:E31"/>
  <sheetViews>
    <sheetView zoomScale="85" zoomScaleNormal="85" workbookViewId="0">
      <selection activeCell="O9" sqref="O9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203" t="s">
        <v>291</v>
      </c>
      <c r="C4" s="203"/>
      <c r="D4" s="203"/>
    </row>
    <row r="5" spans="2:5" ht="18.75" customHeight="1" x14ac:dyDescent="0.25">
      <c r="B5" s="169"/>
    </row>
    <row r="6" spans="2:5" ht="15.75" customHeight="1" x14ac:dyDescent="0.25">
      <c r="B6" s="204" t="s">
        <v>292</v>
      </c>
      <c r="C6" s="204"/>
      <c r="D6" s="204"/>
    </row>
    <row r="7" spans="2:5" x14ac:dyDescent="0.25">
      <c r="B7" s="246"/>
      <c r="C7" s="246"/>
      <c r="D7" s="246"/>
      <c r="E7" s="246"/>
    </row>
    <row r="8" spans="2:5" x14ac:dyDescent="0.25">
      <c r="B8" s="170"/>
      <c r="C8" s="170"/>
      <c r="D8" s="170"/>
      <c r="E8" s="170"/>
    </row>
    <row r="9" spans="2:5" ht="47.25" customHeight="1" x14ac:dyDescent="0.25">
      <c r="B9" s="116" t="s">
        <v>293</v>
      </c>
      <c r="C9" s="116" t="s">
        <v>294</v>
      </c>
      <c r="D9" s="116" t="s">
        <v>295</v>
      </c>
    </row>
    <row r="10" spans="2:5" ht="15.75" customHeight="1" x14ac:dyDescent="0.25">
      <c r="B10" s="116">
        <v>1</v>
      </c>
      <c r="C10" s="116">
        <v>2</v>
      </c>
      <c r="D10" s="116">
        <v>3</v>
      </c>
    </row>
    <row r="11" spans="2:5" ht="45" customHeight="1" x14ac:dyDescent="0.25">
      <c r="B11" s="116" t="s">
        <v>296</v>
      </c>
      <c r="C11" s="116" t="s">
        <v>297</v>
      </c>
      <c r="D11" s="116">
        <v>44.29</v>
      </c>
    </row>
    <row r="12" spans="2:5" ht="29.25" customHeight="1" x14ac:dyDescent="0.25">
      <c r="B12" s="116" t="s">
        <v>298</v>
      </c>
      <c r="C12" s="116" t="s">
        <v>297</v>
      </c>
      <c r="D12" s="116">
        <v>13.47</v>
      </c>
    </row>
    <row r="13" spans="2:5" ht="29.25" customHeight="1" x14ac:dyDescent="0.25">
      <c r="B13" s="116" t="s">
        <v>299</v>
      </c>
      <c r="C13" s="116" t="s">
        <v>297</v>
      </c>
      <c r="D13" s="116">
        <v>8.0399999999999991</v>
      </c>
    </row>
    <row r="14" spans="2:5" ht="30.75" customHeight="1" x14ac:dyDescent="0.25">
      <c r="B14" s="116" t="s">
        <v>300</v>
      </c>
      <c r="C14" s="119" t="s">
        <v>301</v>
      </c>
      <c r="D14" s="116">
        <v>6.26</v>
      </c>
    </row>
    <row r="15" spans="2:5" ht="89.45" customHeight="1" x14ac:dyDescent="0.25">
      <c r="B15" s="116" t="s">
        <v>302</v>
      </c>
      <c r="C15" s="116" t="s">
        <v>303</v>
      </c>
      <c r="D15" s="171">
        <v>3.9E-2</v>
      </c>
    </row>
    <row r="16" spans="2:5" ht="78.75" customHeight="1" x14ac:dyDescent="0.25">
      <c r="B16" s="116" t="s">
        <v>304</v>
      </c>
      <c r="C16" s="116" t="s">
        <v>305</v>
      </c>
      <c r="D16" s="171">
        <v>2.1000000000000001E-2</v>
      </c>
    </row>
    <row r="17" spans="2:4" ht="34.5" customHeight="1" x14ac:dyDescent="0.25">
      <c r="B17" s="116"/>
      <c r="C17" s="116"/>
      <c r="D17" s="116"/>
    </row>
    <row r="18" spans="2:4" ht="31.7" customHeight="1" x14ac:dyDescent="0.25">
      <c r="B18" s="116" t="s">
        <v>306</v>
      </c>
      <c r="C18" s="116" t="s">
        <v>307</v>
      </c>
      <c r="D18" s="171">
        <v>2.1399999999999999E-2</v>
      </c>
    </row>
    <row r="19" spans="2:4" ht="31.7" customHeight="1" x14ac:dyDescent="0.25">
      <c r="B19" s="116" t="s">
        <v>234</v>
      </c>
      <c r="C19" s="116" t="s">
        <v>308</v>
      </c>
      <c r="D19" s="171">
        <v>2E-3</v>
      </c>
    </row>
    <row r="20" spans="2:4" ht="24" customHeight="1" x14ac:dyDescent="0.25">
      <c r="B20" s="116" t="s">
        <v>236</v>
      </c>
      <c r="C20" s="116" t="s">
        <v>309</v>
      </c>
      <c r="D20" s="171">
        <v>0.03</v>
      </c>
    </row>
    <row r="21" spans="2:4" ht="18.75" customHeight="1" x14ac:dyDescent="0.25">
      <c r="B21" s="172"/>
    </row>
    <row r="22" spans="2:4" ht="18.75" customHeight="1" x14ac:dyDescent="0.25">
      <c r="B22" s="172"/>
    </row>
    <row r="23" spans="2:4" ht="18.75" customHeight="1" x14ac:dyDescent="0.25">
      <c r="B23" s="172"/>
    </row>
    <row r="24" spans="2:4" ht="18.75" customHeight="1" x14ac:dyDescent="0.25">
      <c r="B24" s="172"/>
    </row>
    <row r="27" spans="2:4" x14ac:dyDescent="0.25">
      <c r="B27" s="4" t="s">
        <v>310</v>
      </c>
      <c r="C27" s="12"/>
    </row>
    <row r="28" spans="2:4" x14ac:dyDescent="0.25">
      <c r="B28" s="166" t="s">
        <v>76</v>
      </c>
      <c r="C28" s="12"/>
    </row>
    <row r="29" spans="2:4" x14ac:dyDescent="0.25">
      <c r="B29" s="4"/>
      <c r="C29" s="12"/>
    </row>
    <row r="30" spans="2:4" x14ac:dyDescent="0.25">
      <c r="B30" s="4" t="s">
        <v>275</v>
      </c>
      <c r="C30" s="12"/>
    </row>
    <row r="31" spans="2:4" x14ac:dyDescent="0.25">
      <c r="B31" s="166" t="s">
        <v>78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J8" sqref="J8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45" customHeight="1" x14ac:dyDescent="0.25">
      <c r="A2" s="204" t="s">
        <v>311</v>
      </c>
      <c r="B2" s="204"/>
      <c r="C2" s="204"/>
      <c r="D2" s="204"/>
      <c r="E2" s="204"/>
      <c r="F2" s="204"/>
    </row>
    <row r="4" spans="1:7" ht="18" customHeight="1" x14ac:dyDescent="0.25">
      <c r="A4" s="173" t="s">
        <v>312</v>
      </c>
      <c r="B4" s="113"/>
      <c r="C4" s="113"/>
      <c r="D4" s="113"/>
      <c r="E4" s="113"/>
      <c r="F4" s="113"/>
      <c r="G4" s="113"/>
    </row>
    <row r="5" spans="1:7" ht="15.75" customHeight="1" x14ac:dyDescent="0.25">
      <c r="A5" s="174" t="s">
        <v>13</v>
      </c>
      <c r="B5" s="174" t="s">
        <v>313</v>
      </c>
      <c r="C5" s="174" t="s">
        <v>314</v>
      </c>
      <c r="D5" s="174" t="s">
        <v>315</v>
      </c>
      <c r="E5" s="174" t="s">
        <v>316</v>
      </c>
      <c r="F5" s="174" t="s">
        <v>317</v>
      </c>
      <c r="G5" s="113"/>
    </row>
    <row r="6" spans="1:7" ht="15.75" customHeight="1" x14ac:dyDescent="0.25">
      <c r="A6" s="174">
        <v>1</v>
      </c>
      <c r="B6" s="174">
        <v>2</v>
      </c>
      <c r="C6" s="174">
        <v>3</v>
      </c>
      <c r="D6" s="174">
        <v>4</v>
      </c>
      <c r="E6" s="174">
        <v>5</v>
      </c>
      <c r="F6" s="174">
        <v>6</v>
      </c>
      <c r="G6" s="113"/>
    </row>
    <row r="7" spans="1:7" ht="110.25" customHeight="1" x14ac:dyDescent="0.25">
      <c r="A7" s="175" t="s">
        <v>318</v>
      </c>
      <c r="B7" s="118" t="s">
        <v>319</v>
      </c>
      <c r="C7" s="116" t="s">
        <v>320</v>
      </c>
      <c r="D7" s="116" t="s">
        <v>321</v>
      </c>
      <c r="E7" s="176">
        <v>47872.94</v>
      </c>
      <c r="F7" s="118" t="s">
        <v>322</v>
      </c>
      <c r="G7" s="113"/>
    </row>
    <row r="8" spans="1:7" ht="31.7" customHeight="1" x14ac:dyDescent="0.25">
      <c r="A8" s="175" t="s">
        <v>323</v>
      </c>
      <c r="B8" s="118" t="s">
        <v>324</v>
      </c>
      <c r="C8" s="116" t="s">
        <v>325</v>
      </c>
      <c r="D8" s="116" t="s">
        <v>326</v>
      </c>
      <c r="E8" s="176">
        <f>1973/12</f>
        <v>164.41666666667001</v>
      </c>
      <c r="F8" s="118" t="s">
        <v>327</v>
      </c>
      <c r="G8" s="177"/>
    </row>
    <row r="9" spans="1:7" ht="15.75" customHeight="1" x14ac:dyDescent="0.25">
      <c r="A9" s="175" t="s">
        <v>328</v>
      </c>
      <c r="B9" s="118" t="s">
        <v>329</v>
      </c>
      <c r="C9" s="116" t="s">
        <v>330</v>
      </c>
      <c r="D9" s="116" t="s">
        <v>321</v>
      </c>
      <c r="E9" s="176">
        <v>1</v>
      </c>
      <c r="F9" s="118"/>
      <c r="G9" s="177"/>
    </row>
    <row r="10" spans="1:7" ht="15.75" customHeight="1" x14ac:dyDescent="0.25">
      <c r="A10" s="175" t="s">
        <v>331</v>
      </c>
      <c r="B10" s="118" t="s">
        <v>332</v>
      </c>
      <c r="C10" s="116"/>
      <c r="D10" s="116"/>
      <c r="E10" s="178">
        <v>4</v>
      </c>
      <c r="F10" s="118" t="s">
        <v>333</v>
      </c>
      <c r="G10" s="177"/>
    </row>
    <row r="11" spans="1:7" ht="78.75" customHeight="1" x14ac:dyDescent="0.25">
      <c r="A11" s="175" t="s">
        <v>334</v>
      </c>
      <c r="B11" s="118" t="s">
        <v>335</v>
      </c>
      <c r="C11" s="116" t="s">
        <v>336</v>
      </c>
      <c r="D11" s="116" t="s">
        <v>321</v>
      </c>
      <c r="E11" s="179">
        <v>1.34</v>
      </c>
      <c r="F11" s="118" t="s">
        <v>337</v>
      </c>
      <c r="G11" s="113"/>
    </row>
    <row r="12" spans="1:7" ht="78.75" customHeight="1" x14ac:dyDescent="0.25">
      <c r="A12" s="175" t="s">
        <v>338</v>
      </c>
      <c r="B12" s="117" t="s">
        <v>339</v>
      </c>
      <c r="C12" s="116" t="s">
        <v>340</v>
      </c>
      <c r="D12" s="116" t="s">
        <v>321</v>
      </c>
      <c r="E12" s="180">
        <v>1.139</v>
      </c>
      <c r="F12" s="181" t="s">
        <v>341</v>
      </c>
      <c r="G12" s="177" t="s">
        <v>342</v>
      </c>
    </row>
    <row r="13" spans="1:7" ht="63" customHeight="1" x14ac:dyDescent="0.25">
      <c r="A13" s="175" t="s">
        <v>343</v>
      </c>
      <c r="B13" s="132" t="s">
        <v>344</v>
      </c>
      <c r="C13" s="116" t="s">
        <v>345</v>
      </c>
      <c r="D13" s="116" t="s">
        <v>346</v>
      </c>
      <c r="E13" s="182">
        <f>((E7*E9/E8)*E11)*E12</f>
        <v>444.39870291576</v>
      </c>
      <c r="F13" s="118" t="s">
        <v>347</v>
      </c>
      <c r="G13" s="113"/>
    </row>
  </sheetData>
  <mergeCells count="1">
    <mergeCell ref="A2:F2"/>
  </mergeCells>
  <hyperlinks>
    <hyperlink ref="G12" r:id="rId1" xr:uid="{00000000-0004-0000-0B00-000000000000}"/>
  </hyperlinks>
  <pageMargins left="0.7" right="0.7" top="0.75" bottom="0.75" header="0.3" footer="0.3"/>
  <pageSetup paperSize="9" scale="57" fitToHeight="0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7" customFormat="1" ht="29.45" customHeight="1" x14ac:dyDescent="0.2">
      <c r="A1" s="247" t="s">
        <v>348</v>
      </c>
      <c r="B1" s="247"/>
      <c r="C1" s="247"/>
      <c r="D1" s="247"/>
      <c r="E1" s="247"/>
      <c r="F1" s="247"/>
      <c r="G1" s="247"/>
      <c r="H1" s="247"/>
      <c r="I1" s="247"/>
    </row>
    <row r="2" spans="1:13" s="27" customFormat="1" ht="13.7" customHeight="1" x14ac:dyDescent="0.2">
      <c r="A2" s="28"/>
      <c r="B2" s="28"/>
      <c r="C2" s="28"/>
      <c r="D2" s="28"/>
      <c r="E2" s="28"/>
      <c r="F2" s="28"/>
      <c r="G2" s="28"/>
      <c r="H2" s="28"/>
      <c r="I2" s="28"/>
    </row>
    <row r="3" spans="1:13" s="27" customFormat="1" ht="34.5" customHeight="1" x14ac:dyDescent="0.2">
      <c r="A3" s="199" t="e">
        <f>#REF!</f>
        <v>#REF!</v>
      </c>
      <c r="B3" s="199"/>
      <c r="C3" s="199"/>
      <c r="D3" s="199"/>
      <c r="E3" s="199"/>
      <c r="F3" s="199"/>
      <c r="G3" s="199"/>
      <c r="H3" s="199"/>
      <c r="I3" s="199"/>
    </row>
    <row r="4" spans="1:13" s="4" customFormat="1" ht="15.75" customHeight="1" x14ac:dyDescent="0.2">
      <c r="A4" s="248"/>
      <c r="B4" s="248"/>
      <c r="C4" s="248"/>
      <c r="D4" s="248"/>
      <c r="E4" s="248"/>
      <c r="F4" s="248"/>
      <c r="G4" s="248"/>
      <c r="H4" s="248"/>
      <c r="I4" s="248"/>
    </row>
    <row r="5" spans="1:13" s="29" customFormat="1" ht="36.75" customHeight="1" x14ac:dyDescent="0.35">
      <c r="A5" s="249" t="s">
        <v>13</v>
      </c>
      <c r="B5" s="249" t="s">
        <v>349</v>
      </c>
      <c r="C5" s="249" t="s">
        <v>350</v>
      </c>
      <c r="D5" s="249" t="s">
        <v>351</v>
      </c>
      <c r="E5" s="244" t="s">
        <v>352</v>
      </c>
      <c r="F5" s="244"/>
      <c r="G5" s="244"/>
      <c r="H5" s="244"/>
      <c r="I5" s="244"/>
    </row>
    <row r="6" spans="1:13" s="24" customFormat="1" ht="31.7" customHeight="1" x14ac:dyDescent="0.2">
      <c r="A6" s="249"/>
      <c r="B6" s="249"/>
      <c r="C6" s="249"/>
      <c r="D6" s="249"/>
      <c r="E6" s="30" t="s">
        <v>86</v>
      </c>
      <c r="F6" s="30" t="s">
        <v>87</v>
      </c>
      <c r="G6" s="30" t="s">
        <v>43</v>
      </c>
      <c r="H6" s="30" t="s">
        <v>353</v>
      </c>
      <c r="I6" s="30" t="s">
        <v>354</v>
      </c>
    </row>
    <row r="7" spans="1:13" s="24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4" customFormat="1" ht="13.15" customHeight="1" x14ac:dyDescent="0.2">
      <c r="A8" s="31">
        <v>1</v>
      </c>
      <c r="B8" s="32"/>
      <c r="C8" s="8" t="s">
        <v>224</v>
      </c>
      <c r="D8" s="33"/>
      <c r="E8" s="26">
        <f>'4.3 Отдел 2. Тех.характеристики'!H4/1000</f>
        <v>3.98509</v>
      </c>
      <c r="F8" s="26">
        <f>'4.3 Отдел 2. Тех.характеристики'!I4/1000</f>
        <v>3.1536300000000002</v>
      </c>
      <c r="G8" s="26">
        <f>'4.3 Отдел 2. Тех.характеристики'!J4/1000</f>
        <v>94.532139999999998</v>
      </c>
      <c r="H8" s="26"/>
      <c r="I8" s="26">
        <f>E8+F8+G8</f>
        <v>101.67086</v>
      </c>
      <c r="K8" s="34"/>
      <c r="L8" s="34"/>
      <c r="M8" s="34"/>
    </row>
    <row r="9" spans="1:13" s="24" customFormat="1" ht="38.25" customHeight="1" x14ac:dyDescent="0.2">
      <c r="A9" s="31">
        <v>2</v>
      </c>
      <c r="B9" s="8" t="s">
        <v>355</v>
      </c>
      <c r="C9" s="8" t="s">
        <v>356</v>
      </c>
      <c r="D9" s="104">
        <v>3.9E-2</v>
      </c>
      <c r="E9" s="26">
        <f>E8*D9</f>
        <v>0.15541851000000001</v>
      </c>
      <c r="F9" s="26">
        <f>F8*D9</f>
        <v>0.12299156999999999</v>
      </c>
      <c r="G9" s="26"/>
      <c r="H9" s="26"/>
      <c r="I9" s="26">
        <f>E9+F9</f>
        <v>0.27841008</v>
      </c>
    </row>
    <row r="10" spans="1:13" s="24" customFormat="1" ht="13.15" customHeight="1" x14ac:dyDescent="0.2">
      <c r="A10" s="31"/>
      <c r="B10" s="8"/>
      <c r="C10" s="8"/>
      <c r="D10" s="16"/>
      <c r="E10" s="26"/>
      <c r="F10" s="26"/>
      <c r="G10" s="26"/>
      <c r="H10" s="26"/>
      <c r="I10" s="26"/>
    </row>
    <row r="11" spans="1:13" s="24" customFormat="1" ht="51" customHeight="1" x14ac:dyDescent="0.2">
      <c r="A11" s="31">
        <v>3</v>
      </c>
      <c r="B11" s="8" t="s">
        <v>357</v>
      </c>
      <c r="C11" s="8" t="s">
        <v>304</v>
      </c>
      <c r="D11" s="104">
        <v>2.1000000000000001E-2</v>
      </c>
      <c r="E11" s="26">
        <f>(E8+E9)*D11</f>
        <v>8.6950678710000007E-2</v>
      </c>
      <c r="F11" s="26"/>
      <c r="G11" s="26"/>
      <c r="H11" s="26" t="s">
        <v>107</v>
      </c>
      <c r="I11" s="26">
        <f>E11</f>
        <v>8.6950678710000007E-2</v>
      </c>
    </row>
    <row r="12" spans="1:13" s="24" customFormat="1" ht="45" customHeight="1" x14ac:dyDescent="0.2">
      <c r="A12" s="31">
        <v>4</v>
      </c>
      <c r="B12" s="8" t="s">
        <v>358</v>
      </c>
      <c r="C12" s="8" t="s">
        <v>359</v>
      </c>
      <c r="D12" s="16">
        <v>5.6000000000000001E-2</v>
      </c>
      <c r="E12" s="26"/>
      <c r="F12" s="26"/>
      <c r="G12" s="26"/>
      <c r="H12" s="26">
        <f>(G8+F8)*D12</f>
        <v>5.4704031200000003</v>
      </c>
      <c r="I12" s="26">
        <f>H12</f>
        <v>5.4704031200000003</v>
      </c>
      <c r="J12" s="35" t="s">
        <v>360</v>
      </c>
    </row>
    <row r="13" spans="1:13" s="24" customFormat="1" ht="13.15" customHeight="1" x14ac:dyDescent="0.2">
      <c r="A13" s="31"/>
      <c r="B13" s="8"/>
      <c r="C13" s="8"/>
      <c r="D13" s="16"/>
      <c r="E13" s="26"/>
      <c r="F13" s="26"/>
      <c r="G13" s="26"/>
      <c r="H13" s="26"/>
      <c r="I13" s="26"/>
    </row>
    <row r="14" spans="1:13" s="24" customFormat="1" ht="39.6" customHeight="1" x14ac:dyDescent="0.2">
      <c r="A14" s="31">
        <v>5</v>
      </c>
      <c r="B14" s="8" t="s">
        <v>307</v>
      </c>
      <c r="C14" s="8" t="s">
        <v>361</v>
      </c>
      <c r="D14" s="104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6"/>
      <c r="F14" s="26"/>
      <c r="G14" s="26"/>
      <c r="H14" s="26">
        <f>(I8+I9+I11+I12)*D14*1</f>
        <v>2.3006417510044002</v>
      </c>
      <c r="I14" s="26">
        <f>H14</f>
        <v>2.3006417510044002</v>
      </c>
      <c r="J14" s="36">
        <f>(I8+I9+I11+I12)/1000</f>
        <v>0.10750662387871</v>
      </c>
    </row>
    <row r="15" spans="1:13" s="24" customFormat="1" ht="13.15" customHeight="1" x14ac:dyDescent="0.2">
      <c r="A15" s="31"/>
      <c r="B15" s="8"/>
      <c r="C15" s="8"/>
      <c r="D15" s="16"/>
      <c r="E15" s="26"/>
      <c r="F15" s="26"/>
      <c r="G15" s="26"/>
      <c r="H15" s="26"/>
      <c r="I15" s="26"/>
    </row>
    <row r="16" spans="1:13" s="24" customFormat="1" ht="39.6" customHeight="1" x14ac:dyDescent="0.2">
      <c r="A16" s="31">
        <v>6</v>
      </c>
      <c r="B16" s="8" t="s">
        <v>362</v>
      </c>
      <c r="C16" s="8" t="s">
        <v>363</v>
      </c>
      <c r="D16" s="16">
        <v>0</v>
      </c>
      <c r="E16" s="26"/>
      <c r="F16" s="26"/>
      <c r="G16" s="26"/>
      <c r="H16" s="26">
        <f>(E8+F8)*D16</f>
        <v>0</v>
      </c>
      <c r="I16" s="26">
        <f>H16</f>
        <v>0</v>
      </c>
      <c r="J16" s="35" t="s">
        <v>364</v>
      </c>
    </row>
    <row r="17" spans="1:10" s="24" customFormat="1" ht="81.75" customHeight="1" x14ac:dyDescent="0.2">
      <c r="A17" s="31">
        <v>7</v>
      </c>
      <c r="B17" s="8" t="s">
        <v>362</v>
      </c>
      <c r="C17" s="8" t="s">
        <v>365</v>
      </c>
      <c r="D17" s="16">
        <v>0</v>
      </c>
      <c r="E17" s="26"/>
      <c r="F17" s="26"/>
      <c r="G17" s="26"/>
      <c r="H17" s="26">
        <f>(E9+F9)*D17</f>
        <v>0</v>
      </c>
      <c r="I17" s="26">
        <f>H17</f>
        <v>0</v>
      </c>
      <c r="J17" s="35"/>
    </row>
    <row r="18" spans="1:10" s="24" customFormat="1" ht="13.15" customHeight="1" x14ac:dyDescent="0.2">
      <c r="A18" s="31"/>
      <c r="B18" s="8"/>
      <c r="C18" s="8"/>
      <c r="D18" s="16"/>
      <c r="E18" s="26"/>
      <c r="F18" s="26"/>
      <c r="G18" s="26"/>
      <c r="H18" s="26"/>
      <c r="I18" s="26"/>
    </row>
    <row r="19" spans="1:10" s="38" customFormat="1" ht="13.15" customHeight="1" x14ac:dyDescent="0.2">
      <c r="A19" s="31">
        <v>8</v>
      </c>
      <c r="B19" s="8"/>
      <c r="C19" s="8" t="s">
        <v>366</v>
      </c>
      <c r="D19" s="37"/>
      <c r="E19" s="26">
        <f>SUM(E8:E18)</f>
        <v>4.2274591887100001</v>
      </c>
      <c r="F19" s="26"/>
      <c r="G19" s="26">
        <f>SUM(G8:G18)</f>
        <v>94.532139999999998</v>
      </c>
      <c r="H19" s="26">
        <f>SUM(H8:H18)</f>
        <v>7.7710448710044</v>
      </c>
      <c r="I19" s="26">
        <f>SUM(I8:I18)</f>
        <v>109.80726562971</v>
      </c>
    </row>
    <row r="20" spans="1:10" s="24" customFormat="1" ht="51" customHeight="1" x14ac:dyDescent="0.2">
      <c r="A20" s="31">
        <v>9</v>
      </c>
      <c r="B20" s="8" t="s">
        <v>367</v>
      </c>
      <c r="C20" s="8" t="s">
        <v>236</v>
      </c>
      <c r="D20" s="39">
        <v>0.03</v>
      </c>
      <c r="E20" s="26">
        <f>E19*3%</f>
        <v>0.12682377566129999</v>
      </c>
      <c r="F20" s="26"/>
      <c r="G20" s="26">
        <f>G19*3%</f>
        <v>2.8359641999999998</v>
      </c>
      <c r="H20" s="26">
        <f>H19*3%</f>
        <v>0.23313134613013001</v>
      </c>
      <c r="I20" s="26">
        <f>I19*3%</f>
        <v>3.2942179688914002</v>
      </c>
    </row>
    <row r="21" spans="1:10" s="27" customFormat="1" ht="13.15" customHeight="1" x14ac:dyDescent="0.2">
      <c r="A21" s="31">
        <v>10</v>
      </c>
      <c r="B21" s="8"/>
      <c r="C21" s="8" t="s">
        <v>368</v>
      </c>
      <c r="D21" s="40"/>
      <c r="E21" s="26"/>
      <c r="F21" s="26"/>
      <c r="G21" s="26"/>
      <c r="H21" s="26"/>
      <c r="I21" s="26">
        <f>I19+I20</f>
        <v>113.10148359861</v>
      </c>
    </row>
    <row r="22" spans="1:10" s="27" customFormat="1" ht="13.15" customHeight="1" x14ac:dyDescent="0.2">
      <c r="A22" s="41"/>
      <c r="B22" s="42"/>
      <c r="C22" s="42"/>
      <c r="D22" s="43"/>
      <c r="E22" s="44"/>
      <c r="F22" s="44"/>
      <c r="G22" s="44"/>
      <c r="H22" s="44"/>
      <c r="I22" s="44"/>
    </row>
    <row r="23" spans="1:10" x14ac:dyDescent="0.25">
      <c r="A23" s="4" t="s">
        <v>369</v>
      </c>
      <c r="B23" s="45"/>
      <c r="C23" s="4"/>
      <c r="D23" s="24"/>
      <c r="E23" s="24"/>
      <c r="F23" s="24"/>
      <c r="G23" s="24"/>
      <c r="H23" s="24"/>
      <c r="I23" s="24"/>
    </row>
    <row r="24" spans="1:10" x14ac:dyDescent="0.25">
      <c r="A24" s="25" t="s">
        <v>370</v>
      </c>
      <c r="B24" s="45"/>
      <c r="C24" s="4"/>
      <c r="D24" s="24"/>
      <c r="E24" s="24"/>
      <c r="F24" s="24"/>
      <c r="G24" s="24"/>
      <c r="H24" s="24"/>
      <c r="I24" s="24"/>
    </row>
    <row r="25" spans="1:10" x14ac:dyDescent="0.25">
      <c r="A25" s="4"/>
      <c r="B25" s="45"/>
      <c r="C25" s="4"/>
      <c r="D25" s="24"/>
      <c r="E25" s="24"/>
      <c r="F25" s="24"/>
      <c r="G25" s="24"/>
      <c r="H25" s="24"/>
      <c r="I25" s="24"/>
    </row>
    <row r="26" spans="1:10" x14ac:dyDescent="0.25">
      <c r="A26" s="4" t="s">
        <v>371</v>
      </c>
      <c r="B26" s="45"/>
      <c r="C26" s="4"/>
      <c r="D26" s="24"/>
      <c r="E26" s="24"/>
      <c r="F26" s="24"/>
      <c r="G26" s="24"/>
      <c r="H26" s="24"/>
      <c r="I26" s="24"/>
    </row>
    <row r="27" spans="1:10" x14ac:dyDescent="0.25">
      <c r="A27" s="25" t="s">
        <v>372</v>
      </c>
      <c r="B27" s="45"/>
      <c r="C27" s="4"/>
      <c r="D27" s="24"/>
      <c r="E27" s="24"/>
      <c r="F27" s="24"/>
      <c r="G27" s="24"/>
      <c r="H27" s="24"/>
      <c r="I27" s="24"/>
    </row>
    <row r="28" spans="1:10" x14ac:dyDescent="0.25">
      <c r="B28" s="46"/>
    </row>
    <row r="29" spans="1:10" x14ac:dyDescent="0.25">
      <c r="B29" s="46"/>
    </row>
    <row r="30" spans="1:10" x14ac:dyDescent="0.25">
      <c r="B30" s="46"/>
    </row>
    <row r="31" spans="1:10" x14ac:dyDescent="0.25">
      <c r="B31" s="46"/>
    </row>
    <row r="32" spans="1:10" x14ac:dyDescent="0.25">
      <c r="B32" s="46"/>
    </row>
    <row r="33" spans="2:2" x14ac:dyDescent="0.25">
      <c r="B33" s="46"/>
    </row>
    <row r="34" spans="2:2" x14ac:dyDescent="0.25">
      <c r="B34" s="46"/>
    </row>
    <row r="35" spans="2:2" x14ac:dyDescent="0.25">
      <c r="B35" s="46"/>
    </row>
    <row r="36" spans="2:2" x14ac:dyDescent="0.25">
      <c r="B36" s="46"/>
    </row>
    <row r="37" spans="2:2" x14ac:dyDescent="0.25">
      <c r="B37" s="46"/>
    </row>
    <row r="38" spans="2:2" x14ac:dyDescent="0.25">
      <c r="B38" s="46"/>
    </row>
    <row r="39" spans="2:2" x14ac:dyDescent="0.25">
      <c r="B39" s="46"/>
    </row>
    <row r="40" spans="2:2" x14ac:dyDescent="0.25">
      <c r="B40" s="46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51" t="s">
        <v>373</v>
      </c>
      <c r="O2" s="251"/>
    </row>
    <row r="3" spans="1:16" x14ac:dyDescent="0.25">
      <c r="A3" s="252" t="s">
        <v>374</v>
      </c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</row>
    <row r="5" spans="1:16" ht="37.5" customHeight="1" x14ac:dyDescent="0.25">
      <c r="A5" s="253" t="s">
        <v>375</v>
      </c>
      <c r="B5" s="256" t="s">
        <v>376</v>
      </c>
      <c r="C5" s="259" t="s">
        <v>377</v>
      </c>
      <c r="D5" s="262" t="s">
        <v>378</v>
      </c>
      <c r="E5" s="263"/>
      <c r="F5" s="263"/>
      <c r="G5" s="263"/>
      <c r="H5" s="263"/>
      <c r="I5" s="262" t="s">
        <v>379</v>
      </c>
      <c r="J5" s="263"/>
      <c r="K5" s="263"/>
      <c r="L5" s="263"/>
      <c r="M5" s="263"/>
      <c r="N5" s="263"/>
      <c r="O5" s="47" t="s">
        <v>380</v>
      </c>
    </row>
    <row r="6" spans="1:16" s="50" customFormat="1" ht="150" customHeight="1" x14ac:dyDescent="0.25">
      <c r="A6" s="254"/>
      <c r="B6" s="257"/>
      <c r="C6" s="260"/>
      <c r="D6" s="259" t="s">
        <v>381</v>
      </c>
      <c r="E6" s="264" t="s">
        <v>382</v>
      </c>
      <c r="F6" s="265"/>
      <c r="G6" s="266"/>
      <c r="H6" s="48" t="s">
        <v>383</v>
      </c>
      <c r="I6" s="267" t="s">
        <v>384</v>
      </c>
      <c r="J6" s="267" t="s">
        <v>381</v>
      </c>
      <c r="K6" s="268" t="s">
        <v>382</v>
      </c>
      <c r="L6" s="268"/>
      <c r="M6" s="268"/>
      <c r="N6" s="48" t="s">
        <v>383</v>
      </c>
      <c r="O6" s="49" t="s">
        <v>385</v>
      </c>
    </row>
    <row r="7" spans="1:16" s="50" customFormat="1" ht="30.75" customHeight="1" x14ac:dyDescent="0.25">
      <c r="A7" s="255"/>
      <c r="B7" s="258"/>
      <c r="C7" s="261"/>
      <c r="D7" s="261"/>
      <c r="E7" s="47" t="s">
        <v>86</v>
      </c>
      <c r="F7" s="47" t="s">
        <v>87</v>
      </c>
      <c r="G7" s="47" t="s">
        <v>43</v>
      </c>
      <c r="H7" s="51" t="s">
        <v>386</v>
      </c>
      <c r="I7" s="267"/>
      <c r="J7" s="267"/>
      <c r="K7" s="47" t="s">
        <v>86</v>
      </c>
      <c r="L7" s="47" t="s">
        <v>87</v>
      </c>
      <c r="M7" s="47" t="s">
        <v>43</v>
      </c>
      <c r="N7" s="51" t="s">
        <v>386</v>
      </c>
      <c r="O7" s="47" t="s">
        <v>387</v>
      </c>
    </row>
    <row r="8" spans="1:16" s="50" customFormat="1" x14ac:dyDescent="0.25">
      <c r="A8" s="52">
        <v>1</v>
      </c>
      <c r="B8" s="52">
        <v>2</v>
      </c>
      <c r="C8" s="52">
        <v>3</v>
      </c>
      <c r="D8" s="52">
        <v>4</v>
      </c>
      <c r="E8" s="52">
        <v>5</v>
      </c>
      <c r="F8" s="52">
        <v>6</v>
      </c>
      <c r="G8" s="52">
        <v>7</v>
      </c>
      <c r="H8" s="52">
        <v>8</v>
      </c>
      <c r="I8" s="52">
        <v>9</v>
      </c>
      <c r="J8" s="52">
        <v>10</v>
      </c>
      <c r="K8" s="52">
        <v>11</v>
      </c>
      <c r="L8" s="52">
        <v>12</v>
      </c>
      <c r="M8" s="52">
        <v>13</v>
      </c>
      <c r="N8" s="52">
        <v>14</v>
      </c>
      <c r="O8" s="52">
        <v>15</v>
      </c>
    </row>
    <row r="9" spans="1:16" s="50" customFormat="1" ht="102.75" customHeight="1" x14ac:dyDescent="0.25">
      <c r="A9" s="52">
        <v>1</v>
      </c>
      <c r="B9" s="253" t="s">
        <v>388</v>
      </c>
      <c r="C9" s="53" t="s">
        <v>389</v>
      </c>
      <c r="D9" s="54">
        <f t="shared" ref="D9:D15" si="0">SUM(E9:G9)</f>
        <v>583.41863000000001</v>
      </c>
      <c r="E9" s="54">
        <f>340656.93/1000</f>
        <v>340.65692999999999</v>
      </c>
      <c r="F9" s="54">
        <f>242761.7/1000</f>
        <v>242.76169999999999</v>
      </c>
      <c r="G9" s="54">
        <v>0</v>
      </c>
      <c r="H9" s="54">
        <f>(713.49*0.8)/1000</f>
        <v>0.57079199999999997</v>
      </c>
      <c r="I9" s="54">
        <v>11656.266250000001</v>
      </c>
      <c r="J9" s="54">
        <f t="shared" ref="J9:J15" si="1">K9+L9+M9</f>
        <v>3553.0194566999999</v>
      </c>
      <c r="K9" s="54">
        <f>E9*H22</f>
        <v>2074.6007036999999</v>
      </c>
      <c r="L9" s="54">
        <f>F9*H22</f>
        <v>1478.4187529999999</v>
      </c>
      <c r="M9" s="54">
        <f>G9*H24</f>
        <v>0</v>
      </c>
      <c r="N9" s="54">
        <f>H9*H25</f>
        <v>6.48990504</v>
      </c>
      <c r="O9" s="55">
        <f t="shared" ref="O9:O15" si="2">N9/(L9+M9)</f>
        <v>4.389761038157E-3</v>
      </c>
    </row>
    <row r="10" spans="1:16" s="50" customFormat="1" ht="54.75" customHeight="1" x14ac:dyDescent="0.25">
      <c r="A10" s="51">
        <v>2</v>
      </c>
      <c r="B10" s="255"/>
      <c r="C10" s="56" t="s">
        <v>390</v>
      </c>
      <c r="D10" s="54">
        <f t="shared" si="0"/>
        <v>2228.558</v>
      </c>
      <c r="E10" s="54">
        <f>430700/1000</f>
        <v>430.7</v>
      </c>
      <c r="F10" s="54">
        <f>1797858/1000</f>
        <v>1797.8579999999999</v>
      </c>
      <c r="G10" s="54">
        <v>0</v>
      </c>
      <c r="H10" s="54">
        <f>1685/1000</f>
        <v>1.6850000000000001</v>
      </c>
      <c r="I10" s="54">
        <f>15834377.63/1000</f>
        <v>15834.377630000001</v>
      </c>
      <c r="J10" s="54">
        <f t="shared" si="1"/>
        <v>14351.91352</v>
      </c>
      <c r="K10" s="54">
        <f>E10*I22</f>
        <v>2773.7080000000001</v>
      </c>
      <c r="L10" s="54">
        <f>F10*I22</f>
        <v>11578.20552</v>
      </c>
      <c r="M10" s="54">
        <f>G10*I24</f>
        <v>0</v>
      </c>
      <c r="N10" s="54">
        <f>H10*I25</f>
        <v>14.1877</v>
      </c>
      <c r="O10" s="55">
        <f t="shared" si="2"/>
        <v>1.2253798721652001E-3</v>
      </c>
      <c r="P10" s="57"/>
    </row>
    <row r="11" spans="1:16" s="50" customFormat="1" ht="24.6" customHeight="1" x14ac:dyDescent="0.25">
      <c r="A11" s="52">
        <v>3</v>
      </c>
      <c r="B11" s="253" t="s">
        <v>391</v>
      </c>
      <c r="C11" s="56" t="s">
        <v>392</v>
      </c>
      <c r="D11" s="54">
        <f t="shared" si="0"/>
        <v>22378.080000000002</v>
      </c>
      <c r="E11" s="54">
        <v>15858.44</v>
      </c>
      <c r="F11" s="54">
        <v>6519.64</v>
      </c>
      <c r="G11" s="54">
        <v>0</v>
      </c>
      <c r="H11" s="54">
        <v>9.7100000000000009</v>
      </c>
      <c r="I11" s="54">
        <v>170961.79</v>
      </c>
      <c r="J11" s="54">
        <f t="shared" si="1"/>
        <v>129121.52159999999</v>
      </c>
      <c r="K11" s="54">
        <f>E11*J22</f>
        <v>91503.198799999998</v>
      </c>
      <c r="L11" s="54">
        <f>F11*J22</f>
        <v>37618.322800000002</v>
      </c>
      <c r="M11" s="54">
        <f>G11*J24</f>
        <v>0</v>
      </c>
      <c r="N11" s="54">
        <f>H11*J25</f>
        <v>154.48609999999999</v>
      </c>
      <c r="O11" s="55">
        <f t="shared" si="2"/>
        <v>4.1066716562919003E-3</v>
      </c>
    </row>
    <row r="12" spans="1:16" s="50" customFormat="1" ht="31.9" customHeight="1" x14ac:dyDescent="0.25">
      <c r="A12" s="51">
        <v>4</v>
      </c>
      <c r="B12" s="255"/>
      <c r="C12" s="56" t="s">
        <v>393</v>
      </c>
      <c r="D12" s="54">
        <f t="shared" si="0"/>
        <v>93405.18</v>
      </c>
      <c r="E12" s="54">
        <v>53163.12</v>
      </c>
      <c r="F12" s="54">
        <v>40153.81</v>
      </c>
      <c r="G12" s="54">
        <v>88.25</v>
      </c>
      <c r="H12" s="54">
        <v>33.76</v>
      </c>
      <c r="I12" s="54">
        <v>725870.83</v>
      </c>
      <c r="J12" s="54">
        <f t="shared" si="1"/>
        <v>538845.47</v>
      </c>
      <c r="K12" s="54">
        <v>306751.18</v>
      </c>
      <c r="L12" s="54">
        <v>231687.44</v>
      </c>
      <c r="M12" s="54">
        <v>406.85</v>
      </c>
      <c r="N12" s="54">
        <v>537.07000000000005</v>
      </c>
      <c r="O12" s="55">
        <f t="shared" si="2"/>
        <v>2.3140164284093001E-3</v>
      </c>
    </row>
    <row r="13" spans="1:16" s="50" customFormat="1" ht="60" customHeight="1" x14ac:dyDescent="0.25">
      <c r="A13" s="52">
        <v>5</v>
      </c>
      <c r="B13" s="253" t="s">
        <v>394</v>
      </c>
      <c r="C13" s="53" t="s">
        <v>395</v>
      </c>
      <c r="D13" s="54">
        <f t="shared" si="0"/>
        <v>52119.83</v>
      </c>
      <c r="E13" s="54">
        <v>15198.48</v>
      </c>
      <c r="F13" s="54">
        <v>31977.3</v>
      </c>
      <c r="G13" s="54">
        <v>4944.05</v>
      </c>
      <c r="H13" s="54">
        <v>16.13</v>
      </c>
      <c r="I13" s="54">
        <v>2024759.04</v>
      </c>
      <c r="J13" s="54">
        <f t="shared" si="1"/>
        <v>267889.86339999997</v>
      </c>
      <c r="K13" s="54">
        <f>E13*L22</f>
        <v>79488.050399999993</v>
      </c>
      <c r="L13" s="54">
        <f>F13*L22</f>
        <v>167241.27900000001</v>
      </c>
      <c r="M13" s="54">
        <f>G13*L24</f>
        <v>21160.534</v>
      </c>
      <c r="N13" s="54">
        <f>H13*L25</f>
        <v>231.46549999999999</v>
      </c>
      <c r="O13" s="55">
        <f t="shared" si="2"/>
        <v>1.2285736337367E-3</v>
      </c>
    </row>
    <row r="14" spans="1:16" s="50" customFormat="1" ht="39.6" customHeight="1" x14ac:dyDescent="0.25">
      <c r="A14" s="51">
        <v>6</v>
      </c>
      <c r="B14" s="255"/>
      <c r="C14" s="56" t="s">
        <v>396</v>
      </c>
      <c r="D14" s="54">
        <f t="shared" si="0"/>
        <v>89613.6</v>
      </c>
      <c r="E14" s="54">
        <v>44598.73</v>
      </c>
      <c r="F14" s="54">
        <v>40017</v>
      </c>
      <c r="G14" s="54">
        <v>4997.87</v>
      </c>
      <c r="H14" s="54">
        <f>7.69+81.8</f>
        <v>89.49</v>
      </c>
      <c r="I14" s="54">
        <v>738823.57</v>
      </c>
      <c r="J14" s="54">
        <f t="shared" si="1"/>
        <v>511472.85759999999</v>
      </c>
      <c r="K14" s="54">
        <f>E14*M22</f>
        <v>257334.6721</v>
      </c>
      <c r="L14" s="54">
        <f>F14*M22</f>
        <v>230898.09</v>
      </c>
      <c r="M14" s="54">
        <f>G14*M24</f>
        <v>23240.095499999999</v>
      </c>
      <c r="N14" s="54">
        <f>H14*M25</f>
        <v>1423.7859000000001</v>
      </c>
      <c r="O14" s="55">
        <f t="shared" si="2"/>
        <v>5.6024083795152002E-3</v>
      </c>
    </row>
    <row r="15" spans="1:16" s="50" customFormat="1" ht="46.15" customHeight="1" x14ac:dyDescent="0.25">
      <c r="A15" s="52">
        <v>7</v>
      </c>
      <c r="B15" s="58" t="s">
        <v>397</v>
      </c>
      <c r="C15" s="56" t="s">
        <v>398</v>
      </c>
      <c r="D15" s="54">
        <f t="shared" si="0"/>
        <v>981651.63</v>
      </c>
      <c r="E15" s="54">
        <v>448398.51</v>
      </c>
      <c r="F15" s="54">
        <v>486091.33</v>
      </c>
      <c r="G15" s="54">
        <v>47161.79</v>
      </c>
      <c r="H15" s="54">
        <v>143.03</v>
      </c>
      <c r="I15" s="54">
        <v>16001185.93</v>
      </c>
      <c r="J15" s="54">
        <f t="shared" si="1"/>
        <v>6269109.2307000002</v>
      </c>
      <c r="K15" s="54">
        <f>123094.59*N22+325303.92*N23</f>
        <v>2908258.6863000002</v>
      </c>
      <c r="L15" s="54">
        <f>110226.08*N22+375865.25*N23</f>
        <v>3158998.0832000002</v>
      </c>
      <c r="M15" s="54">
        <f>G15*N24</f>
        <v>201852.46119999999</v>
      </c>
      <c r="N15" s="54">
        <f>H15*N25</f>
        <v>1185.7186999999999</v>
      </c>
      <c r="O15" s="55">
        <f t="shared" si="2"/>
        <v>3.5280316227560002E-4</v>
      </c>
    </row>
    <row r="16" spans="1:16" s="50" customFormat="1" ht="24" customHeight="1" x14ac:dyDescent="0.25">
      <c r="A16" s="59"/>
      <c r="B16" s="59"/>
      <c r="C16" s="60" t="s">
        <v>399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2">
        <f>(O9+O10+O11+O12+O13+O14+O15)/7</f>
        <v>2.7456591672216E-3</v>
      </c>
    </row>
    <row r="17" spans="1:15" s="50" customFormat="1" ht="18.75" customHeight="1" x14ac:dyDescent="0.25">
      <c r="A17" s="63"/>
      <c r="B17" s="63"/>
      <c r="C17" s="64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6"/>
    </row>
    <row r="18" spans="1:15" ht="21.2" customHeight="1" x14ac:dyDescent="0.25">
      <c r="C18" s="67" t="s">
        <v>400</v>
      </c>
    </row>
    <row r="19" spans="1:15" ht="30.75" customHeight="1" x14ac:dyDescent="0.25">
      <c r="L19" s="68"/>
    </row>
    <row r="20" spans="1:15" ht="15" customHeight="1" outlineLevel="1" x14ac:dyDescent="0.25">
      <c r="G20" s="250" t="s">
        <v>401</v>
      </c>
      <c r="H20" s="250"/>
      <c r="I20" s="250"/>
      <c r="J20" s="250"/>
      <c r="K20" s="250"/>
      <c r="L20" s="250"/>
      <c r="M20" s="250"/>
      <c r="N20" s="250"/>
    </row>
    <row r="21" spans="1:15" ht="15.75" customHeight="1" outlineLevel="1" x14ac:dyDescent="0.25">
      <c r="G21" s="69"/>
      <c r="H21" s="69" t="s">
        <v>402</v>
      </c>
      <c r="I21" s="69" t="s">
        <v>403</v>
      </c>
      <c r="J21" s="69" t="s">
        <v>404</v>
      </c>
      <c r="K21" s="70" t="s">
        <v>405</v>
      </c>
      <c r="L21" s="69" t="s">
        <v>406</v>
      </c>
      <c r="M21" s="69" t="s">
        <v>407</v>
      </c>
      <c r="N21" s="69" t="s">
        <v>408</v>
      </c>
      <c r="O21" s="63"/>
    </row>
    <row r="22" spans="1:15" ht="15.75" customHeight="1" outlineLevel="1" x14ac:dyDescent="0.25">
      <c r="G22" s="270" t="s">
        <v>409</v>
      </c>
      <c r="H22" s="269">
        <v>6.09</v>
      </c>
      <c r="I22" s="271">
        <v>6.44</v>
      </c>
      <c r="J22" s="269">
        <v>5.77</v>
      </c>
      <c r="K22" s="271">
        <v>5.77</v>
      </c>
      <c r="L22" s="269">
        <v>5.23</v>
      </c>
      <c r="M22" s="269">
        <v>5.77</v>
      </c>
      <c r="N22" s="71">
        <v>6.29</v>
      </c>
      <c r="O22" t="s">
        <v>410</v>
      </c>
    </row>
    <row r="23" spans="1:15" ht="15.75" customHeight="1" outlineLevel="1" x14ac:dyDescent="0.25">
      <c r="G23" s="270"/>
      <c r="H23" s="269"/>
      <c r="I23" s="271"/>
      <c r="J23" s="269"/>
      <c r="K23" s="271"/>
      <c r="L23" s="269"/>
      <c r="M23" s="269"/>
      <c r="N23" s="71">
        <v>6.56</v>
      </c>
      <c r="O23" t="s">
        <v>411</v>
      </c>
    </row>
    <row r="24" spans="1:15" ht="15.75" customHeight="1" outlineLevel="1" x14ac:dyDescent="0.25">
      <c r="G24" s="72" t="s">
        <v>412</v>
      </c>
      <c r="H24" s="71">
        <v>4.46</v>
      </c>
      <c r="I24" s="70">
        <v>4.28</v>
      </c>
      <c r="J24" s="71">
        <v>4.6500000000000004</v>
      </c>
      <c r="K24" s="70">
        <v>4.6100000000000003</v>
      </c>
      <c r="L24" s="71">
        <v>4.28</v>
      </c>
      <c r="M24" s="71">
        <v>4.6500000000000004</v>
      </c>
      <c r="N24" s="71">
        <v>4.28</v>
      </c>
      <c r="O24" s="63"/>
    </row>
    <row r="25" spans="1:15" ht="15.75" customHeight="1" outlineLevel="1" x14ac:dyDescent="0.25">
      <c r="G25" s="72" t="s">
        <v>386</v>
      </c>
      <c r="H25" s="71">
        <v>11.37</v>
      </c>
      <c r="I25" s="71">
        <v>8.42</v>
      </c>
      <c r="J25" s="71">
        <v>15.91</v>
      </c>
      <c r="K25" s="70">
        <v>15.91</v>
      </c>
      <c r="L25" s="71">
        <v>14.35</v>
      </c>
      <c r="M25" s="71">
        <v>15.91</v>
      </c>
      <c r="N25" s="71">
        <v>8.2899999999999991</v>
      </c>
      <c r="O25" s="63"/>
    </row>
    <row r="26" spans="1:15" ht="31.7" customHeight="1" outlineLevel="1" x14ac:dyDescent="0.25">
      <c r="G26" s="72" t="s">
        <v>413</v>
      </c>
      <c r="H26" s="71">
        <v>3.83</v>
      </c>
      <c r="I26" s="70">
        <v>3.95</v>
      </c>
      <c r="J26" s="71">
        <v>4.1500000000000004</v>
      </c>
      <c r="K26" s="70">
        <v>3.83</v>
      </c>
      <c r="L26" s="70">
        <v>3.95</v>
      </c>
      <c r="M26" s="71">
        <v>4.09</v>
      </c>
      <c r="N26" s="71">
        <v>3.95</v>
      </c>
      <c r="O26" s="63"/>
    </row>
    <row r="27" spans="1:15" ht="31.7" customHeight="1" outlineLevel="1" x14ac:dyDescent="0.25">
      <c r="G27" s="72" t="s">
        <v>414</v>
      </c>
      <c r="H27" s="71">
        <v>3.91</v>
      </c>
      <c r="I27" s="70">
        <v>3.99</v>
      </c>
      <c r="J27" s="71">
        <v>4.2300000000000004</v>
      </c>
      <c r="K27" s="70">
        <v>3.91</v>
      </c>
      <c r="L27" s="70">
        <v>3.99</v>
      </c>
      <c r="M27" s="71">
        <v>4.17</v>
      </c>
      <c r="N27" s="71">
        <v>3.99</v>
      </c>
      <c r="O27" s="63"/>
    </row>
    <row r="28" spans="1:15" ht="15.75" customHeight="1" outlineLevel="1" x14ac:dyDescent="0.25">
      <c r="G28" s="72" t="s">
        <v>353</v>
      </c>
      <c r="H28" s="71">
        <v>8.7899999999999991</v>
      </c>
      <c r="I28" s="71">
        <v>8.7899999999999991</v>
      </c>
      <c r="J28" s="71">
        <v>9.19</v>
      </c>
      <c r="K28" s="70">
        <v>9.1</v>
      </c>
      <c r="L28" s="71">
        <v>8.42</v>
      </c>
      <c r="M28" s="71">
        <v>9.19</v>
      </c>
      <c r="N28" s="71">
        <v>8.42</v>
      </c>
      <c r="O28" s="63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1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3" customWidth="1"/>
  </cols>
  <sheetData>
    <row r="2" spans="1:18" ht="18.75" customHeight="1" x14ac:dyDescent="0.25">
      <c r="A2" s="287" t="s">
        <v>415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</row>
    <row r="4" spans="1:18" ht="36.75" customHeight="1" x14ac:dyDescent="0.25">
      <c r="A4" s="253" t="s">
        <v>375</v>
      </c>
      <c r="B4" s="256" t="s">
        <v>376</v>
      </c>
      <c r="C4" s="259" t="s">
        <v>416</v>
      </c>
      <c r="D4" s="259" t="s">
        <v>417</v>
      </c>
      <c r="E4" s="262" t="s">
        <v>418</v>
      </c>
      <c r="F4" s="263"/>
      <c r="G4" s="263"/>
      <c r="H4" s="263"/>
      <c r="I4" s="263"/>
      <c r="J4" s="263"/>
      <c r="K4" s="263"/>
      <c r="L4" s="263"/>
      <c r="M4" s="263"/>
      <c r="N4" s="288" t="s">
        <v>419</v>
      </c>
      <c r="O4" s="289"/>
      <c r="P4" s="289"/>
      <c r="Q4" s="289"/>
      <c r="R4" s="290"/>
    </row>
    <row r="5" spans="1:18" ht="60" customHeight="1" x14ac:dyDescent="0.25">
      <c r="A5" s="254"/>
      <c r="B5" s="257"/>
      <c r="C5" s="260"/>
      <c r="D5" s="260"/>
      <c r="E5" s="267" t="s">
        <v>420</v>
      </c>
      <c r="F5" s="267" t="s">
        <v>421</v>
      </c>
      <c r="G5" s="264" t="s">
        <v>382</v>
      </c>
      <c r="H5" s="265"/>
      <c r="I5" s="265"/>
      <c r="J5" s="266"/>
      <c r="K5" s="267" t="s">
        <v>422</v>
      </c>
      <c r="L5" s="267"/>
      <c r="M5" s="267"/>
      <c r="N5" s="74" t="s">
        <v>423</v>
      </c>
      <c r="O5" s="74" t="s">
        <v>424</v>
      </c>
      <c r="P5" s="74" t="s">
        <v>425</v>
      </c>
      <c r="Q5" s="75" t="s">
        <v>426</v>
      </c>
      <c r="R5" s="74" t="s">
        <v>427</v>
      </c>
    </row>
    <row r="6" spans="1:18" ht="49.7" customHeight="1" x14ac:dyDescent="0.25">
      <c r="A6" s="255"/>
      <c r="B6" s="258"/>
      <c r="C6" s="261"/>
      <c r="D6" s="261"/>
      <c r="E6" s="267"/>
      <c r="F6" s="267"/>
      <c r="G6" s="47" t="s">
        <v>86</v>
      </c>
      <c r="H6" s="47" t="s">
        <v>87</v>
      </c>
      <c r="I6" s="47" t="s">
        <v>43</v>
      </c>
      <c r="J6" s="47" t="s">
        <v>353</v>
      </c>
      <c r="K6" s="47" t="s">
        <v>423</v>
      </c>
      <c r="L6" s="47" t="s">
        <v>424</v>
      </c>
      <c r="M6" s="47" t="s">
        <v>425</v>
      </c>
      <c r="N6" s="47" t="s">
        <v>428</v>
      </c>
      <c r="O6" s="47" t="s">
        <v>429</v>
      </c>
      <c r="P6" s="47" t="s">
        <v>430</v>
      </c>
      <c r="Q6" s="48" t="s">
        <v>431</v>
      </c>
      <c r="R6" s="47" t="s">
        <v>432</v>
      </c>
    </row>
    <row r="7" spans="1:18" ht="16.5" customHeight="1" x14ac:dyDescent="0.25">
      <c r="A7" s="52"/>
      <c r="B7" s="76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48"/>
      <c r="R7" s="51"/>
    </row>
    <row r="8" spans="1:18" x14ac:dyDescent="0.25">
      <c r="A8" s="52">
        <v>1</v>
      </c>
      <c r="B8" s="52"/>
      <c r="C8" s="52">
        <v>2</v>
      </c>
      <c r="D8" s="52">
        <v>3</v>
      </c>
      <c r="E8" s="52">
        <v>4</v>
      </c>
      <c r="F8" s="52">
        <v>5</v>
      </c>
      <c r="G8" s="52">
        <v>6</v>
      </c>
      <c r="H8" s="52">
        <v>7</v>
      </c>
      <c r="I8" s="52">
        <v>8</v>
      </c>
      <c r="J8" s="52">
        <v>9</v>
      </c>
      <c r="K8" s="52">
        <v>10</v>
      </c>
      <c r="L8" s="52">
        <v>11</v>
      </c>
      <c r="M8" s="52">
        <v>12</v>
      </c>
      <c r="N8" s="52">
        <v>13</v>
      </c>
      <c r="O8" s="52">
        <v>14</v>
      </c>
      <c r="P8" s="52">
        <v>15</v>
      </c>
      <c r="Q8" s="52">
        <v>16</v>
      </c>
      <c r="R8" s="52">
        <v>17</v>
      </c>
    </row>
    <row r="9" spans="1:18" ht="102.6" customHeight="1" x14ac:dyDescent="0.25">
      <c r="A9" s="253">
        <v>1</v>
      </c>
      <c r="B9" s="253" t="s">
        <v>433</v>
      </c>
      <c r="C9" s="280" t="s">
        <v>389</v>
      </c>
      <c r="D9" s="53" t="s">
        <v>434</v>
      </c>
      <c r="E9" s="54">
        <v>11656.266250000001</v>
      </c>
      <c r="F9" s="54">
        <f t="shared" ref="F9:F14" si="0">G9+H9+I9</f>
        <v>9442.6878704999999</v>
      </c>
      <c r="G9" s="54">
        <f>G10*E28</f>
        <v>2331.6699567000001</v>
      </c>
      <c r="H9" s="54">
        <f>H10*E28</f>
        <v>1695.3600216</v>
      </c>
      <c r="I9" s="54">
        <f>I10*E30</f>
        <v>5415.6578921999999</v>
      </c>
      <c r="J9" s="54"/>
      <c r="K9" s="54">
        <f>K10*1.19*E33</f>
        <v>136.37044035299999</v>
      </c>
      <c r="L9" s="54">
        <v>0</v>
      </c>
      <c r="M9" s="54">
        <f>M10*1.266*E34</f>
        <v>66.539350027799998</v>
      </c>
      <c r="N9" s="55">
        <f t="shared" ref="N9:N22" si="1">K9/(G9+H9)</f>
        <v>3.3863775806946002E-2</v>
      </c>
      <c r="O9" s="55">
        <f t="shared" ref="O9:O22" si="2">L9/(G9+H9)</f>
        <v>0</v>
      </c>
      <c r="P9" s="55">
        <f t="shared" ref="P9:P22" si="3">M9/(G9+H9)</f>
        <v>1.652318219292E-2</v>
      </c>
      <c r="Q9" s="77">
        <v>0</v>
      </c>
      <c r="R9" s="78">
        <f>N9+O9+P9+Q9</f>
        <v>5.0386957999864999E-2</v>
      </c>
    </row>
    <row r="10" spans="1:18" ht="72.75" hidden="1" customHeight="1" x14ac:dyDescent="0.25">
      <c r="A10" s="255"/>
      <c r="B10" s="254"/>
      <c r="C10" s="281"/>
      <c r="D10" s="53" t="s">
        <v>435</v>
      </c>
      <c r="E10" s="54">
        <v>2179.8248199999998</v>
      </c>
      <c r="F10" s="54">
        <f t="shared" si="0"/>
        <v>1875.52594</v>
      </c>
      <c r="G10" s="54">
        <f>382868.63/1000</f>
        <v>382.86863</v>
      </c>
      <c r="H10" s="54">
        <f>278384.24/1000</f>
        <v>278.38423999999998</v>
      </c>
      <c r="I10" s="54">
        <f>1214273.07/1000</f>
        <v>1214.27307</v>
      </c>
      <c r="J10" s="54"/>
      <c r="K10" s="54">
        <f>29920.89/1000</f>
        <v>29.92089</v>
      </c>
      <c r="L10" s="54">
        <v>0</v>
      </c>
      <c r="M10" s="54">
        <f>13442.13/1000</f>
        <v>13.442130000000001</v>
      </c>
      <c r="N10" s="55">
        <f t="shared" si="1"/>
        <v>4.5248786595059001E-2</v>
      </c>
      <c r="O10" s="55">
        <f t="shared" si="2"/>
        <v>0</v>
      </c>
      <c r="P10" s="55">
        <f t="shared" si="3"/>
        <v>2.0328274718868E-2</v>
      </c>
      <c r="Q10" s="77">
        <v>0</v>
      </c>
      <c r="R10" s="78"/>
    </row>
    <row r="11" spans="1:18" ht="192.75" customHeight="1" x14ac:dyDescent="0.25">
      <c r="A11" s="253">
        <v>2</v>
      </c>
      <c r="B11" s="254"/>
      <c r="C11" s="280" t="s">
        <v>436</v>
      </c>
      <c r="D11" s="53" t="s">
        <v>434</v>
      </c>
      <c r="E11" s="54">
        <v>688044.21</v>
      </c>
      <c r="F11" s="54">
        <f t="shared" si="0"/>
        <v>521424.06839999999</v>
      </c>
      <c r="G11" s="54">
        <f>G12*F28</f>
        <v>99804.705000000002</v>
      </c>
      <c r="H11" s="54">
        <f>H12*F28</f>
        <v>246917.90760000001</v>
      </c>
      <c r="I11" s="54">
        <f>I12*F30</f>
        <v>174701.4558</v>
      </c>
      <c r="J11" s="54"/>
      <c r="K11" s="54">
        <f>K12*1.19*F33</f>
        <v>8486.4829769999997</v>
      </c>
      <c r="L11" s="54">
        <f>L12*1.19*F33</f>
        <v>11572.501646999999</v>
      </c>
      <c r="M11" s="54">
        <f>M12*1.266*F34</f>
        <v>3883.6190735999999</v>
      </c>
      <c r="N11" s="55">
        <f t="shared" si="1"/>
        <v>2.4476289311970999E-2</v>
      </c>
      <c r="O11" s="55">
        <f t="shared" si="2"/>
        <v>3.3376829853179003E-2</v>
      </c>
      <c r="P11" s="55">
        <f t="shared" si="3"/>
        <v>1.1200939692042E-2</v>
      </c>
      <c r="Q11" s="77">
        <v>0</v>
      </c>
      <c r="R11" s="78">
        <f>N11+O11+P11+Q11</f>
        <v>6.9054058857192999E-2</v>
      </c>
    </row>
    <row r="12" spans="1:18" ht="100.9" hidden="1" customHeight="1" x14ac:dyDescent="0.25">
      <c r="A12" s="255"/>
      <c r="B12" s="255"/>
      <c r="C12" s="281"/>
      <c r="D12" s="53" t="s">
        <v>435</v>
      </c>
      <c r="E12" s="54">
        <v>116471.93</v>
      </c>
      <c r="F12" s="54">
        <f t="shared" si="0"/>
        <v>91466.75</v>
      </c>
      <c r="G12" s="54">
        <v>15053.5</v>
      </c>
      <c r="H12" s="54">
        <v>37242.519999999997</v>
      </c>
      <c r="I12" s="54">
        <v>39170.730000000003</v>
      </c>
      <c r="J12" s="54"/>
      <c r="K12" s="54">
        <v>1862.01</v>
      </c>
      <c r="L12" s="54">
        <v>2539.11</v>
      </c>
      <c r="M12" s="54">
        <v>784.56</v>
      </c>
      <c r="N12" s="55">
        <f t="shared" si="1"/>
        <v>3.5605195194586998E-2</v>
      </c>
      <c r="O12" s="55">
        <f t="shared" si="2"/>
        <v>4.8552643203058E-2</v>
      </c>
      <c r="P12" s="55">
        <f t="shared" si="3"/>
        <v>1.5002288893112999E-2</v>
      </c>
      <c r="Q12" s="77">
        <v>0</v>
      </c>
      <c r="R12" s="78"/>
    </row>
    <row r="13" spans="1:18" ht="49.15" customHeight="1" x14ac:dyDescent="0.25">
      <c r="A13" s="253">
        <v>3</v>
      </c>
      <c r="B13" s="253" t="s">
        <v>391</v>
      </c>
      <c r="C13" s="283" t="s">
        <v>392</v>
      </c>
      <c r="D13" s="53" t="s">
        <v>437</v>
      </c>
      <c r="E13" s="54">
        <v>170961.79</v>
      </c>
      <c r="F13" s="54">
        <f t="shared" si="0"/>
        <v>129121.52159999999</v>
      </c>
      <c r="G13" s="54">
        <f>G14*G28</f>
        <v>91503.198799999998</v>
      </c>
      <c r="H13" s="54">
        <f>H14*G28</f>
        <v>37618.322800000002</v>
      </c>
      <c r="I13" s="54">
        <f>I14*G30</f>
        <v>0</v>
      </c>
      <c r="J13" s="54"/>
      <c r="K13" s="54">
        <f>K14*1.19*G33</f>
        <v>1996.481088</v>
      </c>
      <c r="L13" s="54">
        <f>L14*1.19*G33</f>
        <v>2500.7293079999999</v>
      </c>
      <c r="M13" s="54">
        <f>M14*1.266*G34</f>
        <v>200.53819799999999</v>
      </c>
      <c r="N13" s="55">
        <f t="shared" si="1"/>
        <v>1.5462031915832E-2</v>
      </c>
      <c r="O13" s="55">
        <f t="shared" si="2"/>
        <v>1.9367254017862E-2</v>
      </c>
      <c r="P13" s="55">
        <f t="shared" si="3"/>
        <v>1.5530966140659E-3</v>
      </c>
      <c r="Q13" s="77">
        <v>4.5614105389631997E-3</v>
      </c>
      <c r="R13" s="78">
        <f>N13+O13+P13+Q13</f>
        <v>4.0943793086723003E-2</v>
      </c>
    </row>
    <row r="14" spans="1:18" ht="57.2" hidden="1" customHeight="1" x14ac:dyDescent="0.25">
      <c r="A14" s="255"/>
      <c r="B14" s="254"/>
      <c r="C14" s="284"/>
      <c r="D14" s="53" t="s">
        <v>435</v>
      </c>
      <c r="E14" s="54">
        <v>29033.31</v>
      </c>
      <c r="F14" s="54">
        <f t="shared" si="0"/>
        <v>22378.080000000002</v>
      </c>
      <c r="G14" s="54">
        <v>15858.44</v>
      </c>
      <c r="H14" s="54">
        <v>6519.64</v>
      </c>
      <c r="I14" s="54">
        <v>0</v>
      </c>
      <c r="J14" s="54"/>
      <c r="K14" s="54">
        <v>420.48</v>
      </c>
      <c r="L14" s="54">
        <v>526.67999999999995</v>
      </c>
      <c r="M14" s="54">
        <v>39.700000000000003</v>
      </c>
      <c r="N14" s="55">
        <f t="shared" si="1"/>
        <v>1.8789815748268001E-2</v>
      </c>
      <c r="O14" s="55">
        <f t="shared" si="2"/>
        <v>2.3535531198387E-2</v>
      </c>
      <c r="P14" s="55">
        <f t="shared" si="3"/>
        <v>1.7740574705247E-3</v>
      </c>
      <c r="Q14" s="77">
        <v>4.9753003421204997E-3</v>
      </c>
      <c r="R14" s="78"/>
    </row>
    <row r="15" spans="1:18" ht="67.900000000000006" customHeight="1" x14ac:dyDescent="0.25">
      <c r="A15" s="253">
        <v>4</v>
      </c>
      <c r="B15" s="254"/>
      <c r="C15" s="285" t="s">
        <v>393</v>
      </c>
      <c r="D15" s="56" t="s">
        <v>437</v>
      </c>
      <c r="E15" s="54">
        <v>725870.83</v>
      </c>
      <c r="F15" s="54">
        <v>551588.679</v>
      </c>
      <c r="G15" s="54">
        <v>319494.33</v>
      </c>
      <c r="H15" s="54">
        <v>231687.44</v>
      </c>
      <c r="I15" s="54">
        <v>406.85</v>
      </c>
      <c r="J15" s="54"/>
      <c r="K15" s="54">
        <v>12415.71</v>
      </c>
      <c r="L15" s="54">
        <v>14808.286339</v>
      </c>
      <c r="M15" s="54">
        <v>3822.96</v>
      </c>
      <c r="N15" s="55">
        <f t="shared" si="1"/>
        <v>2.2525618000755001E-2</v>
      </c>
      <c r="O15" s="55">
        <f t="shared" si="2"/>
        <v>2.6866429814977E-2</v>
      </c>
      <c r="P15" s="55">
        <f t="shared" si="3"/>
        <v>6.9359333128888E-3</v>
      </c>
      <c r="Q15" s="77">
        <v>3.5515340532281999E-3</v>
      </c>
      <c r="R15" s="78">
        <f>N15+O15+P15+Q15</f>
        <v>5.9879515181849002E-2</v>
      </c>
    </row>
    <row r="16" spans="1:18" ht="67.900000000000006" hidden="1" customHeight="1" x14ac:dyDescent="0.25">
      <c r="A16" s="255"/>
      <c r="B16" s="255"/>
      <c r="C16" s="286"/>
      <c r="D16" s="56" t="s">
        <v>435</v>
      </c>
      <c r="E16" s="54">
        <v>125177.97</v>
      </c>
      <c r="F16" s="54">
        <v>95613.7</v>
      </c>
      <c r="G16" s="54">
        <v>55371.64</v>
      </c>
      <c r="H16" s="54">
        <v>40153.81</v>
      </c>
      <c r="I16" s="54">
        <v>88.25</v>
      </c>
      <c r="J16" s="54"/>
      <c r="K16" s="54">
        <v>2724.12</v>
      </c>
      <c r="L16" s="54">
        <v>3249.07</v>
      </c>
      <c r="M16" s="54">
        <v>772.31</v>
      </c>
      <c r="N16" s="55">
        <f t="shared" si="1"/>
        <v>2.8517217139516E-2</v>
      </c>
      <c r="O16" s="55">
        <f t="shared" si="2"/>
        <v>3.4012611298874E-2</v>
      </c>
      <c r="P16" s="55">
        <f t="shared" si="3"/>
        <v>8.0848611548021993E-3</v>
      </c>
      <c r="Q16" s="77">
        <v>3.8737899135989E-3</v>
      </c>
      <c r="R16" s="78"/>
    </row>
    <row r="17" spans="1:18" ht="67.900000000000006" customHeight="1" x14ac:dyDescent="0.25">
      <c r="A17" s="253">
        <v>5</v>
      </c>
      <c r="B17" s="268" t="s">
        <v>394</v>
      </c>
      <c r="C17" s="280" t="s">
        <v>438</v>
      </c>
      <c r="D17" s="53" t="s">
        <v>439</v>
      </c>
      <c r="E17" s="54">
        <v>561932.85</v>
      </c>
      <c r="F17" s="54">
        <f>G17+H17+I17</f>
        <v>399667.21620000002</v>
      </c>
      <c r="G17" s="54">
        <f>G18*I28</f>
        <v>163785.296</v>
      </c>
      <c r="H17" s="54">
        <f>H18*I28</f>
        <v>147763.611</v>
      </c>
      <c r="I17" s="54">
        <f>I18*I30</f>
        <v>88118.309200000003</v>
      </c>
      <c r="J17" s="54"/>
      <c r="K17" s="54">
        <f>K18*1.19*I33</f>
        <v>19215.596995</v>
      </c>
      <c r="L17" s="54">
        <f>L18*1.19*I33</f>
        <v>0</v>
      </c>
      <c r="M17" s="54">
        <f>M18*1.266*I34</f>
        <v>1734.8322095999999</v>
      </c>
      <c r="N17" s="55">
        <f t="shared" si="1"/>
        <v>6.1677626090981999E-2</v>
      </c>
      <c r="O17" s="55">
        <f t="shared" si="2"/>
        <v>0</v>
      </c>
      <c r="P17" s="55">
        <f t="shared" si="3"/>
        <v>5.5684105147574998E-3</v>
      </c>
      <c r="Q17" s="77">
        <v>5.5643872525604002E-3</v>
      </c>
      <c r="R17" s="78">
        <f>N17+O17+P17+Q17</f>
        <v>7.2810423858299E-2</v>
      </c>
    </row>
    <row r="18" spans="1:18" ht="67.900000000000006" hidden="1" customHeight="1" x14ac:dyDescent="0.25">
      <c r="A18" s="255"/>
      <c r="B18" s="268"/>
      <c r="C18" s="281"/>
      <c r="D18" s="53" t="s">
        <v>435</v>
      </c>
      <c r="E18" s="54">
        <v>94393.09</v>
      </c>
      <c r="F18" s="54">
        <f>G18+H18+I18</f>
        <v>69651.210000000006</v>
      </c>
      <c r="G18" s="54">
        <v>25792.959999999999</v>
      </c>
      <c r="H18" s="54">
        <v>23269.86</v>
      </c>
      <c r="I18" s="54">
        <v>20588.39</v>
      </c>
      <c r="J18" s="54"/>
      <c r="K18" s="54">
        <v>4087.99</v>
      </c>
      <c r="L18" s="54">
        <v>0</v>
      </c>
      <c r="M18" s="54">
        <v>343.44</v>
      </c>
      <c r="N18" s="55">
        <f t="shared" si="1"/>
        <v>8.3321545724441004E-2</v>
      </c>
      <c r="O18" s="55">
        <f t="shared" si="2"/>
        <v>0</v>
      </c>
      <c r="P18" s="55">
        <f t="shared" si="3"/>
        <v>7.0000052993284996E-3</v>
      </c>
      <c r="Q18" s="77">
        <v>9.4728844648146997E-3</v>
      </c>
      <c r="R18" s="78"/>
    </row>
    <row r="19" spans="1:18" ht="67.900000000000006" customHeight="1" x14ac:dyDescent="0.25">
      <c r="A19" s="253">
        <v>6</v>
      </c>
      <c r="B19" s="268"/>
      <c r="C19" s="280" t="s">
        <v>396</v>
      </c>
      <c r="D19" s="56" t="s">
        <v>437</v>
      </c>
      <c r="E19" s="54">
        <v>738823.57</v>
      </c>
      <c r="F19" s="54">
        <v>511472.86</v>
      </c>
      <c r="G19" s="54">
        <v>257334.67</v>
      </c>
      <c r="H19" s="54">
        <v>230898.09</v>
      </c>
      <c r="I19" s="54">
        <v>23240.1</v>
      </c>
      <c r="J19" s="54"/>
      <c r="K19" s="54">
        <v>19584.188309000001</v>
      </c>
      <c r="L19" s="54">
        <v>0</v>
      </c>
      <c r="M19" s="54">
        <v>2539.5687809999999</v>
      </c>
      <c r="N19" s="55">
        <f t="shared" si="1"/>
        <v>4.0112401119907999E-2</v>
      </c>
      <c r="O19" s="55">
        <f t="shared" si="2"/>
        <v>0</v>
      </c>
      <c r="P19" s="55">
        <f t="shared" si="3"/>
        <v>5.2015534168579998E-3</v>
      </c>
      <c r="Q19" s="77">
        <v>5.1286902198045999E-3</v>
      </c>
      <c r="R19" s="78">
        <f>N19+O19+P19+Q19</f>
        <v>5.0442644756571002E-2</v>
      </c>
    </row>
    <row r="20" spans="1:18" ht="67.900000000000006" hidden="1" customHeight="1" x14ac:dyDescent="0.25">
      <c r="A20" s="255"/>
      <c r="B20" s="268"/>
      <c r="C20" s="281"/>
      <c r="D20" s="56" t="s">
        <v>435</v>
      </c>
      <c r="E20" s="54">
        <v>128717.35</v>
      </c>
      <c r="F20" s="54">
        <v>89613.6</v>
      </c>
      <c r="G20" s="54">
        <v>44598.73</v>
      </c>
      <c r="H20" s="54">
        <v>40017</v>
      </c>
      <c r="I20" s="54">
        <v>4997.87</v>
      </c>
      <c r="J20" s="54"/>
      <c r="K20" s="54">
        <v>4023.79</v>
      </c>
      <c r="L20" s="54">
        <v>0</v>
      </c>
      <c r="M20" s="54">
        <v>481.05</v>
      </c>
      <c r="N20" s="55">
        <f t="shared" si="1"/>
        <v>4.7553687712675E-2</v>
      </c>
      <c r="O20" s="55">
        <f t="shared" si="2"/>
        <v>0</v>
      </c>
      <c r="P20" s="55">
        <f t="shared" si="3"/>
        <v>5.6851131580381003E-3</v>
      </c>
      <c r="Q20" s="77">
        <v>5.5940533914911996E-3</v>
      </c>
      <c r="R20" s="78"/>
    </row>
    <row r="21" spans="1:18" ht="67.900000000000006" customHeight="1" x14ac:dyDescent="0.25">
      <c r="A21" s="253">
        <v>7</v>
      </c>
      <c r="B21" s="253" t="s">
        <v>397</v>
      </c>
      <c r="C21" s="280" t="s">
        <v>398</v>
      </c>
      <c r="D21" s="56" t="s">
        <v>440</v>
      </c>
      <c r="E21" s="54">
        <v>16001185.93</v>
      </c>
      <c r="F21" s="54">
        <f>G21+H21+I21+J21</f>
        <v>6269109.2307000002</v>
      </c>
      <c r="G21" s="54">
        <f>123094.59*K28+325303.92*K29</f>
        <v>2908258.6863000002</v>
      </c>
      <c r="H21" s="54">
        <f>110226.08*K28+375865.25*K29</f>
        <v>3158998.0832000002</v>
      </c>
      <c r="I21" s="54">
        <f>I22*K30</f>
        <v>201852.46119999999</v>
      </c>
      <c r="J21" s="54">
        <f>J22*K35</f>
        <v>0</v>
      </c>
      <c r="K21" s="54">
        <f>K22*K33*1.19</f>
        <v>48825.362634999998</v>
      </c>
      <c r="L21" s="54">
        <f>L22*1.19*K33</f>
        <v>73238.020449999996</v>
      </c>
      <c r="M21" s="54">
        <f>M22*K34*1.266</f>
        <v>11514.8831238</v>
      </c>
      <c r="N21" s="55">
        <f t="shared" si="1"/>
        <v>8.0473539343916007E-3</v>
      </c>
      <c r="O21" s="55">
        <f t="shared" si="2"/>
        <v>1.2071027027926E-2</v>
      </c>
      <c r="P21" s="55">
        <f t="shared" si="3"/>
        <v>1.8978730522309999E-3</v>
      </c>
      <c r="Q21" s="77">
        <v>5.9210415358545E-4</v>
      </c>
      <c r="R21" s="78">
        <f>N21+O21+P21+Q21</f>
        <v>2.2608358168133998E-2</v>
      </c>
    </row>
    <row r="22" spans="1:18" ht="67.900000000000006" hidden="1" customHeight="1" x14ac:dyDescent="0.25">
      <c r="A22" s="255"/>
      <c r="B22" s="255"/>
      <c r="C22" s="281"/>
      <c r="D22" s="79" t="s">
        <v>435</v>
      </c>
      <c r="E22" s="80">
        <v>2195184.4700000002</v>
      </c>
      <c r="F22" s="80">
        <f>G22+H22+I22+J22</f>
        <v>981651.63</v>
      </c>
      <c r="G22" s="80">
        <f>123094.59+325303.92</f>
        <v>448398.51</v>
      </c>
      <c r="H22" s="80">
        <f>110226.08+375865.25</f>
        <v>486091.33</v>
      </c>
      <c r="I22" s="80">
        <v>47161.79</v>
      </c>
      <c r="J22" s="80">
        <v>0</v>
      </c>
      <c r="K22" s="80">
        <v>10387.27</v>
      </c>
      <c r="L22" s="80">
        <v>15580.9</v>
      </c>
      <c r="M22" s="80">
        <v>2279.5700000000002</v>
      </c>
      <c r="N22" s="81">
        <f t="shared" si="1"/>
        <v>1.1115444551008E-2</v>
      </c>
      <c r="O22" s="81">
        <f t="shared" si="2"/>
        <v>1.6673161475998E-2</v>
      </c>
      <c r="P22" s="81">
        <f t="shared" si="3"/>
        <v>2.4393737656901999E-3</v>
      </c>
      <c r="Q22" s="82">
        <v>7.7662380726578996E-4</v>
      </c>
      <c r="R22" s="83"/>
    </row>
    <row r="23" spans="1:18" ht="67.900000000000006" customHeight="1" x14ac:dyDescent="0.25">
      <c r="A23" s="59"/>
      <c r="B23" s="59"/>
      <c r="C23" s="84" t="s">
        <v>441</v>
      </c>
      <c r="D23" s="60"/>
      <c r="E23" s="85"/>
      <c r="F23" s="85"/>
      <c r="G23" s="85"/>
      <c r="H23" s="85"/>
      <c r="I23" s="85"/>
      <c r="J23" s="85"/>
      <c r="K23" s="85"/>
      <c r="L23" s="85"/>
      <c r="M23" s="85"/>
      <c r="N23" s="62">
        <f>(N9+N11+N13+N15+N17+N19+N21)/7</f>
        <v>2.9452156597254999E-2</v>
      </c>
      <c r="O23" s="62">
        <f>(O9+O11+O13+O15+O17+O19+O21)/7</f>
        <v>1.3097362959135E-2</v>
      </c>
      <c r="P23" s="62">
        <f>(P9+P11+P13+P15+P17+P19+P21)/7</f>
        <v>6.9829983993947003E-3</v>
      </c>
      <c r="Q23" s="62">
        <f>(Q9+Q11+Q13+Q15+Q17+Q19+Q21)/7</f>
        <v>2.7711608883059999E-3</v>
      </c>
      <c r="R23" s="62">
        <f>N23+O23+P23+Q23</f>
        <v>5.2303678844090998E-2</v>
      </c>
    </row>
    <row r="24" spans="1:18" ht="67.900000000000006" customHeight="1" x14ac:dyDescent="0.25">
      <c r="A24" s="63"/>
      <c r="B24" s="63"/>
      <c r="C24" s="68"/>
      <c r="D24" s="64"/>
      <c r="E24" s="65"/>
      <c r="F24" s="65"/>
      <c r="G24" s="65"/>
      <c r="H24" s="65"/>
      <c r="I24" s="65"/>
      <c r="J24" s="65"/>
      <c r="K24" s="65"/>
      <c r="L24" s="65"/>
      <c r="M24" s="65"/>
      <c r="N24" s="66"/>
      <c r="O24" s="66"/>
      <c r="P24" s="66"/>
      <c r="Q24" s="65"/>
    </row>
    <row r="26" spans="1:18" ht="14.45" customHeight="1" outlineLevel="1" x14ac:dyDescent="0.25">
      <c r="D26" s="282" t="s">
        <v>442</v>
      </c>
      <c r="E26" s="282"/>
      <c r="F26" s="282"/>
      <c r="G26" s="282"/>
      <c r="H26" s="282"/>
      <c r="I26" s="282"/>
      <c r="J26" s="282"/>
      <c r="K26" s="282"/>
      <c r="L26" s="68"/>
      <c r="R26" s="86"/>
    </row>
    <row r="27" spans="1:18" outlineLevel="1" x14ac:dyDescent="0.25">
      <c r="D27" s="87"/>
      <c r="E27" s="87" t="s">
        <v>402</v>
      </c>
      <c r="F27" s="87" t="s">
        <v>403</v>
      </c>
      <c r="G27" s="87" t="s">
        <v>404</v>
      </c>
      <c r="H27" s="88" t="s">
        <v>405</v>
      </c>
      <c r="I27" s="88" t="s">
        <v>406</v>
      </c>
      <c r="J27" s="88" t="s">
        <v>407</v>
      </c>
      <c r="K27" s="59" t="s">
        <v>408</v>
      </c>
    </row>
    <row r="28" spans="1:18" outlineLevel="1" x14ac:dyDescent="0.25">
      <c r="D28" s="276" t="s">
        <v>409</v>
      </c>
      <c r="E28" s="274">
        <v>6.09</v>
      </c>
      <c r="F28" s="278">
        <v>6.63</v>
      </c>
      <c r="G28" s="274">
        <v>5.77</v>
      </c>
      <c r="H28" s="272">
        <v>5.77</v>
      </c>
      <c r="I28" s="272">
        <v>6.35</v>
      </c>
      <c r="J28" s="274">
        <v>5.77</v>
      </c>
      <c r="K28" s="89">
        <v>6.29</v>
      </c>
      <c r="L28" t="s">
        <v>410</v>
      </c>
    </row>
    <row r="29" spans="1:18" outlineLevel="1" x14ac:dyDescent="0.25">
      <c r="D29" s="277"/>
      <c r="E29" s="275"/>
      <c r="F29" s="279"/>
      <c r="G29" s="275"/>
      <c r="H29" s="273"/>
      <c r="I29" s="273"/>
      <c r="J29" s="275"/>
      <c r="K29" s="89">
        <v>6.56</v>
      </c>
      <c r="L29" t="s">
        <v>411</v>
      </c>
    </row>
    <row r="30" spans="1:18" outlineLevel="1" x14ac:dyDescent="0.25">
      <c r="D30" s="90" t="s">
        <v>412</v>
      </c>
      <c r="E30" s="89">
        <v>4.46</v>
      </c>
      <c r="F30" s="87">
        <v>4.46</v>
      </c>
      <c r="G30" s="89">
        <v>4.6500000000000004</v>
      </c>
      <c r="H30" s="88">
        <v>4.6100000000000003</v>
      </c>
      <c r="I30" s="88">
        <v>4.28</v>
      </c>
      <c r="J30" s="89">
        <v>4.6500000000000004</v>
      </c>
      <c r="K30" s="89">
        <v>4.28</v>
      </c>
    </row>
    <row r="31" spans="1:18" outlineLevel="1" x14ac:dyDescent="0.25">
      <c r="D31" s="276" t="s">
        <v>386</v>
      </c>
      <c r="E31" s="274">
        <v>11.37</v>
      </c>
      <c r="F31" s="278">
        <v>13.56</v>
      </c>
      <c r="G31" s="274">
        <v>15.91</v>
      </c>
      <c r="H31" s="272">
        <v>15.91</v>
      </c>
      <c r="I31" s="272">
        <v>14.03</v>
      </c>
      <c r="J31" s="274">
        <v>15.91</v>
      </c>
      <c r="K31" s="89">
        <v>8.2899999999999991</v>
      </c>
      <c r="L31" t="s">
        <v>410</v>
      </c>
    </row>
    <row r="32" spans="1:18" outlineLevel="1" x14ac:dyDescent="0.25">
      <c r="D32" s="277"/>
      <c r="E32" s="275"/>
      <c r="F32" s="279"/>
      <c r="G32" s="275"/>
      <c r="H32" s="273"/>
      <c r="I32" s="273"/>
      <c r="J32" s="275"/>
      <c r="K32" s="89">
        <v>11.84</v>
      </c>
      <c r="L32" t="s">
        <v>411</v>
      </c>
    </row>
    <row r="33" spans="4:12" ht="15" customHeight="1" outlineLevel="1" x14ac:dyDescent="0.25">
      <c r="D33" s="91" t="s">
        <v>413</v>
      </c>
      <c r="E33" s="92">
        <v>3.83</v>
      </c>
      <c r="F33" s="93">
        <v>3.83</v>
      </c>
      <c r="G33" s="92">
        <v>3.99</v>
      </c>
      <c r="H33" s="94">
        <v>3.83</v>
      </c>
      <c r="I33" s="94">
        <v>3.95</v>
      </c>
      <c r="J33" s="92">
        <v>4.09</v>
      </c>
      <c r="K33" s="89">
        <v>3.95</v>
      </c>
      <c r="L33" t="s">
        <v>443</v>
      </c>
    </row>
    <row r="34" spans="4:12" outlineLevel="1" x14ac:dyDescent="0.25">
      <c r="D34" s="91" t="s">
        <v>414</v>
      </c>
      <c r="E34" s="92">
        <v>3.91</v>
      </c>
      <c r="F34" s="93">
        <v>3.91</v>
      </c>
      <c r="G34" s="92">
        <v>3.99</v>
      </c>
      <c r="H34" s="94">
        <v>3.91</v>
      </c>
      <c r="I34" s="94">
        <v>3.99</v>
      </c>
      <c r="J34" s="92">
        <v>4.17</v>
      </c>
      <c r="K34" s="89">
        <v>3.99</v>
      </c>
      <c r="L34" t="s">
        <v>443</v>
      </c>
    </row>
    <row r="35" spans="4:12" outlineLevel="1" x14ac:dyDescent="0.25">
      <c r="D35" s="90" t="s">
        <v>353</v>
      </c>
      <c r="E35" s="89">
        <v>8.7899999999999991</v>
      </c>
      <c r="F35" s="87">
        <v>8.7899999999999991</v>
      </c>
      <c r="G35" s="89">
        <v>9.19</v>
      </c>
      <c r="H35" s="88">
        <v>9.1</v>
      </c>
      <c r="I35" s="88">
        <v>8.42</v>
      </c>
      <c r="J35" s="89">
        <v>9.19</v>
      </c>
      <c r="K35" s="89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196" t="s">
        <v>10</v>
      </c>
      <c r="B2" s="196"/>
      <c r="C2" s="196"/>
      <c r="D2" s="196"/>
    </row>
    <row r="3" spans="1:4" x14ac:dyDescent="0.25">
      <c r="A3" s="1"/>
      <c r="B3" s="1"/>
      <c r="C3" s="1"/>
    </row>
    <row r="4" spans="1:4" ht="63.75" customHeight="1" x14ac:dyDescent="0.25">
      <c r="A4" s="5" t="s">
        <v>11</v>
      </c>
      <c r="B4" s="1" t="str">
        <f>'4.1 Отдел 1'!A10</f>
        <v>И5-05-02</v>
      </c>
      <c r="C4" s="199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199"/>
    </row>
    <row r="5" spans="1:4" x14ac:dyDescent="0.25">
      <c r="A5" s="5"/>
      <c r="B5" s="1"/>
      <c r="C5" s="1"/>
    </row>
    <row r="6" spans="1:4" x14ac:dyDescent="0.25">
      <c r="A6" s="196" t="s">
        <v>12</v>
      </c>
      <c r="B6" s="196"/>
      <c r="C6" s="196"/>
      <c r="D6" s="196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.200000000000003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00" t="s">
        <v>5</v>
      </c>
      <c r="B15" s="201" t="s">
        <v>15</v>
      </c>
      <c r="C15" s="201"/>
      <c r="D15" s="201"/>
    </row>
    <row r="16" spans="1:4" x14ac:dyDescent="0.25">
      <c r="A16" s="200"/>
      <c r="B16" s="200" t="s">
        <v>17</v>
      </c>
      <c r="C16" s="201" t="s">
        <v>28</v>
      </c>
      <c r="D16" s="201"/>
    </row>
    <row r="17" spans="1:4" ht="39.200000000000003" customHeight="1" x14ac:dyDescent="0.25">
      <c r="A17" s="200"/>
      <c r="B17" s="200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02" t="s">
        <v>29</v>
      </c>
      <c r="B2" s="202"/>
      <c r="C2" s="202"/>
      <c r="D2" s="202"/>
    </row>
    <row r="3" spans="1:10" x14ac:dyDescent="0.25">
      <c r="H3" s="98" t="s">
        <v>30</v>
      </c>
      <c r="I3" s="98" t="s">
        <v>31</v>
      </c>
      <c r="J3" s="98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5">
        <v>3985.09</v>
      </c>
      <c r="I4" s="95">
        <v>3153.63</v>
      </c>
      <c r="J4" s="95">
        <v>94532.14</v>
      </c>
    </row>
    <row r="5" spans="1:10" ht="102.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96">
        <v>3</v>
      </c>
      <c r="B7" s="103" t="s">
        <v>41</v>
      </c>
      <c r="C7" s="103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97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E32"/>
  <sheetViews>
    <sheetView view="pageBreakPreview" zoomScale="55" zoomScaleNormal="55" workbookViewId="0">
      <selection activeCell="D25" sqref="D25"/>
    </sheetView>
  </sheetViews>
  <sheetFormatPr defaultColWidth="9.140625" defaultRowHeight="15.75" x14ac:dyDescent="0.25"/>
  <cols>
    <col min="1" max="2" width="9.140625" style="113"/>
    <col min="3" max="3" width="36.85546875" style="113" customWidth="1"/>
    <col min="4" max="4" width="38.28515625" style="113" customWidth="1"/>
    <col min="5" max="5" width="9.140625" style="113"/>
  </cols>
  <sheetData>
    <row r="3" spans="2:4" x14ac:dyDescent="0.25">
      <c r="B3" s="203" t="s">
        <v>45</v>
      </c>
      <c r="C3" s="203"/>
      <c r="D3" s="203"/>
    </row>
    <row r="4" spans="2:4" x14ac:dyDescent="0.25">
      <c r="B4" s="204" t="s">
        <v>46</v>
      </c>
      <c r="C4" s="204"/>
      <c r="D4" s="204"/>
    </row>
    <row r="5" spans="2:4" x14ac:dyDescent="0.25">
      <c r="B5" s="114"/>
      <c r="C5" s="114"/>
      <c r="D5" s="114"/>
    </row>
    <row r="6" spans="2:4" x14ac:dyDescent="0.25">
      <c r="B6" s="114"/>
      <c r="C6" s="114"/>
      <c r="D6" s="114"/>
    </row>
    <row r="7" spans="2:4" ht="33.75" customHeight="1" x14ac:dyDescent="0.25">
      <c r="B7" s="205" t="s">
        <v>47</v>
      </c>
      <c r="C7" s="206"/>
      <c r="D7" s="206"/>
    </row>
    <row r="8" spans="2:4" ht="31.7" customHeight="1" x14ac:dyDescent="0.25">
      <c r="B8" s="206" t="s">
        <v>48</v>
      </c>
      <c r="C8" s="206"/>
      <c r="D8" s="206"/>
    </row>
    <row r="9" spans="2:4" x14ac:dyDescent="0.25">
      <c r="B9" s="206" t="s">
        <v>49</v>
      </c>
      <c r="C9" s="206"/>
      <c r="D9" s="206"/>
    </row>
    <row r="10" spans="2:4" x14ac:dyDescent="0.25">
      <c r="B10" s="115"/>
    </row>
    <row r="11" spans="2:4" x14ac:dyDescent="0.25">
      <c r="B11" s="116" t="s">
        <v>33</v>
      </c>
      <c r="C11" s="116" t="s">
        <v>50</v>
      </c>
      <c r="D11" s="117" t="s">
        <v>51</v>
      </c>
    </row>
    <row r="12" spans="2:4" ht="47.25" customHeight="1" x14ac:dyDescent="0.25">
      <c r="B12" s="116">
        <v>1</v>
      </c>
      <c r="C12" s="117" t="s">
        <v>52</v>
      </c>
      <c r="D12" s="117" t="s">
        <v>53</v>
      </c>
    </row>
    <row r="13" spans="2:4" ht="31.7" customHeight="1" x14ac:dyDescent="0.25">
      <c r="B13" s="116">
        <v>2</v>
      </c>
      <c r="C13" s="117" t="s">
        <v>54</v>
      </c>
      <c r="D13" s="117" t="s">
        <v>55</v>
      </c>
    </row>
    <row r="14" spans="2:4" x14ac:dyDescent="0.25">
      <c r="B14" s="116">
        <v>3</v>
      </c>
      <c r="C14" s="117" t="s">
        <v>56</v>
      </c>
      <c r="D14" s="117" t="s">
        <v>57</v>
      </c>
    </row>
    <row r="15" spans="2:4" x14ac:dyDescent="0.25">
      <c r="B15" s="116">
        <v>4</v>
      </c>
      <c r="C15" s="117" t="s">
        <v>58</v>
      </c>
      <c r="D15" s="118">
        <v>1</v>
      </c>
    </row>
    <row r="16" spans="2:4" ht="110.25" customHeight="1" x14ac:dyDescent="0.25">
      <c r="B16" s="116">
        <v>5</v>
      </c>
      <c r="C16" s="119" t="s">
        <v>59</v>
      </c>
      <c r="D16" s="117" t="s">
        <v>60</v>
      </c>
    </row>
    <row r="17" spans="2:4" ht="78.75" customHeight="1" x14ac:dyDescent="0.25">
      <c r="B17" s="116">
        <v>6</v>
      </c>
      <c r="C17" s="119" t="s">
        <v>61</v>
      </c>
      <c r="D17" s="120">
        <f>D18+D19</f>
        <v>570.044263</v>
      </c>
    </row>
    <row r="18" spans="2:4" x14ac:dyDescent="0.25">
      <c r="B18" s="121" t="s">
        <v>62</v>
      </c>
      <c r="C18" s="117" t="s">
        <v>63</v>
      </c>
      <c r="D18" s="120">
        <f>'Прил.2 Расч стоим'!F14</f>
        <v>308.1515665</v>
      </c>
    </row>
    <row r="19" spans="2:4" ht="15.75" customHeight="1" x14ac:dyDescent="0.25">
      <c r="B19" s="121" t="s">
        <v>64</v>
      </c>
      <c r="C19" s="117" t="s">
        <v>65</v>
      </c>
      <c r="D19" s="120">
        <f>'Прил.2 Расч стоим'!H14</f>
        <v>261.8926965</v>
      </c>
    </row>
    <row r="20" spans="2:4" ht="16.5" customHeight="1" x14ac:dyDescent="0.25">
      <c r="B20" s="121" t="s">
        <v>66</v>
      </c>
      <c r="C20" s="117" t="s">
        <v>67</v>
      </c>
      <c r="D20" s="120"/>
    </row>
    <row r="21" spans="2:4" ht="35.450000000000003" customHeight="1" x14ac:dyDescent="0.25">
      <c r="B21" s="121" t="s">
        <v>68</v>
      </c>
      <c r="C21" s="122" t="s">
        <v>69</v>
      </c>
      <c r="D21" s="120"/>
    </row>
    <row r="22" spans="2:4" x14ac:dyDescent="0.25">
      <c r="B22" s="116">
        <v>7</v>
      </c>
      <c r="C22" s="122" t="s">
        <v>70</v>
      </c>
      <c r="D22" s="116" t="s">
        <v>71</v>
      </c>
    </row>
    <row r="23" spans="2:4" ht="123" customHeight="1" x14ac:dyDescent="0.25">
      <c r="B23" s="116">
        <v>8</v>
      </c>
      <c r="C23" s="123" t="s">
        <v>72</v>
      </c>
      <c r="D23" s="120">
        <f>D17</f>
        <v>570.044263</v>
      </c>
    </row>
    <row r="24" spans="2:4" ht="60.75" customHeight="1" x14ac:dyDescent="0.25">
      <c r="B24" s="116">
        <v>9</v>
      </c>
      <c r="C24" s="119" t="s">
        <v>73</v>
      </c>
      <c r="D24" s="120">
        <f>D17/D15</f>
        <v>570.044263</v>
      </c>
    </row>
    <row r="25" spans="2:4" ht="118.5" customHeight="1" x14ac:dyDescent="0.25">
      <c r="B25" s="116">
        <v>10</v>
      </c>
      <c r="C25" s="117" t="s">
        <v>74</v>
      </c>
      <c r="D25" s="117"/>
    </row>
    <row r="26" spans="2:4" x14ac:dyDescent="0.25">
      <c r="B26" s="124"/>
      <c r="C26" s="125"/>
      <c r="D26" s="125"/>
    </row>
    <row r="27" spans="2:4" ht="37.5" customHeight="1" x14ac:dyDescent="0.25">
      <c r="B27" s="126"/>
    </row>
    <row r="28" spans="2:4" x14ac:dyDescent="0.25">
      <c r="B28" s="113" t="s">
        <v>75</v>
      </c>
    </row>
    <row r="29" spans="2:4" x14ac:dyDescent="0.25">
      <c r="B29" s="126" t="s">
        <v>76</v>
      </c>
    </row>
    <row r="31" spans="2:4" x14ac:dyDescent="0.25">
      <c r="B31" s="113" t="s">
        <v>77</v>
      </c>
    </row>
    <row r="32" spans="2:4" x14ac:dyDescent="0.25">
      <c r="B32" s="126" t="s">
        <v>78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L22"/>
  <sheetViews>
    <sheetView view="pageBreakPreview" zoomScale="70" zoomScaleNormal="70" workbookViewId="0">
      <selection activeCell="J15" sqref="J15"/>
    </sheetView>
  </sheetViews>
  <sheetFormatPr defaultColWidth="9.140625" defaultRowHeight="15.75" x14ac:dyDescent="0.25"/>
  <cols>
    <col min="1" max="1" width="5.5703125" style="113" customWidth="1"/>
    <col min="2" max="2" width="9.140625" style="113"/>
    <col min="3" max="3" width="35.28515625" style="113" customWidth="1"/>
    <col min="4" max="4" width="13.85546875" style="113" customWidth="1"/>
    <col min="5" max="5" width="24.85546875" style="113" customWidth="1"/>
    <col min="6" max="6" width="15.5703125" style="113" customWidth="1"/>
    <col min="7" max="7" width="14.85546875" style="113" customWidth="1"/>
    <col min="8" max="8" width="16.7109375" style="113" customWidth="1"/>
    <col min="9" max="10" width="13" style="113" customWidth="1"/>
    <col min="11" max="11" width="18" style="113" customWidth="1"/>
    <col min="12" max="12" width="9.140625" style="113"/>
  </cols>
  <sheetData>
    <row r="3" spans="2:12" x14ac:dyDescent="0.25">
      <c r="B3" s="203" t="s">
        <v>79</v>
      </c>
      <c r="C3" s="203"/>
      <c r="D3" s="203"/>
      <c r="E3" s="203"/>
      <c r="F3" s="203"/>
      <c r="G3" s="203"/>
      <c r="H3" s="203"/>
      <c r="I3" s="203"/>
      <c r="J3" s="203"/>
      <c r="K3" s="126"/>
    </row>
    <row r="4" spans="2:12" x14ac:dyDescent="0.25">
      <c r="B4" s="204" t="s">
        <v>80</v>
      </c>
      <c r="C4" s="204"/>
      <c r="D4" s="204"/>
      <c r="E4" s="204"/>
      <c r="F4" s="204"/>
      <c r="G4" s="204"/>
      <c r="H4" s="204"/>
      <c r="I4" s="204"/>
      <c r="J4" s="204"/>
      <c r="K4" s="204"/>
    </row>
    <row r="5" spans="2:12" x14ac:dyDescent="0.25">
      <c r="B5" s="114"/>
      <c r="C5" s="114"/>
      <c r="D5" s="114"/>
      <c r="E5" s="114"/>
      <c r="F5" s="114"/>
      <c r="G5" s="114"/>
      <c r="H5" s="114"/>
      <c r="I5" s="114"/>
      <c r="J5" s="114"/>
      <c r="K5" s="114"/>
    </row>
    <row r="6" spans="2:12" ht="33" customHeight="1" x14ac:dyDescent="0.25">
      <c r="B6" s="208" t="s">
        <v>81</v>
      </c>
      <c r="C6" s="208"/>
      <c r="D6" s="208"/>
      <c r="E6" s="208"/>
      <c r="F6" s="208"/>
      <c r="G6" s="208"/>
      <c r="H6" s="208"/>
      <c r="I6" s="208"/>
      <c r="J6" s="208"/>
      <c r="K6" s="126"/>
      <c r="L6" s="127"/>
    </row>
    <row r="7" spans="2:12" x14ac:dyDescent="0.25">
      <c r="B7" s="206" t="s">
        <v>49</v>
      </c>
      <c r="C7" s="206"/>
      <c r="D7" s="206"/>
      <c r="E7" s="206"/>
      <c r="F7" s="206"/>
      <c r="G7" s="206"/>
      <c r="H7" s="206"/>
      <c r="I7" s="206"/>
      <c r="J7" s="206"/>
      <c r="K7" s="206"/>
      <c r="L7" s="127"/>
    </row>
    <row r="8" spans="2:12" x14ac:dyDescent="0.25">
      <c r="B8" s="115"/>
    </row>
    <row r="9" spans="2:12" ht="15.75" customHeight="1" x14ac:dyDescent="0.25">
      <c r="B9" s="209" t="s">
        <v>33</v>
      </c>
      <c r="C9" s="209" t="s">
        <v>82</v>
      </c>
      <c r="D9" s="209" t="s">
        <v>51</v>
      </c>
      <c r="E9" s="209"/>
      <c r="F9" s="209"/>
      <c r="G9" s="209"/>
      <c r="H9" s="209"/>
      <c r="I9" s="209"/>
      <c r="J9" s="209"/>
    </row>
    <row r="10" spans="2:12" ht="15.75" customHeight="1" x14ac:dyDescent="0.25">
      <c r="B10" s="209"/>
      <c r="C10" s="209"/>
      <c r="D10" s="209" t="s">
        <v>83</v>
      </c>
      <c r="E10" s="209" t="s">
        <v>84</v>
      </c>
      <c r="F10" s="209" t="s">
        <v>85</v>
      </c>
      <c r="G10" s="209"/>
      <c r="H10" s="209"/>
      <c r="I10" s="209"/>
      <c r="J10" s="209"/>
    </row>
    <row r="11" spans="2:12" ht="31.7" customHeight="1" x14ac:dyDescent="0.25">
      <c r="B11" s="209"/>
      <c r="C11" s="209"/>
      <c r="D11" s="209"/>
      <c r="E11" s="209"/>
      <c r="F11" s="116" t="s">
        <v>86</v>
      </c>
      <c r="G11" s="116" t="s">
        <v>87</v>
      </c>
      <c r="H11" s="116" t="s">
        <v>43</v>
      </c>
      <c r="I11" s="116" t="s">
        <v>88</v>
      </c>
      <c r="J11" s="116" t="s">
        <v>89</v>
      </c>
    </row>
    <row r="12" spans="2:12" ht="63" customHeight="1" x14ac:dyDescent="0.25">
      <c r="B12" s="183"/>
      <c r="C12" s="136" t="s">
        <v>90</v>
      </c>
      <c r="D12" s="190"/>
      <c r="E12" s="118"/>
      <c r="F12" s="210">
        <v>308.1515665</v>
      </c>
      <c r="G12" s="211"/>
      <c r="H12" s="128">
        <v>261.8926965</v>
      </c>
      <c r="I12" s="129"/>
      <c r="J12" s="130">
        <v>570.044263</v>
      </c>
    </row>
    <row r="13" spans="2:12" ht="15.75" customHeight="1" x14ac:dyDescent="0.25">
      <c r="B13" s="207" t="s">
        <v>91</v>
      </c>
      <c r="C13" s="207"/>
      <c r="D13" s="207"/>
      <c r="E13" s="207"/>
      <c r="F13" s="131"/>
      <c r="G13" s="131"/>
      <c r="H13" s="131"/>
      <c r="I13" s="132"/>
      <c r="J13" s="133"/>
    </row>
    <row r="14" spans="2:12" ht="28.5" customHeight="1" x14ac:dyDescent="0.25">
      <c r="B14" s="207" t="s">
        <v>92</v>
      </c>
      <c r="C14" s="207"/>
      <c r="D14" s="207"/>
      <c r="E14" s="207"/>
      <c r="F14" s="212">
        <f>F12</f>
        <v>308.1515665</v>
      </c>
      <c r="G14" s="213"/>
      <c r="H14" s="131">
        <f>H12</f>
        <v>261.8926965</v>
      </c>
      <c r="I14" s="132"/>
      <c r="J14" s="133">
        <f>J12</f>
        <v>570.044263</v>
      </c>
    </row>
    <row r="15" spans="2:12" x14ac:dyDescent="0.25">
      <c r="B15" s="115"/>
    </row>
    <row r="18" spans="2:2" x14ac:dyDescent="0.25">
      <c r="B18" s="113" t="s">
        <v>75</v>
      </c>
    </row>
    <row r="19" spans="2:2" x14ac:dyDescent="0.25">
      <c r="B19" s="126" t="s">
        <v>76</v>
      </c>
    </row>
    <row r="21" spans="2:2" x14ac:dyDescent="0.25">
      <c r="B21" s="113" t="s">
        <v>77</v>
      </c>
    </row>
    <row r="22" spans="2:2" x14ac:dyDescent="0.25">
      <c r="B22" s="126" t="s">
        <v>78</v>
      </c>
    </row>
  </sheetData>
  <mergeCells count="14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4:G14"/>
  </mergeCells>
  <pageMargins left="0.7" right="0.7" top="0.75" bottom="0.75" header="0.3" footer="0.3"/>
  <pageSetup paperSize="9" scale="5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M62"/>
  <sheetViews>
    <sheetView view="pageBreakPreview" topLeftCell="A19" zoomScale="85" workbookViewId="0">
      <selection activeCell="A5" sqref="A5:H5"/>
    </sheetView>
  </sheetViews>
  <sheetFormatPr defaultColWidth="9.140625" defaultRowHeight="15.75" x14ac:dyDescent="0.25"/>
  <cols>
    <col min="1" max="1" width="9.140625" style="113"/>
    <col min="2" max="2" width="12.5703125" style="113" customWidth="1"/>
    <col min="3" max="3" width="22.42578125" style="113" customWidth="1"/>
    <col min="4" max="4" width="49.7109375" style="113" customWidth="1"/>
    <col min="5" max="5" width="10.140625" style="134" customWidth="1"/>
    <col min="6" max="6" width="20.7109375" style="113" customWidth="1"/>
    <col min="7" max="7" width="16.140625" style="113" customWidth="1"/>
    <col min="8" max="8" width="16.7109375" style="113" customWidth="1"/>
    <col min="9" max="9" width="9.140625" style="113"/>
    <col min="10" max="10" width="10.28515625" style="113" customWidth="1"/>
    <col min="11" max="11" width="9.140625" style="113"/>
  </cols>
  <sheetData>
    <row r="2" spans="1:13" x14ac:dyDescent="0.25">
      <c r="A2" s="203" t="s">
        <v>93</v>
      </c>
      <c r="B2" s="203"/>
      <c r="C2" s="203"/>
      <c r="D2" s="203"/>
      <c r="E2" s="203"/>
      <c r="F2" s="203"/>
      <c r="G2" s="203"/>
      <c r="H2" s="203"/>
    </row>
    <row r="3" spans="1:13" x14ac:dyDescent="0.25">
      <c r="A3" s="204" t="s">
        <v>94</v>
      </c>
      <c r="B3" s="204"/>
      <c r="C3" s="204"/>
      <c r="D3" s="204"/>
      <c r="E3" s="204"/>
      <c r="F3" s="204"/>
      <c r="G3" s="204"/>
      <c r="H3" s="204"/>
    </row>
    <row r="4" spans="1:13" x14ac:dyDescent="0.25">
      <c r="A4" s="115"/>
    </row>
    <row r="5" spans="1:13" ht="30.75" customHeight="1" x14ac:dyDescent="0.25">
      <c r="A5" s="208" t="s">
        <v>95</v>
      </c>
      <c r="B5" s="208"/>
      <c r="C5" s="208"/>
      <c r="D5" s="208"/>
      <c r="E5" s="208"/>
      <c r="F5" s="208"/>
      <c r="G5" s="208"/>
      <c r="H5" s="208"/>
    </row>
    <row r="6" spans="1:13" x14ac:dyDescent="0.25">
      <c r="A6" s="135"/>
      <c r="B6" s="135"/>
      <c r="C6" s="135"/>
      <c r="D6" s="135"/>
      <c r="E6" s="114"/>
      <c r="F6" s="135"/>
      <c r="G6" s="135"/>
      <c r="H6" s="135"/>
    </row>
    <row r="7" spans="1:13" ht="38.25" customHeight="1" x14ac:dyDescent="0.25">
      <c r="A7" s="209" t="s">
        <v>96</v>
      </c>
      <c r="B7" s="209" t="s">
        <v>97</v>
      </c>
      <c r="C7" s="209" t="s">
        <v>98</v>
      </c>
      <c r="D7" s="209" t="s">
        <v>99</v>
      </c>
      <c r="E7" s="209" t="s">
        <v>100</v>
      </c>
      <c r="F7" s="209" t="s">
        <v>101</v>
      </c>
      <c r="G7" s="209" t="s">
        <v>102</v>
      </c>
      <c r="H7" s="209"/>
    </row>
    <row r="8" spans="1:13" ht="40.700000000000003" customHeight="1" x14ac:dyDescent="0.25">
      <c r="A8" s="209"/>
      <c r="B8" s="209"/>
      <c r="C8" s="209"/>
      <c r="D8" s="209"/>
      <c r="E8" s="209"/>
      <c r="F8" s="209"/>
      <c r="G8" s="116" t="s">
        <v>103</v>
      </c>
      <c r="H8" s="116" t="s">
        <v>104</v>
      </c>
    </row>
    <row r="9" spans="1:13" x14ac:dyDescent="0.25">
      <c r="A9" s="136">
        <v>1</v>
      </c>
      <c r="B9" s="136"/>
      <c r="C9" s="136">
        <v>2</v>
      </c>
      <c r="D9" s="136" t="s">
        <v>105</v>
      </c>
      <c r="E9" s="136">
        <v>4</v>
      </c>
      <c r="F9" s="136">
        <v>5</v>
      </c>
      <c r="G9" s="136">
        <v>6</v>
      </c>
      <c r="H9" s="136">
        <v>7</v>
      </c>
    </row>
    <row r="10" spans="1:13" s="138" customFormat="1" x14ac:dyDescent="0.25">
      <c r="A10" s="214" t="s">
        <v>106</v>
      </c>
      <c r="B10" s="215"/>
      <c r="C10" s="216"/>
      <c r="D10" s="216"/>
      <c r="E10" s="215"/>
      <c r="F10" s="137">
        <f>SUM(F11:F18)</f>
        <v>2108.5939919821999</v>
      </c>
      <c r="G10" s="137"/>
      <c r="H10" s="137">
        <f>SUM(H11:H18)</f>
        <v>20326.189999999999</v>
      </c>
      <c r="I10" s="113"/>
      <c r="J10" s="113"/>
      <c r="K10" s="113"/>
      <c r="L10" s="113"/>
      <c r="M10" s="113"/>
    </row>
    <row r="11" spans="1:13" x14ac:dyDescent="0.25">
      <c r="A11" s="139">
        <v>1</v>
      </c>
      <c r="B11" s="140" t="s">
        <v>107</v>
      </c>
      <c r="C11" s="141" t="s">
        <v>108</v>
      </c>
      <c r="D11" s="142" t="s">
        <v>109</v>
      </c>
      <c r="E11" s="143" t="s">
        <v>110</v>
      </c>
      <c r="F11" s="139">
        <v>1710.1010549634</v>
      </c>
      <c r="G11" s="144">
        <v>9.6199999999999992</v>
      </c>
      <c r="H11" s="144">
        <f t="shared" ref="H11:H18" si="0">ROUND(F11*G11,2)</f>
        <v>16451.169999999998</v>
      </c>
    </row>
    <row r="12" spans="1:13" x14ac:dyDescent="0.25">
      <c r="A12" s="139">
        <v>2</v>
      </c>
      <c r="B12" s="140" t="s">
        <v>107</v>
      </c>
      <c r="C12" s="141" t="s">
        <v>111</v>
      </c>
      <c r="D12" s="142" t="s">
        <v>112</v>
      </c>
      <c r="E12" s="143" t="s">
        <v>110</v>
      </c>
      <c r="F12" s="195">
        <v>159.60917941015001</v>
      </c>
      <c r="G12" s="144">
        <v>9.4</v>
      </c>
      <c r="H12" s="144">
        <f t="shared" si="0"/>
        <v>1500.33</v>
      </c>
    </row>
    <row r="13" spans="1:13" x14ac:dyDescent="0.25">
      <c r="A13" s="139">
        <v>3</v>
      </c>
      <c r="B13" s="140" t="s">
        <v>107</v>
      </c>
      <c r="C13" s="141" t="s">
        <v>113</v>
      </c>
      <c r="D13" s="142" t="s">
        <v>114</v>
      </c>
      <c r="E13" s="143" t="s">
        <v>110</v>
      </c>
      <c r="F13" s="195">
        <v>90.859115413747006</v>
      </c>
      <c r="G13" s="144">
        <v>10.06</v>
      </c>
      <c r="H13" s="144">
        <f t="shared" si="0"/>
        <v>914.04</v>
      </c>
    </row>
    <row r="14" spans="1:13" x14ac:dyDescent="0.25">
      <c r="A14" s="139">
        <v>4</v>
      </c>
      <c r="B14" s="140" t="s">
        <v>107</v>
      </c>
      <c r="C14" s="141" t="s">
        <v>115</v>
      </c>
      <c r="D14" s="142" t="s">
        <v>116</v>
      </c>
      <c r="E14" s="143" t="s">
        <v>110</v>
      </c>
      <c r="F14" s="195">
        <v>56.219077662255998</v>
      </c>
      <c r="G14" s="144">
        <v>9.92</v>
      </c>
      <c r="H14" s="144">
        <f t="shared" si="0"/>
        <v>557.69000000000005</v>
      </c>
    </row>
    <row r="15" spans="1:13" x14ac:dyDescent="0.25">
      <c r="A15" s="139">
        <v>5</v>
      </c>
      <c r="B15" s="140" t="s">
        <v>107</v>
      </c>
      <c r="C15" s="141" t="s">
        <v>117</v>
      </c>
      <c r="D15" s="142" t="s">
        <v>118</v>
      </c>
      <c r="E15" s="143" t="s">
        <v>110</v>
      </c>
      <c r="F15" s="195">
        <v>37.857964755727998</v>
      </c>
      <c r="G15" s="144">
        <v>9.07</v>
      </c>
      <c r="H15" s="144">
        <f t="shared" si="0"/>
        <v>343.37</v>
      </c>
    </row>
    <row r="16" spans="1:13" x14ac:dyDescent="0.25">
      <c r="A16" s="139">
        <v>6</v>
      </c>
      <c r="B16" s="140" t="s">
        <v>107</v>
      </c>
      <c r="C16" s="141" t="s">
        <v>119</v>
      </c>
      <c r="D16" s="142" t="s">
        <v>120</v>
      </c>
      <c r="E16" s="143" t="s">
        <v>110</v>
      </c>
      <c r="F16" s="195">
        <v>27.257734624124001</v>
      </c>
      <c r="G16" s="144">
        <v>10.5</v>
      </c>
      <c r="H16" s="144">
        <f t="shared" si="0"/>
        <v>286.20999999999998</v>
      </c>
    </row>
    <row r="17" spans="1:13" x14ac:dyDescent="0.25">
      <c r="A17" s="139">
        <v>7</v>
      </c>
      <c r="B17" s="140" t="s">
        <v>107</v>
      </c>
      <c r="C17" s="141" t="s">
        <v>121</v>
      </c>
      <c r="D17" s="142" t="s">
        <v>122</v>
      </c>
      <c r="E17" s="143" t="s">
        <v>110</v>
      </c>
      <c r="F17" s="195">
        <v>20.443300968092998</v>
      </c>
      <c r="G17" s="144">
        <v>10.210000000000001</v>
      </c>
      <c r="H17" s="144">
        <f t="shared" si="0"/>
        <v>208.73</v>
      </c>
    </row>
    <row r="18" spans="1:13" x14ac:dyDescent="0.25">
      <c r="A18" s="139">
        <v>8</v>
      </c>
      <c r="B18" s="140" t="s">
        <v>107</v>
      </c>
      <c r="C18" s="141" t="s">
        <v>123</v>
      </c>
      <c r="D18" s="142" t="s">
        <v>124</v>
      </c>
      <c r="E18" s="143" t="s">
        <v>110</v>
      </c>
      <c r="F18" s="195">
        <v>6.2465641846951003</v>
      </c>
      <c r="G18" s="144">
        <v>10.35</v>
      </c>
      <c r="H18" s="144">
        <f t="shared" si="0"/>
        <v>64.650000000000006</v>
      </c>
    </row>
    <row r="19" spans="1:13" x14ac:dyDescent="0.25">
      <c r="A19" s="214" t="s">
        <v>125</v>
      </c>
      <c r="B19" s="215"/>
      <c r="C19" s="216"/>
      <c r="D19" s="216"/>
      <c r="E19" s="215"/>
      <c r="F19" s="184">
        <f>F20</f>
        <v>9.2482192630797009</v>
      </c>
      <c r="G19" s="137"/>
      <c r="H19" s="137">
        <f>H20</f>
        <v>61.5</v>
      </c>
    </row>
    <row r="20" spans="1:13" x14ac:dyDescent="0.25">
      <c r="A20" s="139">
        <v>9</v>
      </c>
      <c r="B20" s="139" t="s">
        <v>107</v>
      </c>
      <c r="C20" s="142">
        <v>2</v>
      </c>
      <c r="D20" s="142" t="s">
        <v>125</v>
      </c>
      <c r="E20" s="143" t="s">
        <v>110</v>
      </c>
      <c r="F20" s="139">
        <v>9.2482192630797009</v>
      </c>
      <c r="G20" s="144"/>
      <c r="H20" s="144">
        <v>61.5</v>
      </c>
    </row>
    <row r="21" spans="1:13" s="138" customFormat="1" x14ac:dyDescent="0.25">
      <c r="A21" s="214" t="s">
        <v>126</v>
      </c>
      <c r="B21" s="215"/>
      <c r="C21" s="216"/>
      <c r="D21" s="216"/>
      <c r="E21" s="215"/>
      <c r="F21" s="184"/>
      <c r="G21" s="137"/>
      <c r="H21" s="137">
        <f>SUM(H22:H25)</f>
        <v>999.28</v>
      </c>
      <c r="I21" s="113"/>
      <c r="J21" s="113"/>
      <c r="K21" s="113"/>
      <c r="L21" s="113"/>
      <c r="M21" s="113"/>
    </row>
    <row r="22" spans="1:13" ht="31.7" customHeight="1" x14ac:dyDescent="0.25">
      <c r="A22" s="139">
        <v>10</v>
      </c>
      <c r="B22" s="139" t="s">
        <v>107</v>
      </c>
      <c r="C22" s="142" t="s">
        <v>127</v>
      </c>
      <c r="D22" s="142" t="s">
        <v>128</v>
      </c>
      <c r="E22" s="143" t="s">
        <v>129</v>
      </c>
      <c r="F22" s="139">
        <v>4.6280698947912997</v>
      </c>
      <c r="G22" s="144">
        <v>115.4</v>
      </c>
      <c r="H22" s="144">
        <f>ROUND(F22*G22,2)</f>
        <v>534.08000000000004</v>
      </c>
    </row>
    <row r="23" spans="1:13" s="138" customFormat="1" x14ac:dyDescent="0.25">
      <c r="A23" s="139">
        <v>11</v>
      </c>
      <c r="B23" s="139" t="s">
        <v>107</v>
      </c>
      <c r="C23" s="142" t="s">
        <v>130</v>
      </c>
      <c r="D23" s="142" t="s">
        <v>131</v>
      </c>
      <c r="E23" s="143" t="s">
        <v>129</v>
      </c>
      <c r="F23" s="139">
        <v>4.6281095699617998</v>
      </c>
      <c r="G23" s="144">
        <v>65.709999999999994</v>
      </c>
      <c r="H23" s="144">
        <f>ROUND(F23*G23,2)</f>
        <v>304.11</v>
      </c>
      <c r="I23" s="113"/>
      <c r="J23" s="113"/>
      <c r="K23" s="113"/>
      <c r="L23" s="113"/>
      <c r="M23" s="113"/>
    </row>
    <row r="24" spans="1:13" s="138" customFormat="1" ht="31.7" customHeight="1" x14ac:dyDescent="0.25">
      <c r="A24" s="139">
        <v>12</v>
      </c>
      <c r="B24" s="139" t="s">
        <v>107</v>
      </c>
      <c r="C24" s="142" t="s">
        <v>132</v>
      </c>
      <c r="D24" s="142" t="s">
        <v>133</v>
      </c>
      <c r="E24" s="143" t="s">
        <v>129</v>
      </c>
      <c r="F24" s="139">
        <v>38.536058951906</v>
      </c>
      <c r="G24" s="144">
        <v>3.28</v>
      </c>
      <c r="H24" s="144">
        <f>ROUND(F24*G24,2)</f>
        <v>126.4</v>
      </c>
      <c r="I24" s="113"/>
      <c r="J24" s="113"/>
      <c r="K24" s="113"/>
      <c r="L24" s="113"/>
      <c r="M24" s="113"/>
    </row>
    <row r="25" spans="1:13" s="138" customFormat="1" ht="31.7" customHeight="1" x14ac:dyDescent="0.25">
      <c r="A25" s="139">
        <v>13</v>
      </c>
      <c r="B25" s="139" t="s">
        <v>107</v>
      </c>
      <c r="C25" s="142" t="s">
        <v>134</v>
      </c>
      <c r="D25" s="142" t="s">
        <v>135</v>
      </c>
      <c r="E25" s="143" t="s">
        <v>129</v>
      </c>
      <c r="F25" s="195">
        <v>38.545353804321998</v>
      </c>
      <c r="G25" s="144">
        <v>0.9</v>
      </c>
      <c r="H25" s="144">
        <f>ROUND(F25*G25,2)</f>
        <v>34.69</v>
      </c>
      <c r="I25" s="113"/>
      <c r="J25" s="113"/>
      <c r="K25" s="113"/>
      <c r="L25" s="113"/>
      <c r="M25" s="113"/>
    </row>
    <row r="26" spans="1:13" x14ac:dyDescent="0.25">
      <c r="A26" s="214" t="s">
        <v>43</v>
      </c>
      <c r="B26" s="215"/>
      <c r="C26" s="216"/>
      <c r="D26" s="216"/>
      <c r="E26" s="215"/>
      <c r="F26" s="184"/>
      <c r="G26" s="137"/>
      <c r="H26" s="137">
        <f>SUM(H27:H39)</f>
        <v>56321.01</v>
      </c>
    </row>
    <row r="27" spans="1:13" s="138" customFormat="1" ht="31.7" customHeight="1" x14ac:dyDescent="0.25">
      <c r="A27" s="139">
        <v>14</v>
      </c>
      <c r="B27" s="139" t="s">
        <v>107</v>
      </c>
      <c r="C27" s="142" t="s">
        <v>136</v>
      </c>
      <c r="D27" s="142" t="s">
        <v>137</v>
      </c>
      <c r="E27" s="143" t="s">
        <v>138</v>
      </c>
      <c r="F27" s="139">
        <v>12</v>
      </c>
      <c r="G27" s="144">
        <v>1105.2</v>
      </c>
      <c r="H27" s="144">
        <f t="shared" ref="H27:H39" si="1">ROUND(F27*G27,2)</f>
        <v>13262.4</v>
      </c>
      <c r="I27" s="113"/>
      <c r="J27" s="113"/>
      <c r="K27" s="113"/>
      <c r="L27" s="113"/>
      <c r="M27" s="113"/>
    </row>
    <row r="28" spans="1:13" s="138" customFormat="1" ht="47.25" customHeight="1" x14ac:dyDescent="0.25">
      <c r="A28" s="139">
        <v>15</v>
      </c>
      <c r="B28" s="139" t="s">
        <v>107</v>
      </c>
      <c r="C28" s="142" t="s">
        <v>139</v>
      </c>
      <c r="D28" s="142" t="s">
        <v>140</v>
      </c>
      <c r="E28" s="143" t="s">
        <v>138</v>
      </c>
      <c r="F28" s="139">
        <v>74</v>
      </c>
      <c r="G28" s="144">
        <v>116.52</v>
      </c>
      <c r="H28" s="144">
        <f t="shared" si="1"/>
        <v>8622.48</v>
      </c>
      <c r="I28" s="113"/>
      <c r="J28" s="113"/>
      <c r="K28" s="113"/>
      <c r="L28" s="113"/>
      <c r="M28" s="113"/>
    </row>
    <row r="29" spans="1:13" s="138" customFormat="1" ht="63" customHeight="1" x14ac:dyDescent="0.25">
      <c r="A29" s="139">
        <v>16</v>
      </c>
      <c r="B29" s="139" t="s">
        <v>107</v>
      </c>
      <c r="C29" s="142" t="s">
        <v>141</v>
      </c>
      <c r="D29" s="142" t="s">
        <v>142</v>
      </c>
      <c r="E29" s="143" t="s">
        <v>143</v>
      </c>
      <c r="F29" s="139">
        <v>4</v>
      </c>
      <c r="G29" s="144">
        <v>2188.6</v>
      </c>
      <c r="H29" s="144">
        <f t="shared" si="1"/>
        <v>8754.4</v>
      </c>
      <c r="I29" s="113"/>
      <c r="J29" s="113"/>
      <c r="K29" s="113"/>
      <c r="L29" s="113"/>
      <c r="M29" s="113"/>
    </row>
    <row r="30" spans="1:13" s="138" customFormat="1" x14ac:dyDescent="0.25">
      <c r="A30" s="139">
        <v>17</v>
      </c>
      <c r="B30" s="139" t="s">
        <v>107</v>
      </c>
      <c r="C30" s="142" t="s">
        <v>144</v>
      </c>
      <c r="D30" s="142" t="s">
        <v>145</v>
      </c>
      <c r="E30" s="143" t="s">
        <v>143</v>
      </c>
      <c r="F30" s="139">
        <v>1.3</v>
      </c>
      <c r="G30" s="144">
        <v>3463.94</v>
      </c>
      <c r="H30" s="144">
        <f t="shared" si="1"/>
        <v>4503.12</v>
      </c>
      <c r="I30" s="113"/>
      <c r="J30" s="113"/>
      <c r="K30" s="113"/>
      <c r="L30" s="113"/>
      <c r="M30" s="113"/>
    </row>
    <row r="31" spans="1:13" s="138" customFormat="1" ht="31.7" customHeight="1" x14ac:dyDescent="0.25">
      <c r="A31" s="139">
        <v>18</v>
      </c>
      <c r="B31" s="139" t="s">
        <v>107</v>
      </c>
      <c r="C31" s="142" t="s">
        <v>146</v>
      </c>
      <c r="D31" s="142" t="s">
        <v>147</v>
      </c>
      <c r="E31" s="143" t="s">
        <v>138</v>
      </c>
      <c r="F31" s="139">
        <v>21</v>
      </c>
      <c r="G31" s="144">
        <v>187</v>
      </c>
      <c r="H31" s="144">
        <f t="shared" si="1"/>
        <v>3927</v>
      </c>
      <c r="I31" s="113"/>
      <c r="J31" s="113"/>
      <c r="K31" s="113"/>
      <c r="L31" s="113"/>
      <c r="M31" s="113"/>
    </row>
    <row r="32" spans="1:13" s="138" customFormat="1" x14ac:dyDescent="0.25">
      <c r="A32" s="139">
        <v>19</v>
      </c>
      <c r="B32" s="139" t="s">
        <v>107</v>
      </c>
      <c r="C32" s="142" t="s">
        <v>148</v>
      </c>
      <c r="D32" s="142" t="s">
        <v>149</v>
      </c>
      <c r="E32" s="143" t="s">
        <v>138</v>
      </c>
      <c r="F32" s="139">
        <v>90</v>
      </c>
      <c r="G32" s="144">
        <v>38.380000000000003</v>
      </c>
      <c r="H32" s="144">
        <f t="shared" si="1"/>
        <v>3454.2</v>
      </c>
      <c r="I32" s="113"/>
      <c r="J32" s="113"/>
      <c r="K32" s="113"/>
      <c r="L32" s="113"/>
      <c r="M32" s="113"/>
    </row>
    <row r="33" spans="1:13" s="138" customFormat="1" x14ac:dyDescent="0.25">
      <c r="A33" s="139">
        <v>20</v>
      </c>
      <c r="B33" s="139" t="s">
        <v>107</v>
      </c>
      <c r="C33" s="142" t="s">
        <v>150</v>
      </c>
      <c r="D33" s="142" t="s">
        <v>151</v>
      </c>
      <c r="E33" s="143" t="s">
        <v>138</v>
      </c>
      <c r="F33" s="139">
        <v>14</v>
      </c>
      <c r="G33" s="144">
        <v>243.85</v>
      </c>
      <c r="H33" s="144">
        <f t="shared" si="1"/>
        <v>3413.9</v>
      </c>
      <c r="I33" s="113"/>
      <c r="J33" s="113"/>
      <c r="K33" s="113"/>
      <c r="L33" s="113"/>
      <c r="M33" s="113"/>
    </row>
    <row r="34" spans="1:13" s="138" customFormat="1" ht="141.75" customHeight="1" x14ac:dyDescent="0.25">
      <c r="A34" s="139">
        <v>21</v>
      </c>
      <c r="B34" s="139" t="s">
        <v>107</v>
      </c>
      <c r="C34" s="142" t="s">
        <v>152</v>
      </c>
      <c r="D34" s="142" t="s">
        <v>153</v>
      </c>
      <c r="E34" s="143" t="s">
        <v>138</v>
      </c>
      <c r="F34" s="139">
        <v>4</v>
      </c>
      <c r="G34" s="144">
        <v>726.24</v>
      </c>
      <c r="H34" s="144">
        <f t="shared" si="1"/>
        <v>2904.96</v>
      </c>
      <c r="I34" s="113"/>
      <c r="J34" s="113"/>
      <c r="K34" s="113"/>
      <c r="L34" s="113"/>
      <c r="M34" s="113"/>
    </row>
    <row r="35" spans="1:13" s="138" customFormat="1" ht="31.7" customHeight="1" x14ac:dyDescent="0.25">
      <c r="A35" s="139">
        <v>22</v>
      </c>
      <c r="B35" s="139" t="s">
        <v>107</v>
      </c>
      <c r="C35" s="142" t="s">
        <v>154</v>
      </c>
      <c r="D35" s="142" t="s">
        <v>155</v>
      </c>
      <c r="E35" s="143" t="s">
        <v>138</v>
      </c>
      <c r="F35" s="139">
        <v>15</v>
      </c>
      <c r="G35" s="144">
        <v>175.63</v>
      </c>
      <c r="H35" s="144">
        <f t="shared" si="1"/>
        <v>2634.45</v>
      </c>
      <c r="I35" s="113"/>
      <c r="J35" s="113"/>
      <c r="K35" s="113"/>
      <c r="L35" s="113"/>
      <c r="M35" s="113"/>
    </row>
    <row r="36" spans="1:13" s="138" customFormat="1" ht="31.7" customHeight="1" x14ac:dyDescent="0.25">
      <c r="A36" s="139">
        <v>23</v>
      </c>
      <c r="B36" s="139" t="s">
        <v>107</v>
      </c>
      <c r="C36" s="142" t="s">
        <v>156</v>
      </c>
      <c r="D36" s="142" t="s">
        <v>157</v>
      </c>
      <c r="E36" s="143" t="s">
        <v>143</v>
      </c>
      <c r="F36" s="139">
        <v>5.5</v>
      </c>
      <c r="G36" s="144">
        <v>410.04</v>
      </c>
      <c r="H36" s="144">
        <f t="shared" si="1"/>
        <v>2255.2199999999998</v>
      </c>
      <c r="I36" s="113"/>
      <c r="J36" s="113"/>
      <c r="K36" s="113"/>
      <c r="L36" s="113"/>
      <c r="M36" s="113"/>
    </row>
    <row r="37" spans="1:13" s="138" customFormat="1" ht="63" customHeight="1" x14ac:dyDescent="0.25">
      <c r="A37" s="139">
        <v>24</v>
      </c>
      <c r="B37" s="139" t="s">
        <v>107</v>
      </c>
      <c r="C37" s="142" t="s">
        <v>158</v>
      </c>
      <c r="D37" s="142" t="s">
        <v>159</v>
      </c>
      <c r="E37" s="143" t="s">
        <v>138</v>
      </c>
      <c r="F37" s="139">
        <v>19</v>
      </c>
      <c r="G37" s="144">
        <v>68.819999999999993</v>
      </c>
      <c r="H37" s="144">
        <f t="shared" si="1"/>
        <v>1307.58</v>
      </c>
      <c r="I37" s="113"/>
      <c r="J37" s="113"/>
      <c r="K37" s="113"/>
      <c r="L37" s="113"/>
      <c r="M37" s="113"/>
    </row>
    <row r="38" spans="1:13" s="138" customFormat="1" ht="31.7" customHeight="1" x14ac:dyDescent="0.25">
      <c r="A38" s="139">
        <v>25</v>
      </c>
      <c r="B38" s="139" t="s">
        <v>107</v>
      </c>
      <c r="C38" s="142" t="s">
        <v>160</v>
      </c>
      <c r="D38" s="142" t="s">
        <v>161</v>
      </c>
      <c r="E38" s="143" t="s">
        <v>138</v>
      </c>
      <c r="F38" s="139">
        <v>2</v>
      </c>
      <c r="G38" s="144">
        <v>367.7</v>
      </c>
      <c r="H38" s="144">
        <f t="shared" si="1"/>
        <v>735.4</v>
      </c>
      <c r="I38" s="113"/>
      <c r="J38" s="113"/>
      <c r="K38" s="113"/>
      <c r="L38" s="113"/>
      <c r="M38" s="113"/>
    </row>
    <row r="39" spans="1:13" s="138" customFormat="1" ht="31.7" customHeight="1" x14ac:dyDescent="0.25">
      <c r="A39" s="139">
        <v>26</v>
      </c>
      <c r="B39" s="139" t="s">
        <v>107</v>
      </c>
      <c r="C39" s="142" t="s">
        <v>162</v>
      </c>
      <c r="D39" s="142" t="s">
        <v>163</v>
      </c>
      <c r="E39" s="143" t="s">
        <v>164</v>
      </c>
      <c r="F39" s="139">
        <v>0.1</v>
      </c>
      <c r="G39" s="144">
        <v>5459</v>
      </c>
      <c r="H39" s="144">
        <f t="shared" si="1"/>
        <v>545.9</v>
      </c>
      <c r="I39" s="113"/>
      <c r="J39" s="113"/>
      <c r="K39" s="113"/>
      <c r="L39" s="113"/>
      <c r="M39" s="113"/>
    </row>
    <row r="40" spans="1:13" x14ac:dyDescent="0.25">
      <c r="A40" s="214" t="s">
        <v>165</v>
      </c>
      <c r="B40" s="215"/>
      <c r="C40" s="216"/>
      <c r="D40" s="216"/>
      <c r="E40" s="215"/>
      <c r="F40" s="184"/>
      <c r="G40" s="137"/>
      <c r="H40" s="137">
        <f>SUM(H41:H55)</f>
        <v>16330.48</v>
      </c>
    </row>
    <row r="41" spans="1:13" ht="31.7" customHeight="1" x14ac:dyDescent="0.25">
      <c r="A41" s="139">
        <v>27</v>
      </c>
      <c r="B41" s="139" t="s">
        <v>107</v>
      </c>
      <c r="C41" s="142" t="s">
        <v>166</v>
      </c>
      <c r="D41" s="142" t="s">
        <v>167</v>
      </c>
      <c r="E41" s="143" t="s">
        <v>168</v>
      </c>
      <c r="F41" s="139">
        <v>1.5112243272096999</v>
      </c>
      <c r="G41" s="144">
        <v>8018.05</v>
      </c>
      <c r="H41" s="144">
        <f t="shared" ref="H41:H55" si="2">ROUND(F41*G41,2)</f>
        <v>12117.07</v>
      </c>
    </row>
    <row r="42" spans="1:13" ht="31.7" customHeight="1" x14ac:dyDescent="0.25">
      <c r="A42" s="139">
        <v>28</v>
      </c>
      <c r="B42" s="139" t="s">
        <v>107</v>
      </c>
      <c r="C42" s="142" t="s">
        <v>169</v>
      </c>
      <c r="D42" s="142" t="s">
        <v>170</v>
      </c>
      <c r="E42" s="143" t="s">
        <v>164</v>
      </c>
      <c r="F42" s="139">
        <v>22.233887224277002</v>
      </c>
      <c r="G42" s="144">
        <v>83</v>
      </c>
      <c r="H42" s="144">
        <f t="shared" si="2"/>
        <v>1845.41</v>
      </c>
    </row>
    <row r="43" spans="1:13" ht="31.7" customHeight="1" x14ac:dyDescent="0.25">
      <c r="A43" s="139">
        <v>29</v>
      </c>
      <c r="B43" s="139" t="s">
        <v>107</v>
      </c>
      <c r="C43" s="142" t="s">
        <v>171</v>
      </c>
      <c r="D43" s="142" t="s">
        <v>172</v>
      </c>
      <c r="E43" s="143" t="s">
        <v>173</v>
      </c>
      <c r="F43" s="139">
        <v>8.9843145380294007E-3</v>
      </c>
      <c r="G43" s="144">
        <v>65750</v>
      </c>
      <c r="H43" s="144">
        <f t="shared" si="2"/>
        <v>590.72</v>
      </c>
    </row>
    <row r="44" spans="1:13" ht="31.7" customHeight="1" x14ac:dyDescent="0.25">
      <c r="A44" s="139">
        <v>30</v>
      </c>
      <c r="B44" s="139" t="s">
        <v>107</v>
      </c>
      <c r="C44" s="142" t="s">
        <v>174</v>
      </c>
      <c r="D44" s="142" t="s">
        <v>175</v>
      </c>
      <c r="E44" s="143" t="s">
        <v>173</v>
      </c>
      <c r="F44" s="139">
        <v>8.0283095906082992E-3</v>
      </c>
      <c r="G44" s="144">
        <v>68050</v>
      </c>
      <c r="H44" s="144">
        <f t="shared" si="2"/>
        <v>546.33000000000004</v>
      </c>
    </row>
    <row r="45" spans="1:13" ht="31.7" customHeight="1" x14ac:dyDescent="0.25">
      <c r="A45" s="139">
        <v>31</v>
      </c>
      <c r="B45" s="139" t="s">
        <v>107</v>
      </c>
      <c r="C45" s="142" t="s">
        <v>176</v>
      </c>
      <c r="D45" s="142" t="s">
        <v>177</v>
      </c>
      <c r="E45" s="143" t="s">
        <v>168</v>
      </c>
      <c r="F45" s="139">
        <v>9.4450661670713004E-2</v>
      </c>
      <c r="G45" s="144">
        <v>5545.45</v>
      </c>
      <c r="H45" s="144">
        <f t="shared" si="2"/>
        <v>523.77</v>
      </c>
    </row>
    <row r="46" spans="1:13" ht="31.7" customHeight="1" x14ac:dyDescent="0.25">
      <c r="A46" s="139">
        <v>32</v>
      </c>
      <c r="B46" s="139" t="s">
        <v>107</v>
      </c>
      <c r="C46" s="142" t="s">
        <v>178</v>
      </c>
      <c r="D46" s="142" t="s">
        <v>179</v>
      </c>
      <c r="E46" s="143" t="s">
        <v>180</v>
      </c>
      <c r="F46" s="139">
        <v>403.70467618524998</v>
      </c>
      <c r="G46" s="144">
        <v>1</v>
      </c>
      <c r="H46" s="144">
        <f t="shared" si="2"/>
        <v>403.7</v>
      </c>
    </row>
    <row r="47" spans="1:13" x14ac:dyDescent="0.25">
      <c r="A47" s="139">
        <v>33</v>
      </c>
      <c r="B47" s="139" t="s">
        <v>107</v>
      </c>
      <c r="C47" s="142" t="s">
        <v>181</v>
      </c>
      <c r="D47" s="142" t="s">
        <v>182</v>
      </c>
      <c r="E47" s="143" t="s">
        <v>168</v>
      </c>
      <c r="F47" s="139">
        <v>9.4456722076140004E-2</v>
      </c>
      <c r="G47" s="144">
        <v>1819.3</v>
      </c>
      <c r="H47" s="144">
        <f t="shared" si="2"/>
        <v>171.85</v>
      </c>
    </row>
    <row r="48" spans="1:13" x14ac:dyDescent="0.25">
      <c r="A48" s="139">
        <v>34</v>
      </c>
      <c r="B48" s="139" t="s">
        <v>107</v>
      </c>
      <c r="C48" s="142" t="s">
        <v>183</v>
      </c>
      <c r="D48" s="142" t="s">
        <v>184</v>
      </c>
      <c r="E48" s="143" t="s">
        <v>164</v>
      </c>
      <c r="F48" s="139">
        <v>0.20779333854465001</v>
      </c>
      <c r="G48" s="144">
        <v>164</v>
      </c>
      <c r="H48" s="144">
        <f t="shared" si="2"/>
        <v>34.08</v>
      </c>
    </row>
    <row r="49" spans="1:10" ht="47.25" customHeight="1" x14ac:dyDescent="0.25">
      <c r="A49" s="139">
        <v>35</v>
      </c>
      <c r="B49" s="139" t="s">
        <v>107</v>
      </c>
      <c r="C49" s="142" t="s">
        <v>185</v>
      </c>
      <c r="D49" s="142" t="s">
        <v>186</v>
      </c>
      <c r="E49" s="143" t="s">
        <v>187</v>
      </c>
      <c r="F49" s="139">
        <v>0.28328274588381003</v>
      </c>
      <c r="G49" s="144">
        <v>91.29</v>
      </c>
      <c r="H49" s="144">
        <f t="shared" si="2"/>
        <v>25.86</v>
      </c>
    </row>
    <row r="50" spans="1:10" x14ac:dyDescent="0.25">
      <c r="A50" s="139">
        <v>36</v>
      </c>
      <c r="B50" s="139" t="s">
        <v>107</v>
      </c>
      <c r="C50" s="142" t="s">
        <v>188</v>
      </c>
      <c r="D50" s="142" t="s">
        <v>189</v>
      </c>
      <c r="E50" s="143" t="s">
        <v>187</v>
      </c>
      <c r="F50" s="139">
        <v>2.8336079041565001</v>
      </c>
      <c r="G50" s="144">
        <v>9.0399999999999991</v>
      </c>
      <c r="H50" s="144">
        <f t="shared" si="2"/>
        <v>25.62</v>
      </c>
    </row>
    <row r="51" spans="1:10" x14ac:dyDescent="0.25">
      <c r="A51" s="139">
        <v>37</v>
      </c>
      <c r="B51" s="139" t="s">
        <v>107</v>
      </c>
      <c r="C51" s="142" t="s">
        <v>190</v>
      </c>
      <c r="D51" s="142" t="s">
        <v>191</v>
      </c>
      <c r="E51" s="143" t="s">
        <v>187</v>
      </c>
      <c r="F51" s="139">
        <v>0.56997677274130998</v>
      </c>
      <c r="G51" s="144">
        <v>27.74</v>
      </c>
      <c r="H51" s="144">
        <f t="shared" si="2"/>
        <v>15.81</v>
      </c>
    </row>
    <row r="52" spans="1:10" x14ac:dyDescent="0.25">
      <c r="A52" s="139">
        <v>38</v>
      </c>
      <c r="B52" s="139" t="s">
        <v>107</v>
      </c>
      <c r="C52" s="142" t="s">
        <v>192</v>
      </c>
      <c r="D52" s="142" t="s">
        <v>193</v>
      </c>
      <c r="E52" s="143" t="s">
        <v>194</v>
      </c>
      <c r="F52" s="139">
        <v>1.5412281293654</v>
      </c>
      <c r="G52" s="144">
        <v>6.9</v>
      </c>
      <c r="H52" s="144">
        <f t="shared" si="2"/>
        <v>10.63</v>
      </c>
    </row>
    <row r="53" spans="1:10" x14ac:dyDescent="0.25">
      <c r="A53" s="139">
        <v>39</v>
      </c>
      <c r="B53" s="139" t="s">
        <v>107</v>
      </c>
      <c r="C53" s="142" t="s">
        <v>195</v>
      </c>
      <c r="D53" s="142" t="s">
        <v>196</v>
      </c>
      <c r="E53" s="143" t="s">
        <v>173</v>
      </c>
      <c r="F53" s="139">
        <v>9.6299053508026996E-4</v>
      </c>
      <c r="G53" s="144">
        <v>7826.9</v>
      </c>
      <c r="H53" s="144">
        <f t="shared" si="2"/>
        <v>7.54</v>
      </c>
    </row>
    <row r="54" spans="1:10" x14ac:dyDescent="0.25">
      <c r="A54" s="139">
        <v>40</v>
      </c>
      <c r="B54" s="139" t="s">
        <v>107</v>
      </c>
      <c r="C54" s="142" t="s">
        <v>197</v>
      </c>
      <c r="D54" s="142" t="s">
        <v>198</v>
      </c>
      <c r="E54" s="143" t="s">
        <v>173</v>
      </c>
      <c r="F54" s="139">
        <v>9.8335767460437998E-3</v>
      </c>
      <c r="G54" s="144">
        <v>729.98</v>
      </c>
      <c r="H54" s="144">
        <f t="shared" si="2"/>
        <v>7.18</v>
      </c>
    </row>
    <row r="55" spans="1:10" x14ac:dyDescent="0.25">
      <c r="A55" s="139">
        <v>41</v>
      </c>
      <c r="B55" s="139" t="s">
        <v>107</v>
      </c>
      <c r="C55" s="142" t="s">
        <v>199</v>
      </c>
      <c r="D55" s="142" t="s">
        <v>200</v>
      </c>
      <c r="E55" s="143" t="s">
        <v>187</v>
      </c>
      <c r="F55" s="139">
        <v>0.16976909047672001</v>
      </c>
      <c r="G55" s="144">
        <v>28.93</v>
      </c>
      <c r="H55" s="144">
        <f t="shared" si="2"/>
        <v>4.91</v>
      </c>
      <c r="J55" s="112"/>
    </row>
    <row r="58" spans="1:10" x14ac:dyDescent="0.25">
      <c r="B58" s="113" t="s">
        <v>75</v>
      </c>
    </row>
    <row r="59" spans="1:10" x14ac:dyDescent="0.25">
      <c r="B59" s="126" t="s">
        <v>76</v>
      </c>
    </row>
    <row r="61" spans="1:10" x14ac:dyDescent="0.25">
      <c r="B61" s="113" t="s">
        <v>77</v>
      </c>
    </row>
    <row r="62" spans="1:10" x14ac:dyDescent="0.25">
      <c r="B62" s="126" t="s">
        <v>78</v>
      </c>
    </row>
  </sheetData>
  <mergeCells count="15">
    <mergeCell ref="A19:E19"/>
    <mergeCell ref="A40:E40"/>
    <mergeCell ref="A10:E10"/>
    <mergeCell ref="A21:E21"/>
    <mergeCell ref="A2:H2"/>
    <mergeCell ref="A3:H3"/>
    <mergeCell ref="A5:H5"/>
    <mergeCell ref="A7:A8"/>
    <mergeCell ref="B7:B8"/>
    <mergeCell ref="C7:C8"/>
    <mergeCell ref="D7:D8"/>
    <mergeCell ref="E7:E8"/>
    <mergeCell ref="F7:F8"/>
    <mergeCell ref="G7:H7"/>
    <mergeCell ref="A26:E26"/>
  </mergeCells>
  <pageMargins left="0.7" right="0.7" top="0.75" bottom="0.75" header="0.3" footer="0.3"/>
  <pageSetup paperSize="9" scale="5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50"/>
  <sheetViews>
    <sheetView tabSelected="1" view="pageBreakPreview" topLeftCell="A28" workbookViewId="0">
      <selection activeCell="C31" sqref="C31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10" width="9.140625" customWidth="1"/>
    <col min="11" max="11" width="13.5703125" customWidth="1"/>
    <col min="12" max="12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5" t="s">
        <v>201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196" t="s">
        <v>202</v>
      </c>
      <c r="C5" s="196"/>
      <c r="D5" s="196"/>
      <c r="E5" s="196"/>
    </row>
    <row r="6" spans="2:5" x14ac:dyDescent="0.25">
      <c r="B6" s="146"/>
      <c r="C6" s="4"/>
      <c r="D6" s="4"/>
      <c r="E6" s="4"/>
    </row>
    <row r="7" spans="2:5" ht="25.5" customHeight="1" x14ac:dyDescent="0.25">
      <c r="B7" s="217" t="s">
        <v>47</v>
      </c>
      <c r="C7" s="217"/>
      <c r="D7" s="217"/>
      <c r="E7" s="217"/>
    </row>
    <row r="8" spans="2:5" x14ac:dyDescent="0.25">
      <c r="B8" s="218" t="s">
        <v>203</v>
      </c>
      <c r="C8" s="218"/>
      <c r="D8" s="218"/>
      <c r="E8" s="218"/>
    </row>
    <row r="9" spans="2:5" x14ac:dyDescent="0.25">
      <c r="B9" s="146"/>
      <c r="C9" s="4"/>
      <c r="D9" s="4"/>
      <c r="E9" s="4"/>
    </row>
    <row r="10" spans="2:5" ht="51" customHeight="1" x14ac:dyDescent="0.25">
      <c r="B10" s="2" t="s">
        <v>204</v>
      </c>
      <c r="C10" s="2" t="s">
        <v>205</v>
      </c>
      <c r="D10" s="2" t="s">
        <v>206</v>
      </c>
      <c r="E10" s="2" t="s">
        <v>207</v>
      </c>
    </row>
    <row r="11" spans="2:5" x14ac:dyDescent="0.25">
      <c r="B11" s="105" t="s">
        <v>208</v>
      </c>
      <c r="C11" s="106">
        <f>'Прил.5 Расчет СМР и ОБ'!J15</f>
        <v>937056.44</v>
      </c>
      <c r="D11" s="107">
        <f t="shared" ref="D11:D18" si="0">C11/$C$24</f>
        <v>0.39393463467624001</v>
      </c>
      <c r="E11" s="107">
        <f t="shared" ref="E11:E18" si="1">C11/$C$40</f>
        <v>0.30788127743201998</v>
      </c>
    </row>
    <row r="12" spans="2:5" x14ac:dyDescent="0.25">
      <c r="B12" s="105" t="s">
        <v>209</v>
      </c>
      <c r="C12" s="106">
        <f>'Прил.5 Расчет СМР и ОБ'!J23</f>
        <v>12992.97</v>
      </c>
      <c r="D12" s="107">
        <f t="shared" si="0"/>
        <v>5.4621906128827996E-3</v>
      </c>
      <c r="E12" s="107">
        <f t="shared" si="1"/>
        <v>4.2689981419219E-3</v>
      </c>
    </row>
    <row r="13" spans="2:5" x14ac:dyDescent="0.25">
      <c r="B13" s="105" t="s">
        <v>210</v>
      </c>
      <c r="C13" s="106">
        <f>'Прил.5 Расчет СМР и ОБ'!J25</f>
        <v>467.17</v>
      </c>
      <c r="D13" s="107">
        <f t="shared" si="0"/>
        <v>1.9639632729240999E-4</v>
      </c>
      <c r="E13" s="107">
        <f t="shared" si="1"/>
        <v>1.5349437903433E-4</v>
      </c>
    </row>
    <row r="14" spans="2:5" x14ac:dyDescent="0.25">
      <c r="B14" s="105" t="s">
        <v>211</v>
      </c>
      <c r="C14" s="106">
        <f>C13+C12</f>
        <v>13460.14</v>
      </c>
      <c r="D14" s="107">
        <f t="shared" si="0"/>
        <v>5.6585869401752E-3</v>
      </c>
      <c r="E14" s="107">
        <f t="shared" si="1"/>
        <v>4.4224925209562001E-3</v>
      </c>
    </row>
    <row r="15" spans="2:5" x14ac:dyDescent="0.25">
      <c r="B15" s="105" t="s">
        <v>212</v>
      </c>
      <c r="C15" s="106">
        <f>'Прил.5 Расчет СМР и ОБ'!J17</f>
        <v>2723.88</v>
      </c>
      <c r="D15" s="107">
        <f t="shared" si="0"/>
        <v>1.1451078365160999E-3</v>
      </c>
      <c r="E15" s="107">
        <f t="shared" si="1"/>
        <v>8.9496386575342005E-4</v>
      </c>
    </row>
    <row r="16" spans="2:5" x14ac:dyDescent="0.25">
      <c r="B16" s="105" t="s">
        <v>213</v>
      </c>
      <c r="C16" s="106">
        <f>'Прил.5 Расчет СМР и ОБ'!J51</f>
        <v>117007.76</v>
      </c>
      <c r="D16" s="107">
        <f t="shared" si="0"/>
        <v>4.9189576232873997E-2</v>
      </c>
      <c r="E16" s="107">
        <f t="shared" si="1"/>
        <v>3.8444321046722997E-2</v>
      </c>
    </row>
    <row r="17" spans="2:6" x14ac:dyDescent="0.25">
      <c r="B17" s="105" t="s">
        <v>214</v>
      </c>
      <c r="C17" s="106">
        <f>'Прил.5 Расчет СМР и ОБ'!J64</f>
        <v>14289.29</v>
      </c>
      <c r="D17" s="107">
        <f t="shared" si="0"/>
        <v>6.0071581557380998E-3</v>
      </c>
      <c r="E17" s="107">
        <f t="shared" si="1"/>
        <v>4.6949198265972998E-3</v>
      </c>
    </row>
    <row r="18" spans="2:6" x14ac:dyDescent="0.25">
      <c r="B18" s="105" t="s">
        <v>215</v>
      </c>
      <c r="C18" s="106">
        <f>C17+C16</f>
        <v>131297.04999999999</v>
      </c>
      <c r="D18" s="107">
        <f t="shared" si="0"/>
        <v>5.5196734388612001E-2</v>
      </c>
      <c r="E18" s="107">
        <f t="shared" si="1"/>
        <v>4.3139240873321001E-2</v>
      </c>
    </row>
    <row r="19" spans="2:6" x14ac:dyDescent="0.25">
      <c r="B19" s="105" t="s">
        <v>216</v>
      </c>
      <c r="C19" s="106">
        <f>C18+C14+C11</f>
        <v>1081813.6299999999</v>
      </c>
      <c r="D19" s="107"/>
      <c r="E19" s="105"/>
    </row>
    <row r="20" spans="2:6" x14ac:dyDescent="0.25">
      <c r="B20" s="105" t="s">
        <v>217</v>
      </c>
      <c r="C20" s="106">
        <f>ROUND(C21*(C11+C15),2)</f>
        <v>441696.75</v>
      </c>
      <c r="D20" s="107">
        <f>C20/$C$24</f>
        <v>0.18568747881284001</v>
      </c>
      <c r="E20" s="107">
        <f>C20/$C$40</f>
        <v>0.14512483327853001</v>
      </c>
    </row>
    <row r="21" spans="2:6" x14ac:dyDescent="0.25">
      <c r="B21" s="105" t="s">
        <v>218</v>
      </c>
      <c r="C21" s="110">
        <v>0.47</v>
      </c>
      <c r="D21" s="107"/>
      <c r="E21" s="105"/>
    </row>
    <row r="22" spans="2:6" x14ac:dyDescent="0.25">
      <c r="B22" s="105" t="s">
        <v>219</v>
      </c>
      <c r="C22" s="106">
        <f>ROUND(C23*(C11+C15),2)</f>
        <v>855200.09</v>
      </c>
      <c r="D22" s="107">
        <f>C22/$C$24</f>
        <v>0.35952256518212999</v>
      </c>
      <c r="E22" s="107">
        <f>C22/$C$40</f>
        <v>0.2809863791867</v>
      </c>
    </row>
    <row r="23" spans="2:6" x14ac:dyDescent="0.25">
      <c r="B23" s="105" t="s">
        <v>220</v>
      </c>
      <c r="C23" s="110">
        <v>0.91</v>
      </c>
      <c r="D23" s="107"/>
      <c r="E23" s="105"/>
    </row>
    <row r="24" spans="2:6" x14ac:dyDescent="0.25">
      <c r="B24" s="105" t="s">
        <v>221</v>
      </c>
      <c r="C24" s="106">
        <f>C19+C20+C22</f>
        <v>2378710.4700000002</v>
      </c>
      <c r="D24" s="107">
        <f>C24/$C$24</f>
        <v>1</v>
      </c>
      <c r="E24" s="107">
        <f>C24/$C$40</f>
        <v>0.78155422329153001</v>
      </c>
    </row>
    <row r="25" spans="2:6" ht="25.5" customHeight="1" x14ac:dyDescent="0.25">
      <c r="B25" s="105" t="s">
        <v>222</v>
      </c>
      <c r="C25" s="106">
        <f>'Прил.5 Расчет СМР и ОБ'!J44</f>
        <v>352569.84</v>
      </c>
      <c r="D25" s="107"/>
      <c r="E25" s="107">
        <f>C25/$C$40</f>
        <v>0.11584110421695</v>
      </c>
    </row>
    <row r="26" spans="2:6" ht="25.5" customHeight="1" x14ac:dyDescent="0.25">
      <c r="B26" s="105" t="s">
        <v>223</v>
      </c>
      <c r="C26" s="106">
        <f>'Прил.5 Расчет СМР и ОБ'!J45</f>
        <v>352569.52</v>
      </c>
      <c r="D26" s="107"/>
      <c r="E26" s="107">
        <f>C26/$C$40</f>
        <v>0.11584099907706</v>
      </c>
    </row>
    <row r="27" spans="2:6" x14ac:dyDescent="0.25">
      <c r="B27" s="105" t="s">
        <v>224</v>
      </c>
      <c r="C27" s="109">
        <f>C24+C25</f>
        <v>2731280.31</v>
      </c>
      <c r="D27" s="107"/>
      <c r="E27" s="107">
        <f>C27/$C$40</f>
        <v>0.89739532750847995</v>
      </c>
    </row>
    <row r="28" spans="2:6" ht="33" customHeight="1" x14ac:dyDescent="0.25">
      <c r="B28" s="105" t="s">
        <v>225</v>
      </c>
      <c r="C28" s="105"/>
      <c r="D28" s="105"/>
      <c r="E28" s="105"/>
      <c r="F28" s="108"/>
    </row>
    <row r="29" spans="2:6" ht="25.5" customHeight="1" x14ac:dyDescent="0.25">
      <c r="B29" s="105" t="s">
        <v>226</v>
      </c>
      <c r="C29" s="109">
        <f>ROUND(C24*3.9%,2)</f>
        <v>92769.71</v>
      </c>
      <c r="D29" s="105"/>
      <c r="E29" s="107">
        <f t="shared" ref="E29:E38" si="2">C29/$C$40</f>
        <v>3.0480615257069001E-2</v>
      </c>
    </row>
    <row r="30" spans="2:6" ht="38.25" customHeight="1" x14ac:dyDescent="0.25">
      <c r="B30" s="105" t="s">
        <v>227</v>
      </c>
      <c r="C30" s="191">
        <f>ROUND((C24+C29)*2.1%,2)</f>
        <v>51901.08</v>
      </c>
      <c r="D30" s="192"/>
      <c r="E30" s="107">
        <f t="shared" si="2"/>
        <v>1.7052730367556002E-2</v>
      </c>
      <c r="F30" s="108"/>
    </row>
    <row r="31" spans="2:6" x14ac:dyDescent="0.25">
      <c r="B31" s="105" t="s">
        <v>228</v>
      </c>
      <c r="C31" s="191">
        <v>23300</v>
      </c>
      <c r="D31" s="192"/>
      <c r="E31" s="107">
        <f t="shared" si="2"/>
        <v>7.6554980660142003E-3</v>
      </c>
    </row>
    <row r="32" spans="2:6" ht="25.5" customHeight="1" x14ac:dyDescent="0.25">
      <c r="B32" s="105" t="s">
        <v>229</v>
      </c>
      <c r="C32" s="109">
        <f>ROUND($C$27*0,2)</f>
        <v>0</v>
      </c>
      <c r="D32" s="192"/>
      <c r="E32" s="107">
        <f t="shared" si="2"/>
        <v>0</v>
      </c>
    </row>
    <row r="33" spans="2:11" ht="25.5" customHeight="1" x14ac:dyDescent="0.25">
      <c r="B33" s="105" t="s">
        <v>230</v>
      </c>
      <c r="C33" s="109">
        <f>ROUND($C$27*0,2)</f>
        <v>0</v>
      </c>
      <c r="D33" s="105"/>
      <c r="E33" s="107">
        <f t="shared" si="2"/>
        <v>0</v>
      </c>
    </row>
    <row r="34" spans="2:11" ht="51" customHeight="1" x14ac:dyDescent="0.25">
      <c r="B34" s="105" t="s">
        <v>231</v>
      </c>
      <c r="C34" s="109">
        <f>ROUND($C$27*0,2)</f>
        <v>0</v>
      </c>
      <c r="D34" s="105"/>
      <c r="E34" s="107">
        <f t="shared" si="2"/>
        <v>0</v>
      </c>
      <c r="G34" s="145"/>
    </row>
    <row r="35" spans="2:11" ht="76.7" customHeight="1" x14ac:dyDescent="0.25">
      <c r="B35" s="105" t="s">
        <v>232</v>
      </c>
      <c r="C35" s="109">
        <v>0</v>
      </c>
      <c r="D35" s="105"/>
      <c r="E35" s="107">
        <f t="shared" si="2"/>
        <v>0</v>
      </c>
    </row>
    <row r="36" spans="2:11" ht="25.5" customHeight="1" x14ac:dyDescent="0.25">
      <c r="B36" s="105" t="s">
        <v>233</v>
      </c>
      <c r="C36" s="109">
        <f>ROUND((C27+C32+C33+C34+C35+C29+C31+C30)*1.72%,2)</f>
        <v>49867.12</v>
      </c>
      <c r="D36" s="105"/>
      <c r="E36" s="107">
        <f t="shared" si="2"/>
        <v>1.6384448099471999E-2</v>
      </c>
      <c r="K36" s="108"/>
    </row>
    <row r="37" spans="2:11" x14ac:dyDescent="0.25">
      <c r="B37" s="105" t="s">
        <v>234</v>
      </c>
      <c r="C37" s="109">
        <f>ROUND((C27+C32+C33+C34+C35+C29+C31+C30)*0.2%,2)</f>
        <v>5798.5</v>
      </c>
      <c r="D37" s="105"/>
      <c r="E37" s="107">
        <f t="shared" si="2"/>
        <v>1.9051676195614999E-3</v>
      </c>
      <c r="K37" s="108"/>
    </row>
    <row r="38" spans="2:11" ht="38.25" customHeight="1" x14ac:dyDescent="0.25">
      <c r="B38" s="105" t="s">
        <v>235</v>
      </c>
      <c r="C38" s="106">
        <f>C27+C32+C33+C34+C35+C29+C31+C30+C36+C37</f>
        <v>2954916.72</v>
      </c>
      <c r="D38" s="105"/>
      <c r="E38" s="107">
        <f t="shared" si="2"/>
        <v>0.97087378691814996</v>
      </c>
    </row>
    <row r="39" spans="2:11" ht="13.7" customHeight="1" x14ac:dyDescent="0.25">
      <c r="B39" s="105" t="s">
        <v>236</v>
      </c>
      <c r="C39" s="106">
        <f>ROUND(C38*3%,2)</f>
        <v>88647.5</v>
      </c>
      <c r="D39" s="105"/>
      <c r="E39" s="107">
        <f>C39/$C$38</f>
        <v>2.9999999458530002E-2</v>
      </c>
    </row>
    <row r="40" spans="2:11" x14ac:dyDescent="0.25">
      <c r="B40" s="105" t="s">
        <v>237</v>
      </c>
      <c r="C40" s="106">
        <f>C39+C38</f>
        <v>3043564.22</v>
      </c>
      <c r="D40" s="105"/>
      <c r="E40" s="107">
        <f>C40/$C$40</f>
        <v>1</v>
      </c>
    </row>
    <row r="41" spans="2:11" x14ac:dyDescent="0.25">
      <c r="B41" s="105" t="s">
        <v>238</v>
      </c>
      <c r="C41" s="106">
        <f>C40/'Прил.5 Расчет СМР и ОБ'!E71</f>
        <v>3043564.22</v>
      </c>
      <c r="D41" s="105"/>
      <c r="E41" s="105"/>
    </row>
    <row r="42" spans="2:11" x14ac:dyDescent="0.25">
      <c r="B42" s="111"/>
      <c r="C42" s="4"/>
      <c r="D42" s="4"/>
      <c r="E42" s="4"/>
    </row>
    <row r="43" spans="2:11" x14ac:dyDescent="0.25">
      <c r="B43" s="111" t="s">
        <v>239</v>
      </c>
      <c r="C43" s="4"/>
      <c r="D43" s="4"/>
      <c r="E43" s="4"/>
    </row>
    <row r="44" spans="2:11" x14ac:dyDescent="0.25">
      <c r="B44" s="111" t="s">
        <v>240</v>
      </c>
      <c r="C44" s="4"/>
      <c r="D44" s="4"/>
      <c r="E44" s="4"/>
    </row>
    <row r="45" spans="2:11" x14ac:dyDescent="0.25">
      <c r="B45" s="111"/>
      <c r="C45" s="4"/>
      <c r="D45" s="4"/>
      <c r="E45" s="4"/>
    </row>
    <row r="46" spans="2:11" x14ac:dyDescent="0.25">
      <c r="B46" s="111" t="s">
        <v>241</v>
      </c>
      <c r="C46" s="4"/>
      <c r="D46" s="4"/>
      <c r="E46" s="4"/>
    </row>
    <row r="47" spans="2:11" x14ac:dyDescent="0.25">
      <c r="B47" s="218" t="s">
        <v>242</v>
      </c>
      <c r="C47" s="218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8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77"/>
  <sheetViews>
    <sheetView view="pageBreakPreview" topLeftCell="A10" workbookViewId="0">
      <selection activeCell="D6" sqref="D6:J6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34" t="s">
        <v>243</v>
      </c>
      <c r="I2" s="234"/>
      <c r="J2" s="234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196" t="s">
        <v>244</v>
      </c>
      <c r="B4" s="196"/>
      <c r="C4" s="196"/>
      <c r="D4" s="196"/>
      <c r="E4" s="196"/>
      <c r="F4" s="196"/>
      <c r="G4" s="196"/>
      <c r="H4" s="196"/>
      <c r="I4" s="196"/>
      <c r="J4" s="196"/>
    </row>
    <row r="5" spans="1:14" s="4" customFormat="1" ht="12.75" customHeight="1" x14ac:dyDescent="0.2">
      <c r="A5" s="186"/>
      <c r="B5" s="186"/>
      <c r="C5" s="28"/>
      <c r="D5" s="186"/>
      <c r="E5" s="186"/>
      <c r="F5" s="186"/>
      <c r="G5" s="186"/>
      <c r="H5" s="186"/>
      <c r="I5" s="186"/>
      <c r="J5" s="186"/>
    </row>
    <row r="6" spans="1:14" s="4" customFormat="1" ht="12.75" customHeight="1" x14ac:dyDescent="0.2">
      <c r="A6" s="147" t="s">
        <v>245</v>
      </c>
      <c r="B6" s="148"/>
      <c r="C6" s="148"/>
      <c r="D6" s="238" t="s">
        <v>246</v>
      </c>
      <c r="E6" s="238"/>
      <c r="F6" s="238"/>
      <c r="G6" s="238"/>
      <c r="H6" s="238"/>
      <c r="I6" s="238"/>
      <c r="J6" s="238"/>
    </row>
    <row r="7" spans="1:14" s="4" customFormat="1" ht="12.75" customHeight="1" x14ac:dyDescent="0.2">
      <c r="A7" s="199" t="s">
        <v>49</v>
      </c>
      <c r="B7" s="217"/>
      <c r="C7" s="217"/>
      <c r="D7" s="217"/>
      <c r="E7" s="217"/>
      <c r="F7" s="217"/>
      <c r="G7" s="217"/>
      <c r="H7" s="217"/>
      <c r="I7" s="42"/>
      <c r="J7" s="42"/>
    </row>
    <row r="8" spans="1:14" s="4" customFormat="1" ht="13.7" customHeight="1" x14ac:dyDescent="0.2">
      <c r="A8" s="199"/>
      <c r="B8" s="217"/>
      <c r="C8" s="217"/>
      <c r="D8" s="217"/>
      <c r="E8" s="217"/>
      <c r="F8" s="217"/>
      <c r="G8" s="217"/>
      <c r="H8" s="217"/>
    </row>
    <row r="9" spans="1:14" s="4" customFormat="1" ht="13.15" customHeight="1" x14ac:dyDescent="0.2"/>
    <row r="10" spans="1:14" ht="27" customHeight="1" x14ac:dyDescent="0.25">
      <c r="A10" s="226" t="s">
        <v>13</v>
      </c>
      <c r="B10" s="226" t="s">
        <v>98</v>
      </c>
      <c r="C10" s="226" t="s">
        <v>204</v>
      </c>
      <c r="D10" s="226" t="s">
        <v>100</v>
      </c>
      <c r="E10" s="220" t="s">
        <v>247</v>
      </c>
      <c r="F10" s="235" t="s">
        <v>102</v>
      </c>
      <c r="G10" s="236"/>
      <c r="H10" s="220" t="s">
        <v>248</v>
      </c>
      <c r="I10" s="235" t="s">
        <v>249</v>
      </c>
      <c r="J10" s="236"/>
      <c r="M10" s="12"/>
      <c r="N10" s="12"/>
    </row>
    <row r="11" spans="1:14" ht="28.5" customHeight="1" x14ac:dyDescent="0.25">
      <c r="A11" s="226"/>
      <c r="B11" s="226"/>
      <c r="C11" s="226"/>
      <c r="D11" s="226"/>
      <c r="E11" s="237"/>
      <c r="F11" s="2" t="s">
        <v>250</v>
      </c>
      <c r="G11" s="2" t="s">
        <v>104</v>
      </c>
      <c r="H11" s="237"/>
      <c r="I11" s="2" t="s">
        <v>250</v>
      </c>
      <c r="J11" s="2" t="s">
        <v>104</v>
      </c>
      <c r="M11" s="12"/>
      <c r="N11" s="12"/>
    </row>
    <row r="12" spans="1:14" x14ac:dyDescent="0.25">
      <c r="A12" s="2">
        <v>1</v>
      </c>
      <c r="B12" s="2">
        <v>2</v>
      </c>
      <c r="C12" s="2">
        <v>3</v>
      </c>
      <c r="D12" s="2">
        <v>4</v>
      </c>
      <c r="E12" s="2">
        <v>5</v>
      </c>
      <c r="F12" s="2">
        <v>6</v>
      </c>
      <c r="G12" s="2">
        <v>7</v>
      </c>
      <c r="H12" s="2">
        <v>8</v>
      </c>
      <c r="I12" s="185">
        <v>9</v>
      </c>
      <c r="J12" s="185">
        <v>10</v>
      </c>
      <c r="M12" s="12"/>
      <c r="N12" s="12"/>
    </row>
    <row r="13" spans="1:14" x14ac:dyDescent="0.25">
      <c r="A13" s="2"/>
      <c r="B13" s="224" t="s">
        <v>251</v>
      </c>
      <c r="C13" s="225"/>
      <c r="D13" s="226"/>
      <c r="E13" s="227"/>
      <c r="F13" s="228"/>
      <c r="G13" s="228"/>
      <c r="H13" s="229"/>
      <c r="I13" s="149"/>
      <c r="J13" s="149"/>
    </row>
    <row r="14" spans="1:14" ht="25.5" customHeight="1" x14ac:dyDescent="0.25">
      <c r="A14" s="2">
        <v>1</v>
      </c>
      <c r="B14" s="150" t="s">
        <v>108</v>
      </c>
      <c r="C14" s="8" t="s">
        <v>252</v>
      </c>
      <c r="D14" s="2" t="s">
        <v>253</v>
      </c>
      <c r="E14" s="151">
        <v>2108.5939919821999</v>
      </c>
      <c r="F14" s="26">
        <v>9.6199999999999992</v>
      </c>
      <c r="G14" s="26">
        <f>F14*E14</f>
        <v>20284.674202867998</v>
      </c>
      <c r="H14" s="152">
        <f>G14/$G$15</f>
        <v>1</v>
      </c>
      <c r="I14" s="26">
        <f>ФОТр.тек.!E13</f>
        <v>444.39870291576</v>
      </c>
      <c r="J14" s="26">
        <f>ROUND(I14*E14,2)</f>
        <v>937056.44</v>
      </c>
    </row>
    <row r="15" spans="1:14" s="12" customFormat="1" ht="25.5" customHeight="1" x14ac:dyDescent="0.2">
      <c r="A15" s="2"/>
      <c r="B15" s="2"/>
      <c r="C15" s="159" t="s">
        <v>254</v>
      </c>
      <c r="D15" s="2" t="s">
        <v>253</v>
      </c>
      <c r="E15" s="151">
        <f>SUM(E14:E14)</f>
        <v>2108.5939919821999</v>
      </c>
      <c r="F15" s="26"/>
      <c r="G15" s="26">
        <f>SUM(G14:G14)</f>
        <v>20284.674202867998</v>
      </c>
      <c r="H15" s="188">
        <v>1</v>
      </c>
      <c r="I15" s="149"/>
      <c r="J15" s="26">
        <f>SUM(J14:J14)</f>
        <v>937056.44</v>
      </c>
    </row>
    <row r="16" spans="1:14" s="12" customFormat="1" ht="14.25" customHeight="1" x14ac:dyDescent="0.2">
      <c r="A16" s="2"/>
      <c r="B16" s="225" t="s">
        <v>125</v>
      </c>
      <c r="C16" s="225"/>
      <c r="D16" s="226"/>
      <c r="E16" s="227"/>
      <c r="F16" s="228"/>
      <c r="G16" s="228"/>
      <c r="H16" s="229"/>
      <c r="I16" s="149"/>
      <c r="J16" s="149"/>
    </row>
    <row r="17" spans="1:10" s="12" customFormat="1" ht="14.25" customHeight="1" x14ac:dyDescent="0.2">
      <c r="A17" s="2">
        <v>2</v>
      </c>
      <c r="B17" s="2">
        <v>2</v>
      </c>
      <c r="C17" s="8" t="s">
        <v>125</v>
      </c>
      <c r="D17" s="2" t="s">
        <v>253</v>
      </c>
      <c r="E17" s="151">
        <v>9.2482192630797009</v>
      </c>
      <c r="F17" s="26">
        <v>6.6499288404112002</v>
      </c>
      <c r="G17" s="26">
        <f>E17*F17</f>
        <v>61.5</v>
      </c>
      <c r="H17" s="188">
        <v>1</v>
      </c>
      <c r="I17" s="26">
        <f>ROUND(F17*'Прил. 10'!D11,2)</f>
        <v>294.52999999999997</v>
      </c>
      <c r="J17" s="26">
        <f>ROUND(I17*E17,2)</f>
        <v>2723.88</v>
      </c>
    </row>
    <row r="18" spans="1:10" s="12" customFormat="1" ht="14.25" customHeight="1" x14ac:dyDescent="0.2">
      <c r="A18" s="2"/>
      <c r="B18" s="224" t="s">
        <v>126</v>
      </c>
      <c r="C18" s="225"/>
      <c r="D18" s="226"/>
      <c r="E18" s="227"/>
      <c r="F18" s="228"/>
      <c r="G18" s="228"/>
      <c r="H18" s="229"/>
      <c r="I18" s="149"/>
      <c r="J18" s="149"/>
    </row>
    <row r="19" spans="1:10" s="12" customFormat="1" ht="14.25" customHeight="1" x14ac:dyDescent="0.2">
      <c r="A19" s="2"/>
      <c r="B19" s="225" t="s">
        <v>255</v>
      </c>
      <c r="C19" s="225"/>
      <c r="D19" s="226"/>
      <c r="E19" s="227"/>
      <c r="F19" s="228"/>
      <c r="G19" s="228"/>
      <c r="H19" s="229"/>
      <c r="I19" s="149"/>
      <c r="J19" s="149"/>
    </row>
    <row r="20" spans="1:10" s="12" customFormat="1" ht="25.5" customHeight="1" x14ac:dyDescent="0.2">
      <c r="A20" s="2">
        <v>3</v>
      </c>
      <c r="B20" s="150" t="s">
        <v>127</v>
      </c>
      <c r="C20" s="8" t="s">
        <v>128</v>
      </c>
      <c r="D20" s="2" t="s">
        <v>129</v>
      </c>
      <c r="E20" s="151">
        <v>4.6280698947912997</v>
      </c>
      <c r="F20" s="153">
        <v>115.4</v>
      </c>
      <c r="G20" s="26">
        <f>ROUND(E20*F20,2)</f>
        <v>534.08000000000004</v>
      </c>
      <c r="H20" s="152">
        <f>G20/$G$26</f>
        <v>0.53446481466656004</v>
      </c>
      <c r="I20" s="26">
        <f>ROUND(F20*'Прил. 10'!$D$12,2)</f>
        <v>1554.44</v>
      </c>
      <c r="J20" s="26">
        <f>ROUND(I20*E20,2)</f>
        <v>7194.06</v>
      </c>
    </row>
    <row r="21" spans="1:10" s="12" customFormat="1" ht="25.5" customHeight="1" x14ac:dyDescent="0.2">
      <c r="A21" s="2">
        <v>4</v>
      </c>
      <c r="B21" s="150" t="s">
        <v>130</v>
      </c>
      <c r="C21" s="8" t="s">
        <v>131</v>
      </c>
      <c r="D21" s="2" t="s">
        <v>129</v>
      </c>
      <c r="E21" s="151">
        <v>4.6281095699617998</v>
      </c>
      <c r="F21" s="153">
        <v>65.709999999999994</v>
      </c>
      <c r="G21" s="26">
        <f>ROUND(E21*F21,2)</f>
        <v>304.11</v>
      </c>
      <c r="H21" s="152">
        <f>G21/$G$26</f>
        <v>0.30432911696421</v>
      </c>
      <c r="I21" s="26">
        <f>ROUND(F21*'Прил. 10'!$D$12,2)</f>
        <v>885.11</v>
      </c>
      <c r="J21" s="26">
        <f>ROUND(I21*E21,2)</f>
        <v>4096.3900000000003</v>
      </c>
    </row>
    <row r="22" spans="1:10" s="12" customFormat="1" ht="25.5" customHeight="1" x14ac:dyDescent="0.2">
      <c r="A22" s="2">
        <v>5</v>
      </c>
      <c r="B22" s="150" t="s">
        <v>132</v>
      </c>
      <c r="C22" s="8" t="s">
        <v>133</v>
      </c>
      <c r="D22" s="2" t="s">
        <v>129</v>
      </c>
      <c r="E22" s="151">
        <v>38.536058951906</v>
      </c>
      <c r="F22" s="153">
        <v>3.28</v>
      </c>
      <c r="G22" s="26">
        <f>ROUND(E22*F22,2)</f>
        <v>126.4</v>
      </c>
      <c r="H22" s="152">
        <f>G22/$G$26</f>
        <v>0.12649107357296999</v>
      </c>
      <c r="I22" s="26">
        <f>ROUND(F22*'Прил. 10'!$D$12,2)</f>
        <v>44.18</v>
      </c>
      <c r="J22" s="26">
        <f>ROUND(I22*E22,2)</f>
        <v>1702.52</v>
      </c>
    </row>
    <row r="23" spans="1:10" s="12" customFormat="1" ht="14.25" customHeight="1" x14ac:dyDescent="0.2">
      <c r="A23" s="2"/>
      <c r="B23" s="2"/>
      <c r="C23" s="8" t="s">
        <v>256</v>
      </c>
      <c r="D23" s="2"/>
      <c r="E23" s="151"/>
      <c r="F23" s="26"/>
      <c r="G23" s="26">
        <f>SUM(G20:G22)</f>
        <v>964.59</v>
      </c>
      <c r="H23" s="188">
        <f>G23/G26</f>
        <v>0.96528500520375005</v>
      </c>
      <c r="I23" s="154"/>
      <c r="J23" s="26">
        <f>SUM(J20:J22)</f>
        <v>12992.97</v>
      </c>
    </row>
    <row r="24" spans="1:10" s="12" customFormat="1" ht="25.5" customHeight="1" outlineLevel="1" x14ac:dyDescent="0.2">
      <c r="A24" s="2">
        <v>6</v>
      </c>
      <c r="B24" s="150" t="s">
        <v>134</v>
      </c>
      <c r="C24" s="8" t="s">
        <v>135</v>
      </c>
      <c r="D24" s="2" t="s">
        <v>129</v>
      </c>
      <c r="E24" s="151">
        <v>38.545353804321998</v>
      </c>
      <c r="F24" s="153">
        <v>0.9</v>
      </c>
      <c r="G24" s="26">
        <f>ROUND(E24*F24,2)</f>
        <v>34.69</v>
      </c>
      <c r="H24" s="152">
        <f>G24/$G$26</f>
        <v>3.4714994796253E-2</v>
      </c>
      <c r="I24" s="26">
        <f>ROUND(F24*'Прил. 10'!$D$12,2)</f>
        <v>12.12</v>
      </c>
      <c r="J24" s="26">
        <f>ROUND(I24*E24,2)</f>
        <v>467.17</v>
      </c>
    </row>
    <row r="25" spans="1:10" s="12" customFormat="1" ht="14.25" customHeight="1" x14ac:dyDescent="0.2">
      <c r="A25" s="2"/>
      <c r="B25" s="2"/>
      <c r="C25" s="8" t="s">
        <v>257</v>
      </c>
      <c r="D25" s="2"/>
      <c r="E25" s="187"/>
      <c r="F25" s="26"/>
      <c r="G25" s="154">
        <f>SUM(G24:G24)</f>
        <v>34.69</v>
      </c>
      <c r="H25" s="152">
        <f>G25/G26</f>
        <v>3.4714994796253E-2</v>
      </c>
      <c r="I25" s="26"/>
      <c r="J25" s="26">
        <f>SUM(J24:J24)</f>
        <v>467.17</v>
      </c>
    </row>
    <row r="26" spans="1:10" s="12" customFormat="1" ht="25.5" customHeight="1" x14ac:dyDescent="0.2">
      <c r="A26" s="2"/>
      <c r="B26" s="2"/>
      <c r="C26" s="159" t="s">
        <v>258</v>
      </c>
      <c r="D26" s="2"/>
      <c r="E26" s="187"/>
      <c r="F26" s="26"/>
      <c r="G26" s="26">
        <f>G25+G23</f>
        <v>999.28</v>
      </c>
      <c r="H26" s="155">
        <v>1</v>
      </c>
      <c r="I26" s="156"/>
      <c r="J26" s="157">
        <f>J25+J23</f>
        <v>13460.14</v>
      </c>
    </row>
    <row r="27" spans="1:10" s="12" customFormat="1" ht="14.25" customHeight="1" x14ac:dyDescent="0.2">
      <c r="A27" s="2"/>
      <c r="B27" s="224" t="s">
        <v>43</v>
      </c>
      <c r="C27" s="224"/>
      <c r="D27" s="230"/>
      <c r="E27" s="231"/>
      <c r="F27" s="232"/>
      <c r="G27" s="232"/>
      <c r="H27" s="233"/>
      <c r="I27" s="149"/>
      <c r="J27" s="149"/>
    </row>
    <row r="28" spans="1:10" x14ac:dyDescent="0.25">
      <c r="A28" s="2"/>
      <c r="B28" s="225" t="s">
        <v>259</v>
      </c>
      <c r="C28" s="225"/>
      <c r="D28" s="226"/>
      <c r="E28" s="227"/>
      <c r="F28" s="228"/>
      <c r="G28" s="228"/>
      <c r="H28" s="229"/>
      <c r="I28" s="149"/>
      <c r="J28" s="149"/>
    </row>
    <row r="29" spans="1:10" s="12" customFormat="1" ht="25.5" customHeight="1" x14ac:dyDescent="0.2">
      <c r="A29" s="2">
        <v>7</v>
      </c>
      <c r="B29" s="2" t="s">
        <v>136</v>
      </c>
      <c r="C29" s="8" t="s">
        <v>137</v>
      </c>
      <c r="D29" s="2" t="s">
        <v>138</v>
      </c>
      <c r="E29" s="158">
        <v>12</v>
      </c>
      <c r="F29" s="153">
        <v>1105.2</v>
      </c>
      <c r="G29" s="26">
        <f t="shared" ref="G29:G36" si="0">ROUND(E29*F29,2)</f>
        <v>13262.4</v>
      </c>
      <c r="H29" s="152">
        <f t="shared" ref="H29:H43" si="1">G29/$G$44</f>
        <v>0.23547873164916999</v>
      </c>
      <c r="I29" s="26">
        <f>ROUND(F29*'Прил. 10'!$D$14,2)</f>
        <v>6918.55</v>
      </c>
      <c r="J29" s="26">
        <f t="shared" ref="J29:J36" si="2">ROUND(I29*E29,2)</f>
        <v>83022.600000000006</v>
      </c>
    </row>
    <row r="30" spans="1:10" s="12" customFormat="1" ht="38.25" customHeight="1" x14ac:dyDescent="0.2">
      <c r="A30" s="2">
        <v>8</v>
      </c>
      <c r="B30" s="2" t="s">
        <v>139</v>
      </c>
      <c r="C30" s="8" t="s">
        <v>140</v>
      </c>
      <c r="D30" s="2" t="s">
        <v>138</v>
      </c>
      <c r="E30" s="158">
        <v>74</v>
      </c>
      <c r="F30" s="153">
        <v>116.52</v>
      </c>
      <c r="G30" s="26">
        <f t="shared" si="0"/>
        <v>8622.48</v>
      </c>
      <c r="H30" s="152">
        <f t="shared" si="1"/>
        <v>0.15309526586969999</v>
      </c>
      <c r="I30" s="26">
        <f>ROUND(F30*'Прил. 10'!$D$14,2)</f>
        <v>729.42</v>
      </c>
      <c r="J30" s="26">
        <f t="shared" si="2"/>
        <v>53977.08</v>
      </c>
    </row>
    <row r="31" spans="1:10" s="12" customFormat="1" ht="63.75" customHeight="1" x14ac:dyDescent="0.2">
      <c r="A31" s="2">
        <v>9</v>
      </c>
      <c r="B31" s="2" t="s">
        <v>141</v>
      </c>
      <c r="C31" s="8" t="s">
        <v>142</v>
      </c>
      <c r="D31" s="2" t="s">
        <v>143</v>
      </c>
      <c r="E31" s="158">
        <v>4</v>
      </c>
      <c r="F31" s="153">
        <v>2188.6</v>
      </c>
      <c r="G31" s="26">
        <f t="shared" si="0"/>
        <v>8754.4</v>
      </c>
      <c r="H31" s="152">
        <f t="shared" si="1"/>
        <v>0.15543755341035001</v>
      </c>
      <c r="I31" s="26">
        <f>ROUND(F31*'Прил. 10'!$D$14,2)</f>
        <v>13700.64</v>
      </c>
      <c r="J31" s="26">
        <f t="shared" si="2"/>
        <v>54802.559999999998</v>
      </c>
    </row>
    <row r="32" spans="1:10" s="12" customFormat="1" ht="14.25" customHeight="1" x14ac:dyDescent="0.2">
      <c r="A32" s="2">
        <v>10</v>
      </c>
      <c r="B32" s="2" t="s">
        <v>144</v>
      </c>
      <c r="C32" s="8" t="s">
        <v>145</v>
      </c>
      <c r="D32" s="2" t="s">
        <v>143</v>
      </c>
      <c r="E32" s="158">
        <v>1.3</v>
      </c>
      <c r="F32" s="153">
        <v>3463.94</v>
      </c>
      <c r="G32" s="26">
        <f t="shared" si="0"/>
        <v>4503.12</v>
      </c>
      <c r="H32" s="152">
        <f t="shared" si="1"/>
        <v>7.9954532065386996E-2</v>
      </c>
      <c r="I32" s="26">
        <f>ROUND(F32*'Прил. 10'!$D$14,2)</f>
        <v>21684.26</v>
      </c>
      <c r="J32" s="26">
        <f t="shared" si="2"/>
        <v>28189.54</v>
      </c>
    </row>
    <row r="33" spans="1:10" s="12" customFormat="1" ht="38.25" customHeight="1" x14ac:dyDescent="0.2">
      <c r="A33" s="2">
        <v>11</v>
      </c>
      <c r="B33" s="2" t="s">
        <v>146</v>
      </c>
      <c r="C33" s="8" t="s">
        <v>147</v>
      </c>
      <c r="D33" s="2" t="s">
        <v>138</v>
      </c>
      <c r="E33" s="158">
        <v>21</v>
      </c>
      <c r="F33" s="153">
        <v>187</v>
      </c>
      <c r="G33" s="26">
        <f t="shared" si="0"/>
        <v>3927</v>
      </c>
      <c r="H33" s="152">
        <f t="shared" si="1"/>
        <v>6.9725312099339007E-2</v>
      </c>
      <c r="I33" s="26">
        <f>ROUND(F33*'Прил. 10'!$D$14,2)</f>
        <v>1170.6199999999999</v>
      </c>
      <c r="J33" s="26">
        <f t="shared" si="2"/>
        <v>24583.02</v>
      </c>
    </row>
    <row r="34" spans="1:10" s="12" customFormat="1" ht="14.25" customHeight="1" x14ac:dyDescent="0.2">
      <c r="A34" s="2">
        <v>12</v>
      </c>
      <c r="B34" s="2" t="s">
        <v>148</v>
      </c>
      <c r="C34" s="8" t="s">
        <v>149</v>
      </c>
      <c r="D34" s="2" t="s">
        <v>138</v>
      </c>
      <c r="E34" s="158">
        <v>90</v>
      </c>
      <c r="F34" s="153">
        <v>38.380000000000003</v>
      </c>
      <c r="G34" s="26">
        <f t="shared" si="0"/>
        <v>3454.2</v>
      </c>
      <c r="H34" s="152">
        <f t="shared" si="1"/>
        <v>6.1330576280503001E-2</v>
      </c>
      <c r="I34" s="26">
        <f>ROUND(F34*'Прил. 10'!$D$14,2)</f>
        <v>240.26</v>
      </c>
      <c r="J34" s="26">
        <f t="shared" si="2"/>
        <v>21623.4</v>
      </c>
    </row>
    <row r="35" spans="1:10" s="12" customFormat="1" ht="25.5" customHeight="1" x14ac:dyDescent="0.2">
      <c r="A35" s="2">
        <v>13</v>
      </c>
      <c r="B35" s="2" t="s">
        <v>150</v>
      </c>
      <c r="C35" s="8" t="s">
        <v>151</v>
      </c>
      <c r="D35" s="2" t="s">
        <v>138</v>
      </c>
      <c r="E35" s="158">
        <v>14</v>
      </c>
      <c r="F35" s="153">
        <v>243.85</v>
      </c>
      <c r="G35" s="26">
        <f t="shared" si="0"/>
        <v>3413.9</v>
      </c>
      <c r="H35" s="152">
        <f t="shared" si="1"/>
        <v>6.0615035135201001E-2</v>
      </c>
      <c r="I35" s="26">
        <f>ROUND(F35*'Прил. 10'!$D$14,2)</f>
        <v>1526.5</v>
      </c>
      <c r="J35" s="26">
        <f t="shared" si="2"/>
        <v>21371</v>
      </c>
    </row>
    <row r="36" spans="1:10" s="12" customFormat="1" ht="140.25" customHeight="1" x14ac:dyDescent="0.2">
      <c r="A36" s="2">
        <v>14</v>
      </c>
      <c r="B36" s="2" t="s">
        <v>152</v>
      </c>
      <c r="C36" s="8" t="s">
        <v>153</v>
      </c>
      <c r="D36" s="2" t="s">
        <v>138</v>
      </c>
      <c r="E36" s="158">
        <v>4</v>
      </c>
      <c r="F36" s="153">
        <v>726.24</v>
      </c>
      <c r="G36" s="26">
        <f t="shared" si="0"/>
        <v>2904.96</v>
      </c>
      <c r="H36" s="152">
        <f t="shared" si="1"/>
        <v>5.1578620482835999E-2</v>
      </c>
      <c r="I36" s="26">
        <f>ROUND(F36*'Прил. 10'!$D$14,2)</f>
        <v>4546.26</v>
      </c>
      <c r="J36" s="26">
        <f t="shared" si="2"/>
        <v>18185.04</v>
      </c>
    </row>
    <row r="37" spans="1:10" x14ac:dyDescent="0.25">
      <c r="A37" s="2"/>
      <c r="B37" s="2"/>
      <c r="C37" s="8" t="s">
        <v>260</v>
      </c>
      <c r="D37" s="2"/>
      <c r="E37" s="151"/>
      <c r="F37" s="153"/>
      <c r="G37" s="26">
        <f>SUM(G29:G36)</f>
        <v>48842.46</v>
      </c>
      <c r="H37" s="152">
        <f t="shared" si="1"/>
        <v>0.86721562699248</v>
      </c>
      <c r="I37" s="154"/>
      <c r="J37" s="26">
        <f>SUM(J29:J36)</f>
        <v>305754.23999999999</v>
      </c>
    </row>
    <row r="38" spans="1:10" s="12" customFormat="1" ht="25.5" customHeight="1" x14ac:dyDescent="0.2">
      <c r="A38" s="2">
        <v>15</v>
      </c>
      <c r="B38" s="2" t="s">
        <v>154</v>
      </c>
      <c r="C38" s="8" t="s">
        <v>155</v>
      </c>
      <c r="D38" s="2" t="s">
        <v>138</v>
      </c>
      <c r="E38" s="158">
        <v>15</v>
      </c>
      <c r="F38" s="153">
        <v>175.63</v>
      </c>
      <c r="G38" s="26">
        <f>ROUND(E38*F38,2)</f>
        <v>2634.45</v>
      </c>
      <c r="H38" s="152">
        <f t="shared" si="1"/>
        <v>4.6775617127605001E-2</v>
      </c>
      <c r="I38" s="26">
        <f>ROUND(F38*'Прил. 10'!$D$14,2)</f>
        <v>1099.44</v>
      </c>
      <c r="J38" s="26">
        <f>ROUND(I38*E38,2)</f>
        <v>16491.599999999999</v>
      </c>
    </row>
    <row r="39" spans="1:10" s="12" customFormat="1" ht="25.5" customHeight="1" x14ac:dyDescent="0.2">
      <c r="A39" s="2">
        <v>16</v>
      </c>
      <c r="B39" s="2" t="s">
        <v>156</v>
      </c>
      <c r="C39" s="8" t="s">
        <v>157</v>
      </c>
      <c r="D39" s="2" t="s">
        <v>143</v>
      </c>
      <c r="E39" s="158">
        <v>5.5</v>
      </c>
      <c r="F39" s="153">
        <v>410.04</v>
      </c>
      <c r="G39" s="26">
        <f>ROUND(E39*F39,2)</f>
        <v>2255.2199999999998</v>
      </c>
      <c r="H39" s="152">
        <f t="shared" si="1"/>
        <v>4.0042250662762999E-2</v>
      </c>
      <c r="I39" s="26">
        <f>ROUND(F39*'Прил. 10'!$D$14,2)</f>
        <v>2566.85</v>
      </c>
      <c r="J39" s="26">
        <f>ROUND(I39*E39,2)</f>
        <v>14117.68</v>
      </c>
    </row>
    <row r="40" spans="1:10" s="12" customFormat="1" ht="51" customHeight="1" x14ac:dyDescent="0.2">
      <c r="A40" s="2">
        <v>17</v>
      </c>
      <c r="B40" s="2" t="s">
        <v>158</v>
      </c>
      <c r="C40" s="8" t="s">
        <v>159</v>
      </c>
      <c r="D40" s="2" t="s">
        <v>138</v>
      </c>
      <c r="E40" s="158">
        <v>19</v>
      </c>
      <c r="F40" s="153">
        <v>68.819999999999993</v>
      </c>
      <c r="G40" s="26">
        <f>ROUND(E40*F40,2)</f>
        <v>1307.58</v>
      </c>
      <c r="H40" s="152">
        <f t="shared" si="1"/>
        <v>2.3216558083742001E-2</v>
      </c>
      <c r="I40" s="26">
        <f>ROUND(F40*'Прил. 10'!$D$14,2)</f>
        <v>430.81</v>
      </c>
      <c r="J40" s="26">
        <f>ROUND(I40*E40,2)</f>
        <v>8185.39</v>
      </c>
    </row>
    <row r="41" spans="1:10" s="12" customFormat="1" ht="25.5" customHeight="1" x14ac:dyDescent="0.2">
      <c r="A41" s="2">
        <v>18</v>
      </c>
      <c r="B41" s="2" t="s">
        <v>160</v>
      </c>
      <c r="C41" s="8" t="s">
        <v>161</v>
      </c>
      <c r="D41" s="2" t="s">
        <v>138</v>
      </c>
      <c r="E41" s="158">
        <v>2</v>
      </c>
      <c r="F41" s="153">
        <v>367.7</v>
      </c>
      <c r="G41" s="26">
        <f>ROUND(E41*F41,2)</f>
        <v>735.4</v>
      </c>
      <c r="H41" s="152">
        <f t="shared" si="1"/>
        <v>1.3057294249517E-2</v>
      </c>
      <c r="I41" s="26">
        <f>ROUND(F41*'Прил. 10'!$D$14,2)</f>
        <v>2301.8000000000002</v>
      </c>
      <c r="J41" s="26">
        <f>ROUND(I41*E41,2)</f>
        <v>4603.6000000000004</v>
      </c>
    </row>
    <row r="42" spans="1:10" s="12" customFormat="1" ht="38.25" customHeight="1" x14ac:dyDescent="0.2">
      <c r="A42" s="2">
        <v>19</v>
      </c>
      <c r="B42" s="2" t="s">
        <v>162</v>
      </c>
      <c r="C42" s="8" t="s">
        <v>163</v>
      </c>
      <c r="D42" s="2" t="s">
        <v>164</v>
      </c>
      <c r="E42" s="158">
        <v>0.1</v>
      </c>
      <c r="F42" s="153">
        <v>5459</v>
      </c>
      <c r="G42" s="26">
        <f>ROUND(E42*F42,2)</f>
        <v>545.9</v>
      </c>
      <c r="H42" s="152">
        <f t="shared" si="1"/>
        <v>9.6926528838883006E-3</v>
      </c>
      <c r="I42" s="26">
        <f>ROUND(F42*'Прил. 10'!$D$14,2)</f>
        <v>34173.339999999997</v>
      </c>
      <c r="J42" s="26">
        <f>ROUND(I42*E42,2)</f>
        <v>3417.33</v>
      </c>
    </row>
    <row r="43" spans="1:10" x14ac:dyDescent="0.25">
      <c r="A43" s="2"/>
      <c r="B43" s="2"/>
      <c r="C43" s="8" t="s">
        <v>261</v>
      </c>
      <c r="D43" s="2"/>
      <c r="E43" s="151"/>
      <c r="F43" s="153"/>
      <c r="G43" s="26">
        <f>SUM(G38:G42)</f>
        <v>7478.55</v>
      </c>
      <c r="H43" s="152">
        <f t="shared" si="1"/>
        <v>0.13278437300752</v>
      </c>
      <c r="I43" s="154"/>
      <c r="J43" s="26">
        <f>SUM(J38:J42)</f>
        <v>46815.6</v>
      </c>
    </row>
    <row r="44" spans="1:10" x14ac:dyDescent="0.25">
      <c r="A44" s="2"/>
      <c r="B44" s="2"/>
      <c r="C44" s="159" t="s">
        <v>262</v>
      </c>
      <c r="D44" s="2"/>
      <c r="E44" s="187"/>
      <c r="F44" s="153"/>
      <c r="G44" s="26">
        <f>G37+G43</f>
        <v>56321.01</v>
      </c>
      <c r="H44" s="188">
        <f>H37+H43</f>
        <v>1</v>
      </c>
      <c r="I44" s="154"/>
      <c r="J44" s="26">
        <f>J37+J43</f>
        <v>352569.84</v>
      </c>
    </row>
    <row r="45" spans="1:10" ht="25.5" customHeight="1" x14ac:dyDescent="0.25">
      <c r="A45" s="2"/>
      <c r="B45" s="2"/>
      <c r="C45" s="8" t="s">
        <v>263</v>
      </c>
      <c r="D45" s="2"/>
      <c r="E45" s="158"/>
      <c r="F45" s="153"/>
      <c r="G45" s="26">
        <f>'Прил.6 Расчет ОБ'!G25</f>
        <v>56321.01</v>
      </c>
      <c r="H45" s="188"/>
      <c r="I45" s="154"/>
      <c r="J45" s="26">
        <f>ROUND(G45*'Прил. 10'!D14,2)</f>
        <v>352569.52</v>
      </c>
    </row>
    <row r="46" spans="1:10" s="12" customFormat="1" ht="14.25" customHeight="1" x14ac:dyDescent="0.2">
      <c r="A46" s="2"/>
      <c r="B46" s="224" t="s">
        <v>165</v>
      </c>
      <c r="C46" s="224"/>
      <c r="D46" s="230"/>
      <c r="E46" s="231"/>
      <c r="F46" s="232"/>
      <c r="G46" s="232"/>
      <c r="H46" s="233"/>
      <c r="I46" s="149"/>
      <c r="J46" s="149"/>
    </row>
    <row r="47" spans="1:10" s="12" customFormat="1" ht="14.25" customHeight="1" x14ac:dyDescent="0.2">
      <c r="A47" s="185"/>
      <c r="B47" s="219" t="s">
        <v>264</v>
      </c>
      <c r="C47" s="219"/>
      <c r="D47" s="220"/>
      <c r="E47" s="221"/>
      <c r="F47" s="222"/>
      <c r="G47" s="222"/>
      <c r="H47" s="223"/>
      <c r="I47" s="160"/>
      <c r="J47" s="160"/>
    </row>
    <row r="48" spans="1:10" s="12" customFormat="1" ht="25.5" customHeight="1" x14ac:dyDescent="0.2">
      <c r="A48" s="2">
        <v>20</v>
      </c>
      <c r="B48" s="2" t="s">
        <v>166</v>
      </c>
      <c r="C48" s="8" t="s">
        <v>167</v>
      </c>
      <c r="D48" s="2" t="s">
        <v>168</v>
      </c>
      <c r="E48" s="158">
        <v>1.5112243272096999</v>
      </c>
      <c r="F48" s="153">
        <v>8018.05</v>
      </c>
      <c r="G48" s="26">
        <f>ROUND(E48*F48,2)</f>
        <v>12117.07</v>
      </c>
      <c r="H48" s="152">
        <f t="shared" ref="H48:H65" si="3">G48/$G$65</f>
        <v>0.74199104986504005</v>
      </c>
      <c r="I48" s="26">
        <f>ROUND(F48*'Прил. 10'!$D$13,2)</f>
        <v>64465.120000000003</v>
      </c>
      <c r="J48" s="26">
        <f>ROUND(I48*E48,2)</f>
        <v>97421.26</v>
      </c>
    </row>
    <row r="49" spans="1:10" s="12" customFormat="1" ht="25.5" customHeight="1" x14ac:dyDescent="0.2">
      <c r="A49" s="2">
        <v>21</v>
      </c>
      <c r="B49" s="2" t="s">
        <v>169</v>
      </c>
      <c r="C49" s="8" t="s">
        <v>170</v>
      </c>
      <c r="D49" s="2" t="s">
        <v>164</v>
      </c>
      <c r="E49" s="158">
        <v>22.233887224277002</v>
      </c>
      <c r="F49" s="153">
        <v>83</v>
      </c>
      <c r="G49" s="26">
        <f>ROUND(E49*F49,2)</f>
        <v>1845.41</v>
      </c>
      <c r="H49" s="152">
        <f t="shared" si="3"/>
        <v>0.11300402682591</v>
      </c>
      <c r="I49" s="26">
        <f>ROUND(F49*'Прил. 10'!$D$13,2)</f>
        <v>667.32</v>
      </c>
      <c r="J49" s="26">
        <f>ROUND(I49*E49,2)</f>
        <v>14837.12</v>
      </c>
    </row>
    <row r="50" spans="1:10" s="12" customFormat="1" ht="25.5" customHeight="1" x14ac:dyDescent="0.2">
      <c r="A50" s="2">
        <v>22</v>
      </c>
      <c r="B50" s="2" t="s">
        <v>171</v>
      </c>
      <c r="C50" s="8" t="s">
        <v>172</v>
      </c>
      <c r="D50" s="2" t="s">
        <v>173</v>
      </c>
      <c r="E50" s="158">
        <v>8.9843145380294007E-3</v>
      </c>
      <c r="F50" s="153">
        <v>65750</v>
      </c>
      <c r="G50" s="26">
        <f>ROUND(E50*F50,2)</f>
        <v>590.72</v>
      </c>
      <c r="H50" s="152">
        <f t="shared" si="3"/>
        <v>3.6172849787635998E-2</v>
      </c>
      <c r="I50" s="26">
        <f>ROUND(F50*'Прил. 10'!$D$13,2)</f>
        <v>528630</v>
      </c>
      <c r="J50" s="26">
        <f>ROUND(I50*E50,2)</f>
        <v>4749.38</v>
      </c>
    </row>
    <row r="51" spans="1:10" s="12" customFormat="1" ht="14.25" customHeight="1" x14ac:dyDescent="0.2">
      <c r="A51" s="161"/>
      <c r="B51" s="162"/>
      <c r="C51" s="163" t="s">
        <v>265</v>
      </c>
      <c r="D51" s="161"/>
      <c r="E51" s="164"/>
      <c r="F51" s="157"/>
      <c r="G51" s="157">
        <f>SUM(G48:G50)</f>
        <v>14553.2</v>
      </c>
      <c r="H51" s="152">
        <f t="shared" si="3"/>
        <v>0.89116792647858001</v>
      </c>
      <c r="I51" s="26"/>
      <c r="J51" s="157">
        <f>SUM(J48:J50)</f>
        <v>117007.76</v>
      </c>
    </row>
    <row r="52" spans="1:10" s="12" customFormat="1" ht="25.5" customHeight="1" outlineLevel="1" x14ac:dyDescent="0.2">
      <c r="A52" s="2">
        <v>23</v>
      </c>
      <c r="B52" s="2" t="s">
        <v>174</v>
      </c>
      <c r="C52" s="8" t="s">
        <v>175</v>
      </c>
      <c r="D52" s="2" t="s">
        <v>173</v>
      </c>
      <c r="E52" s="158">
        <v>8.0283095906082992E-3</v>
      </c>
      <c r="F52" s="153">
        <v>68050</v>
      </c>
      <c r="G52" s="26">
        <f t="shared" ref="G52:G63" si="4">ROUND(E52*F52,2)</f>
        <v>546.33000000000004</v>
      </c>
      <c r="H52" s="152">
        <f t="shared" si="3"/>
        <v>3.3454619827463998E-2</v>
      </c>
      <c r="I52" s="26">
        <f>ROUND(F52*'Прил. 10'!$D$13,2)</f>
        <v>547122</v>
      </c>
      <c r="J52" s="26">
        <f t="shared" ref="J52:J63" si="5">ROUND(I52*E52,2)</f>
        <v>4392.46</v>
      </c>
    </row>
    <row r="53" spans="1:10" s="12" customFormat="1" ht="25.5" customHeight="1" outlineLevel="1" x14ac:dyDescent="0.2">
      <c r="A53" s="2">
        <v>24</v>
      </c>
      <c r="B53" s="2" t="s">
        <v>176</v>
      </c>
      <c r="C53" s="8" t="s">
        <v>177</v>
      </c>
      <c r="D53" s="2" t="s">
        <v>168</v>
      </c>
      <c r="E53" s="158">
        <v>9.4450661670713004E-2</v>
      </c>
      <c r="F53" s="153">
        <v>5545.45</v>
      </c>
      <c r="G53" s="26">
        <f t="shared" si="4"/>
        <v>523.77</v>
      </c>
      <c r="H53" s="152">
        <f t="shared" si="3"/>
        <v>3.2073154004045999E-2</v>
      </c>
      <c r="I53" s="26">
        <f>ROUND(F53*'Прил. 10'!$D$13,2)</f>
        <v>44585.42</v>
      </c>
      <c r="J53" s="26">
        <f t="shared" si="5"/>
        <v>4211.12</v>
      </c>
    </row>
    <row r="54" spans="1:10" s="12" customFormat="1" ht="25.5" customHeight="1" outlineLevel="1" x14ac:dyDescent="0.2">
      <c r="A54" s="2">
        <v>25</v>
      </c>
      <c r="B54" s="2" t="s">
        <v>178</v>
      </c>
      <c r="C54" s="8" t="s">
        <v>179</v>
      </c>
      <c r="D54" s="2" t="s">
        <v>180</v>
      </c>
      <c r="E54" s="158">
        <v>403.70467618524998</v>
      </c>
      <c r="F54" s="153">
        <v>1</v>
      </c>
      <c r="G54" s="26">
        <f t="shared" si="4"/>
        <v>403.7</v>
      </c>
      <c r="H54" s="152">
        <f t="shared" si="3"/>
        <v>2.4720645075956001E-2</v>
      </c>
      <c r="I54" s="26">
        <f>ROUND(F54*'Прил. 10'!$D$13,2)</f>
        <v>8.0399999999999991</v>
      </c>
      <c r="J54" s="26">
        <f t="shared" si="5"/>
        <v>3245.79</v>
      </c>
    </row>
    <row r="55" spans="1:10" s="12" customFormat="1" ht="14.25" customHeight="1" outlineLevel="1" x14ac:dyDescent="0.2">
      <c r="A55" s="2">
        <v>26</v>
      </c>
      <c r="B55" s="2" t="s">
        <v>181</v>
      </c>
      <c r="C55" s="8" t="s">
        <v>182</v>
      </c>
      <c r="D55" s="2" t="s">
        <v>168</v>
      </c>
      <c r="E55" s="158">
        <v>9.4456722076140004E-2</v>
      </c>
      <c r="F55" s="153">
        <v>1819.3</v>
      </c>
      <c r="G55" s="26">
        <f t="shared" si="4"/>
        <v>171.85</v>
      </c>
      <c r="H55" s="152">
        <f t="shared" si="3"/>
        <v>1.0523266921732E-2</v>
      </c>
      <c r="I55" s="26">
        <f>ROUND(F55*'Прил. 10'!$D$13,2)</f>
        <v>14627.17</v>
      </c>
      <c r="J55" s="26">
        <f t="shared" si="5"/>
        <v>1381.63</v>
      </c>
    </row>
    <row r="56" spans="1:10" s="12" customFormat="1" ht="14.25" customHeight="1" outlineLevel="1" x14ac:dyDescent="0.2">
      <c r="A56" s="2">
        <v>27</v>
      </c>
      <c r="B56" s="2" t="s">
        <v>183</v>
      </c>
      <c r="C56" s="8" t="s">
        <v>184</v>
      </c>
      <c r="D56" s="2" t="s">
        <v>164</v>
      </c>
      <c r="E56" s="158">
        <v>0.20779333854465001</v>
      </c>
      <c r="F56" s="153">
        <v>164</v>
      </c>
      <c r="G56" s="26">
        <f t="shared" si="4"/>
        <v>34.08</v>
      </c>
      <c r="H56" s="152">
        <f t="shared" si="3"/>
        <v>2.0868951800558999E-3</v>
      </c>
      <c r="I56" s="26">
        <f>ROUND(F56*'Прил. 10'!$D$13,2)</f>
        <v>1318.56</v>
      </c>
      <c r="J56" s="26">
        <f t="shared" si="5"/>
        <v>273.99</v>
      </c>
    </row>
    <row r="57" spans="1:10" s="12" customFormat="1" ht="38.25" customHeight="1" outlineLevel="1" x14ac:dyDescent="0.2">
      <c r="A57" s="2">
        <v>28</v>
      </c>
      <c r="B57" s="2" t="s">
        <v>185</v>
      </c>
      <c r="C57" s="8" t="s">
        <v>186</v>
      </c>
      <c r="D57" s="2" t="s">
        <v>187</v>
      </c>
      <c r="E57" s="158">
        <v>0.28328274588381003</v>
      </c>
      <c r="F57" s="153">
        <v>91.29</v>
      </c>
      <c r="G57" s="26">
        <f t="shared" si="4"/>
        <v>25.86</v>
      </c>
      <c r="H57" s="152">
        <f t="shared" si="3"/>
        <v>1.5835419412043999E-3</v>
      </c>
      <c r="I57" s="26">
        <f>ROUND(F57*'Прил. 10'!$D$13,2)</f>
        <v>733.97</v>
      </c>
      <c r="J57" s="26">
        <f t="shared" si="5"/>
        <v>207.92</v>
      </c>
    </row>
    <row r="58" spans="1:10" s="12" customFormat="1" ht="14.25" customHeight="1" outlineLevel="1" x14ac:dyDescent="0.2">
      <c r="A58" s="2">
        <v>29</v>
      </c>
      <c r="B58" s="2" t="s">
        <v>188</v>
      </c>
      <c r="C58" s="8" t="s">
        <v>189</v>
      </c>
      <c r="D58" s="2" t="s">
        <v>187</v>
      </c>
      <c r="E58" s="158">
        <v>2.8336079041565001</v>
      </c>
      <c r="F58" s="153">
        <v>9.0399999999999991</v>
      </c>
      <c r="G58" s="26">
        <f t="shared" si="4"/>
        <v>25.62</v>
      </c>
      <c r="H58" s="152">
        <f t="shared" si="3"/>
        <v>1.5688454962744999E-3</v>
      </c>
      <c r="I58" s="26">
        <f>ROUND(F58*'Прил. 10'!$D$13,2)</f>
        <v>72.680000000000007</v>
      </c>
      <c r="J58" s="26">
        <f t="shared" si="5"/>
        <v>205.95</v>
      </c>
    </row>
    <row r="59" spans="1:10" s="12" customFormat="1" ht="14.25" customHeight="1" outlineLevel="1" x14ac:dyDescent="0.2">
      <c r="A59" s="2">
        <v>30</v>
      </c>
      <c r="B59" s="2" t="s">
        <v>190</v>
      </c>
      <c r="C59" s="8" t="s">
        <v>191</v>
      </c>
      <c r="D59" s="2" t="s">
        <v>187</v>
      </c>
      <c r="E59" s="158">
        <v>0.56997677274130998</v>
      </c>
      <c r="F59" s="153">
        <v>27.74</v>
      </c>
      <c r="G59" s="26">
        <f t="shared" si="4"/>
        <v>15.81</v>
      </c>
      <c r="H59" s="152">
        <f t="shared" si="3"/>
        <v>9.6812830976186997E-4</v>
      </c>
      <c r="I59" s="26">
        <f>ROUND(F59*'Прил. 10'!$D$13,2)</f>
        <v>223.03</v>
      </c>
      <c r="J59" s="26">
        <f t="shared" si="5"/>
        <v>127.12</v>
      </c>
    </row>
    <row r="60" spans="1:10" s="12" customFormat="1" ht="14.25" customHeight="1" outlineLevel="1" x14ac:dyDescent="0.2">
      <c r="A60" s="2">
        <v>31</v>
      </c>
      <c r="B60" s="2" t="s">
        <v>192</v>
      </c>
      <c r="C60" s="8" t="s">
        <v>193</v>
      </c>
      <c r="D60" s="2" t="s">
        <v>194</v>
      </c>
      <c r="E60" s="158">
        <v>1.5412281293654</v>
      </c>
      <c r="F60" s="153">
        <v>6.9</v>
      </c>
      <c r="G60" s="26">
        <f t="shared" si="4"/>
        <v>10.63</v>
      </c>
      <c r="H60" s="152">
        <f t="shared" si="3"/>
        <v>6.5093004002332003E-4</v>
      </c>
      <c r="I60" s="26">
        <f>ROUND(F60*'Прил. 10'!$D$13,2)</f>
        <v>55.48</v>
      </c>
      <c r="J60" s="26">
        <f t="shared" si="5"/>
        <v>85.51</v>
      </c>
    </row>
    <row r="61" spans="1:10" s="12" customFormat="1" ht="14.25" customHeight="1" outlineLevel="1" x14ac:dyDescent="0.2">
      <c r="A61" s="2">
        <v>32</v>
      </c>
      <c r="B61" s="2" t="s">
        <v>195</v>
      </c>
      <c r="C61" s="8" t="s">
        <v>196</v>
      </c>
      <c r="D61" s="2" t="s">
        <v>173</v>
      </c>
      <c r="E61" s="158">
        <v>9.6299053508026996E-4</v>
      </c>
      <c r="F61" s="153">
        <v>7826.9</v>
      </c>
      <c r="G61" s="26">
        <f t="shared" si="4"/>
        <v>7.54</v>
      </c>
      <c r="H61" s="152">
        <f t="shared" si="3"/>
        <v>4.6171331154994002E-4</v>
      </c>
      <c r="I61" s="26">
        <f>ROUND(F61*'Прил. 10'!$D$13,2)</f>
        <v>62928.28</v>
      </c>
      <c r="J61" s="26">
        <f t="shared" si="5"/>
        <v>60.6</v>
      </c>
    </row>
    <row r="62" spans="1:10" s="12" customFormat="1" ht="14.25" customHeight="1" outlineLevel="1" x14ac:dyDescent="0.2">
      <c r="A62" s="2">
        <v>33</v>
      </c>
      <c r="B62" s="2" t="s">
        <v>197</v>
      </c>
      <c r="C62" s="8" t="s">
        <v>198</v>
      </c>
      <c r="D62" s="2" t="s">
        <v>173</v>
      </c>
      <c r="E62" s="158">
        <v>9.8335767460437998E-3</v>
      </c>
      <c r="F62" s="153">
        <v>729.98</v>
      </c>
      <c r="G62" s="26">
        <f t="shared" si="4"/>
        <v>7.18</v>
      </c>
      <c r="H62" s="152">
        <f t="shared" si="3"/>
        <v>4.3966864415498E-4</v>
      </c>
      <c r="I62" s="26">
        <f>ROUND(F62*'Прил. 10'!$D$13,2)</f>
        <v>5869.04</v>
      </c>
      <c r="J62" s="26">
        <f t="shared" si="5"/>
        <v>57.71</v>
      </c>
    </row>
    <row r="63" spans="1:10" s="12" customFormat="1" ht="14.25" customHeight="1" outlineLevel="1" x14ac:dyDescent="0.2">
      <c r="A63" s="2">
        <v>34</v>
      </c>
      <c r="B63" s="2" t="s">
        <v>199</v>
      </c>
      <c r="C63" s="8" t="s">
        <v>200</v>
      </c>
      <c r="D63" s="2" t="s">
        <v>187</v>
      </c>
      <c r="E63" s="158">
        <v>0.16976909047672001</v>
      </c>
      <c r="F63" s="153">
        <v>28.93</v>
      </c>
      <c r="G63" s="26">
        <f t="shared" si="4"/>
        <v>4.91</v>
      </c>
      <c r="H63" s="152">
        <f t="shared" si="3"/>
        <v>3.0066476919233002E-4</v>
      </c>
      <c r="I63" s="26">
        <f>ROUND(F63*'Прил. 10'!$D$13,2)</f>
        <v>232.6</v>
      </c>
      <c r="J63" s="26">
        <f t="shared" si="5"/>
        <v>39.49</v>
      </c>
    </row>
    <row r="64" spans="1:10" s="12" customFormat="1" ht="14.25" customHeight="1" x14ac:dyDescent="0.2">
      <c r="A64" s="2"/>
      <c r="B64" s="2"/>
      <c r="C64" s="8" t="s">
        <v>266</v>
      </c>
      <c r="D64" s="2"/>
      <c r="E64" s="187"/>
      <c r="F64" s="153"/>
      <c r="G64" s="26">
        <f>SUM(G52:G63)</f>
        <v>1777.28</v>
      </c>
      <c r="H64" s="152">
        <f t="shared" si="3"/>
        <v>0.10883207352142001</v>
      </c>
      <c r="I64" s="26"/>
      <c r="J64" s="26">
        <f>SUM(J52:J63)</f>
        <v>14289.29</v>
      </c>
    </row>
    <row r="65" spans="1:10" s="12" customFormat="1" ht="14.25" customHeight="1" x14ac:dyDescent="0.2">
      <c r="A65" s="2"/>
      <c r="B65" s="2"/>
      <c r="C65" s="159" t="s">
        <v>267</v>
      </c>
      <c r="D65" s="2"/>
      <c r="E65" s="187"/>
      <c r="F65" s="153"/>
      <c r="G65" s="26">
        <f>G51+G64</f>
        <v>16330.48</v>
      </c>
      <c r="H65" s="188">
        <f t="shared" si="3"/>
        <v>1</v>
      </c>
      <c r="I65" s="26"/>
      <c r="J65" s="26">
        <f>J51+J64</f>
        <v>131297.04999999999</v>
      </c>
    </row>
    <row r="66" spans="1:10" s="12" customFormat="1" ht="14.25" customHeight="1" x14ac:dyDescent="0.2">
      <c r="A66" s="2"/>
      <c r="B66" s="2"/>
      <c r="C66" s="8" t="s">
        <v>268</v>
      </c>
      <c r="D66" s="2"/>
      <c r="E66" s="187"/>
      <c r="F66" s="153"/>
      <c r="G66" s="26">
        <f>G15+G26+G65</f>
        <v>37614.434202867997</v>
      </c>
      <c r="H66" s="188"/>
      <c r="I66" s="26"/>
      <c r="J66" s="26">
        <f>J15+J26+J65</f>
        <v>1081813.6299999999</v>
      </c>
    </row>
    <row r="67" spans="1:10" s="12" customFormat="1" ht="14.25" customHeight="1" x14ac:dyDescent="0.2">
      <c r="A67" s="2"/>
      <c r="B67" s="2"/>
      <c r="C67" s="8" t="s">
        <v>269</v>
      </c>
      <c r="D67" s="165">
        <f>ROUND(G67/(G$17+$G$15),2)</f>
        <v>0.48</v>
      </c>
      <c r="E67" s="187"/>
      <c r="F67" s="153"/>
      <c r="G67" s="26">
        <v>9805.5400000000009</v>
      </c>
      <c r="H67" s="188"/>
      <c r="I67" s="26"/>
      <c r="J67" s="26">
        <f>ROUND(D67*(J15+J17),2)</f>
        <v>451094.55</v>
      </c>
    </row>
    <row r="68" spans="1:10" s="12" customFormat="1" ht="14.25" customHeight="1" x14ac:dyDescent="0.2">
      <c r="A68" s="2"/>
      <c r="B68" s="2"/>
      <c r="C68" s="8" t="s">
        <v>270</v>
      </c>
      <c r="D68" s="165">
        <f>ROUND(G68/(G$15+G$17),2)</f>
        <v>0.25</v>
      </c>
      <c r="E68" s="187"/>
      <c r="F68" s="153"/>
      <c r="G68" s="26">
        <v>5035.4399999999996</v>
      </c>
      <c r="H68" s="188"/>
      <c r="I68" s="26"/>
      <c r="J68" s="26">
        <f>ROUND(D68*(J15+J17),2)</f>
        <v>234945.08</v>
      </c>
    </row>
    <row r="69" spans="1:10" s="12" customFormat="1" ht="14.25" customHeight="1" x14ac:dyDescent="0.2">
      <c r="A69" s="2"/>
      <c r="B69" s="2"/>
      <c r="C69" s="8" t="s">
        <v>271</v>
      </c>
      <c r="D69" s="2"/>
      <c r="E69" s="187"/>
      <c r="F69" s="153"/>
      <c r="G69" s="26">
        <f>G15+G26+G65+G67+G68</f>
        <v>52455.414202868</v>
      </c>
      <c r="H69" s="188"/>
      <c r="I69" s="26"/>
      <c r="J69" s="26">
        <f>J15+J26+J65+J67+J68</f>
        <v>1767853.26</v>
      </c>
    </row>
    <row r="70" spans="1:10" s="12" customFormat="1" ht="14.25" customHeight="1" x14ac:dyDescent="0.2">
      <c r="A70" s="2"/>
      <c r="B70" s="2"/>
      <c r="C70" s="8" t="s">
        <v>272</v>
      </c>
      <c r="D70" s="2"/>
      <c r="E70" s="187"/>
      <c r="F70" s="153"/>
      <c r="G70" s="26">
        <f>G69+G44</f>
        <v>108776.42420287</v>
      </c>
      <c r="H70" s="188"/>
      <c r="I70" s="26"/>
      <c r="J70" s="26">
        <f>J69+J44</f>
        <v>2120423.1</v>
      </c>
    </row>
    <row r="71" spans="1:10" s="12" customFormat="1" ht="34.5" customHeight="1" x14ac:dyDescent="0.2">
      <c r="A71" s="2"/>
      <c r="B71" s="2"/>
      <c r="C71" s="8" t="s">
        <v>238</v>
      </c>
      <c r="D71" s="2" t="s">
        <v>273</v>
      </c>
      <c r="E71" s="189">
        <v>1</v>
      </c>
      <c r="F71" s="153"/>
      <c r="G71" s="26">
        <f>G70/E71</f>
        <v>108776.42420287</v>
      </c>
      <c r="H71" s="188"/>
      <c r="I71" s="26"/>
      <c r="J71" s="26">
        <f>J70/E71</f>
        <v>2120423.1</v>
      </c>
    </row>
    <row r="73" spans="1:10" s="12" customFormat="1" ht="14.25" customHeight="1" x14ac:dyDescent="0.2">
      <c r="A73" s="4" t="s">
        <v>274</v>
      </c>
    </row>
    <row r="74" spans="1:10" s="12" customFormat="1" ht="14.25" customHeight="1" x14ac:dyDescent="0.2">
      <c r="A74" s="166" t="s">
        <v>76</v>
      </c>
    </row>
    <row r="75" spans="1:10" s="12" customFormat="1" ht="14.25" customHeight="1" x14ac:dyDescent="0.2">
      <c r="A75" s="4"/>
    </row>
    <row r="76" spans="1:10" s="12" customFormat="1" ht="14.25" customHeight="1" x14ac:dyDescent="0.2">
      <c r="A76" s="4" t="s">
        <v>275</v>
      </c>
    </row>
    <row r="77" spans="1:10" s="12" customFormat="1" ht="14.25" customHeight="1" x14ac:dyDescent="0.2">
      <c r="A77" s="166" t="s">
        <v>78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10:J10"/>
    <mergeCell ref="A8:H8"/>
    <mergeCell ref="A10:A11"/>
    <mergeCell ref="B10:B11"/>
    <mergeCell ref="C10:C11"/>
    <mergeCell ref="D10:D11"/>
    <mergeCell ref="E10:E11"/>
    <mergeCell ref="F10:G10"/>
    <mergeCell ref="H10:H11"/>
    <mergeCell ref="A4:J4"/>
    <mergeCell ref="D6:J6"/>
    <mergeCell ref="B47:H47"/>
    <mergeCell ref="B13:H13"/>
    <mergeCell ref="B16:H16"/>
    <mergeCell ref="B18:H18"/>
    <mergeCell ref="B19:H19"/>
    <mergeCell ref="B28:H28"/>
    <mergeCell ref="B27:H27"/>
    <mergeCell ref="B46:H46"/>
  </mergeCells>
  <pageMargins left="0.62992125984252001" right="0.23622047244093999" top="0.74803149606299002" bottom="0.74803149606299002" header="0.31496062992126" footer="0.31496062992126"/>
  <pageSetup paperSize="9" scale="59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2"/>
  <sheetViews>
    <sheetView view="pageBreakPreview" workbookViewId="0">
      <selection activeCell="C14" sqref="C14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39" t="s">
        <v>276</v>
      </c>
      <c r="B1" s="239"/>
      <c r="C1" s="239"/>
      <c r="D1" s="239"/>
      <c r="E1" s="239"/>
      <c r="F1" s="239"/>
      <c r="G1" s="239"/>
    </row>
    <row r="2" spans="1:7" ht="21.75" customHeight="1" x14ac:dyDescent="0.25">
      <c r="A2" s="45"/>
      <c r="B2" s="45"/>
      <c r="C2" s="45"/>
      <c r="D2" s="45"/>
      <c r="E2" s="45"/>
      <c r="F2" s="45"/>
      <c r="G2" s="45"/>
    </row>
    <row r="3" spans="1:7" x14ac:dyDescent="0.25">
      <c r="A3" s="196" t="s">
        <v>277</v>
      </c>
      <c r="B3" s="196"/>
      <c r="C3" s="196"/>
      <c r="D3" s="196"/>
      <c r="E3" s="196"/>
      <c r="F3" s="196"/>
      <c r="G3" s="196"/>
    </row>
    <row r="4" spans="1:7" ht="25.5" customHeight="1" x14ac:dyDescent="0.25">
      <c r="A4" s="199" t="s">
        <v>47</v>
      </c>
      <c r="B4" s="199"/>
      <c r="C4" s="199"/>
      <c r="D4" s="199"/>
      <c r="E4" s="199"/>
      <c r="F4" s="199"/>
      <c r="G4" s="199"/>
    </row>
    <row r="5" spans="1:7" x14ac:dyDescent="0.25">
      <c r="A5" s="4"/>
      <c r="B5" s="4"/>
      <c r="C5" s="4"/>
      <c r="D5" s="4"/>
      <c r="E5" s="4"/>
      <c r="F5" s="4"/>
      <c r="G5" s="4"/>
    </row>
    <row r="6" spans="1:7" ht="30.2" customHeight="1" x14ac:dyDescent="0.25">
      <c r="A6" s="244" t="s">
        <v>13</v>
      </c>
      <c r="B6" s="244" t="s">
        <v>98</v>
      </c>
      <c r="C6" s="244" t="s">
        <v>204</v>
      </c>
      <c r="D6" s="244" t="s">
        <v>100</v>
      </c>
      <c r="E6" s="220" t="s">
        <v>247</v>
      </c>
      <c r="F6" s="244" t="s">
        <v>102</v>
      </c>
      <c r="G6" s="244"/>
    </row>
    <row r="7" spans="1:7" x14ac:dyDescent="0.25">
      <c r="A7" s="244"/>
      <c r="B7" s="244"/>
      <c r="C7" s="244"/>
      <c r="D7" s="244"/>
      <c r="E7" s="237"/>
      <c r="F7" s="2" t="s">
        <v>250</v>
      </c>
      <c r="G7" s="2" t="s">
        <v>104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105"/>
      <c r="B9" s="240" t="s">
        <v>278</v>
      </c>
      <c r="C9" s="241"/>
      <c r="D9" s="241"/>
      <c r="E9" s="241"/>
      <c r="F9" s="241"/>
      <c r="G9" s="242"/>
    </row>
    <row r="10" spans="1:7" ht="27" customHeight="1" x14ac:dyDescent="0.25">
      <c r="A10" s="2"/>
      <c r="B10" s="159"/>
      <c r="C10" s="8" t="s">
        <v>279</v>
      </c>
      <c r="D10" s="159"/>
      <c r="E10" s="167"/>
      <c r="F10" s="153"/>
      <c r="G10" s="26">
        <v>0</v>
      </c>
    </row>
    <row r="11" spans="1:7" x14ac:dyDescent="0.25">
      <c r="A11" s="2"/>
      <c r="B11" s="225" t="s">
        <v>280</v>
      </c>
      <c r="C11" s="225"/>
      <c r="D11" s="225"/>
      <c r="E11" s="243"/>
      <c r="F11" s="228"/>
      <c r="G11" s="228"/>
    </row>
    <row r="12" spans="1:7" s="113" customFormat="1" ht="25.5" customHeight="1" x14ac:dyDescent="0.25">
      <c r="A12" s="2">
        <v>1</v>
      </c>
      <c r="B12" s="8" t="str">
        <f>'Прил.5 Расчет СМР и ОБ'!B29</f>
        <v>62.4.02.02-0041</v>
      </c>
      <c r="C12" s="8" t="str">
        <f>'Прил.5 Расчет СМР и ОБ'!C29</f>
        <v>Источник резервного питания, марка: "РИП 12" исп. 06</v>
      </c>
      <c r="D12" s="2" t="str">
        <f>'Прил.5 Расчет СМР и ОБ'!D29</f>
        <v>шт</v>
      </c>
      <c r="E12" s="158">
        <f>'Прил.5 Расчет СМР и ОБ'!E29</f>
        <v>12</v>
      </c>
      <c r="F12" s="153">
        <f>'Прил.5 Расчет СМР и ОБ'!F29</f>
        <v>1105.2</v>
      </c>
      <c r="G12" s="26">
        <f t="shared" ref="G12:G24" si="0">ROUND(E12*F12,2)</f>
        <v>13262.4</v>
      </c>
    </row>
    <row r="13" spans="1:7" s="113" customFormat="1" ht="38.25" customHeight="1" x14ac:dyDescent="0.25">
      <c r="A13" s="2">
        <v>2</v>
      </c>
      <c r="B13" s="8" t="str">
        <f>'Прил.5 Расчет СМР и ОБ'!B30</f>
        <v>61.2.02.01-1004</v>
      </c>
      <c r="C13" s="8" t="str">
        <f>'Прил.5 Расчет СМР и ОБ'!C30</f>
        <v>Извещатель пожарный дымовой ДИП-34А (ИП 212-34А) оптико-электронный адресно-аналоговый в комплекте с базой (розеткой)</v>
      </c>
      <c r="D13" s="2" t="str">
        <f>'Прил.5 Расчет СМР и ОБ'!D30</f>
        <v>шт</v>
      </c>
      <c r="E13" s="158">
        <f>'Прил.5 Расчет СМР и ОБ'!E30</f>
        <v>74</v>
      </c>
      <c r="F13" s="153">
        <f>'Прил.5 Расчет СМР и ОБ'!F30</f>
        <v>116.52</v>
      </c>
      <c r="G13" s="26">
        <f t="shared" si="0"/>
        <v>8622.48</v>
      </c>
    </row>
    <row r="14" spans="1:7" s="113" customFormat="1" ht="63.75" customHeight="1" x14ac:dyDescent="0.25">
      <c r="A14" s="2">
        <v>3</v>
      </c>
      <c r="B14" s="8" t="str">
        <f>'Прил.5 Расчет СМР и ОБ'!B31</f>
        <v>61.2.02.02-0001</v>
      </c>
      <c r="C14" s="8" t="str">
        <f>'Прил.5 Расчет СМР и ОБ'!C31</f>
        <v>Извещатель адресный пожарный тепловой интеллектуальный ИП101-24А-A1R максимально-дифференциальный «Leonardo-Т», без базы (прим. марка "С2000-ИП")</v>
      </c>
      <c r="D14" s="2" t="str">
        <f>'Прил.5 Расчет СМР и ОБ'!D31</f>
        <v>10 шт</v>
      </c>
      <c r="E14" s="158">
        <f>'Прил.5 Расчет СМР и ОБ'!E31</f>
        <v>4</v>
      </c>
      <c r="F14" s="153">
        <f>'Прил.5 Расчет СМР и ОБ'!F31</f>
        <v>2188.6</v>
      </c>
      <c r="G14" s="26">
        <f t="shared" si="0"/>
        <v>8754.4</v>
      </c>
    </row>
    <row r="15" spans="1:7" s="113" customFormat="1" ht="15.75" customHeight="1" x14ac:dyDescent="0.25">
      <c r="A15" s="2">
        <v>4</v>
      </c>
      <c r="B15" s="8" t="str">
        <f>'Прил.5 Расчет СМР и ОБ'!B32</f>
        <v>61.2.02.01-0095</v>
      </c>
      <c r="C15" s="8" t="str">
        <f>'Прил.5 Расчет СМР и ОБ'!C32</f>
        <v>Извещатель пожарный дымовой: ИПДЛ</v>
      </c>
      <c r="D15" s="2" t="str">
        <f>'Прил.5 Расчет СМР и ОБ'!D32</f>
        <v>10 шт</v>
      </c>
      <c r="E15" s="158">
        <f>'Прил.5 Расчет СМР и ОБ'!E32</f>
        <v>1.3</v>
      </c>
      <c r="F15" s="153">
        <f>'Прил.5 Расчет СМР и ОБ'!F32</f>
        <v>3463.94</v>
      </c>
      <c r="G15" s="26">
        <f t="shared" si="0"/>
        <v>4503.12</v>
      </c>
    </row>
    <row r="16" spans="1:7" s="113" customFormat="1" ht="38.25" customHeight="1" x14ac:dyDescent="0.25">
      <c r="A16" s="2">
        <v>5</v>
      </c>
      <c r="B16" s="8" t="str">
        <f>'Прил.5 Расчет СМР и ОБ'!B33</f>
        <v>61.2.04.05-0018</v>
      </c>
      <c r="C16" s="8" t="str">
        <f>'Прил.5 Расчет СМР и ОБ'!C33</f>
        <v>Оповещатель охранно-пожарный звуковой, тип СВИРЕЛЬ-2 исп.00 6-15В/600мА</v>
      </c>
      <c r="D16" s="2" t="str">
        <f>'Прил.5 Расчет СМР и ОБ'!D33</f>
        <v>шт</v>
      </c>
      <c r="E16" s="158">
        <f>'Прил.5 Расчет СМР и ОБ'!E33</f>
        <v>21</v>
      </c>
      <c r="F16" s="153">
        <f>'Прил.5 Расчет СМР и ОБ'!F33</f>
        <v>187</v>
      </c>
      <c r="G16" s="26">
        <f t="shared" si="0"/>
        <v>3927</v>
      </c>
    </row>
    <row r="17" spans="1:7" s="113" customFormat="1" ht="15.75" customHeight="1" x14ac:dyDescent="0.25">
      <c r="A17" s="2">
        <v>6</v>
      </c>
      <c r="B17" s="8" t="str">
        <f>'Прил.5 Расчет СМР и ОБ'!B34</f>
        <v>61.2.04.07-0008</v>
      </c>
      <c r="C17" s="8" t="str">
        <f>'Прил.5 Расчет СМР и ОБ'!C34</f>
        <v>Оповещатель световой МОЛНИЯ-12(24)</v>
      </c>
      <c r="D17" s="2" t="str">
        <f>'Прил.5 Расчет СМР и ОБ'!D34</f>
        <v>шт</v>
      </c>
      <c r="E17" s="158">
        <f>'Прил.5 Расчет СМР и ОБ'!E34</f>
        <v>90</v>
      </c>
      <c r="F17" s="153">
        <f>'Прил.5 Расчет СМР и ОБ'!F34</f>
        <v>38.380000000000003</v>
      </c>
      <c r="G17" s="26">
        <f t="shared" si="0"/>
        <v>3454.2</v>
      </c>
    </row>
    <row r="18" spans="1:7" s="113" customFormat="1" ht="25.5" customHeight="1" x14ac:dyDescent="0.25">
      <c r="A18" s="2">
        <v>7</v>
      </c>
      <c r="B18" s="8" t="str">
        <f>'Прил.5 Расчет СМР и ОБ'!B35</f>
        <v>61.2.07.02-0034</v>
      </c>
      <c r="C18" s="8" t="str">
        <f>'Прил.5 Расчет СМР и ОБ'!C35</f>
        <v>Блок контрольно-пусковой, марка "С2000-КПБ"</v>
      </c>
      <c r="D18" s="2" t="str">
        <f>'Прил.5 Расчет СМР и ОБ'!D35</f>
        <v>шт</v>
      </c>
      <c r="E18" s="158">
        <f>'Прил.5 Расчет СМР и ОБ'!E35</f>
        <v>14</v>
      </c>
      <c r="F18" s="153">
        <f>'Прил.5 Расчет СМР и ОБ'!F35</f>
        <v>243.85</v>
      </c>
      <c r="G18" s="26">
        <f t="shared" si="0"/>
        <v>3413.9</v>
      </c>
    </row>
    <row r="19" spans="1:7" s="113" customFormat="1" ht="140.25" customHeight="1" x14ac:dyDescent="0.25">
      <c r="A19" s="2">
        <v>8</v>
      </c>
      <c r="B19" s="8" t="str">
        <f>'Прил.5 Расчет СМР и ОБ'!B36</f>
        <v>61.2.07.02-0042</v>
      </c>
      <c r="C19" s="8" t="str">
        <f>'Прил.5 Расчет СМР и ОБ'!C36</f>
        <v>Блок контроля и индикации для работы в составе интегрированной системе охраны совместно с пультом контроля и управления, ручного управления 60 разделами системы и отображения с помощью встроенных индикаторов и звуковой сигнализации, количество кнопок для управления разделами 60, напряжение питания от 10.2 до 28 В, потребляемый ток, в дежурном режиме 200 мА</v>
      </c>
      <c r="D19" s="2" t="str">
        <f>'Прил.5 Расчет СМР и ОБ'!D36</f>
        <v>шт</v>
      </c>
      <c r="E19" s="158">
        <f>'Прил.5 Расчет СМР и ОБ'!E36</f>
        <v>4</v>
      </c>
      <c r="F19" s="153">
        <f>'Прил.5 Расчет СМР и ОБ'!F36</f>
        <v>726.24</v>
      </c>
      <c r="G19" s="26">
        <f t="shared" si="0"/>
        <v>2904.96</v>
      </c>
    </row>
    <row r="20" spans="1:7" s="113" customFormat="1" ht="25.5" customHeight="1" x14ac:dyDescent="0.25">
      <c r="A20" s="2">
        <v>9</v>
      </c>
      <c r="B20" s="8" t="str">
        <f>'Прил.5 Расчет СМР и ОБ'!B38</f>
        <v>61.2.07.04-0002</v>
      </c>
      <c r="C20" s="8" t="str">
        <f>'Прил.5 Расчет СМР и ОБ'!C38</f>
        <v>Контроллер двухпроводной линии связи, марка "С2000-КДЛ"</v>
      </c>
      <c r="D20" s="2" t="str">
        <f>'Прил.5 Расчет СМР и ОБ'!D38</f>
        <v>шт</v>
      </c>
      <c r="E20" s="158">
        <f>'Прил.5 Расчет СМР и ОБ'!E38</f>
        <v>15</v>
      </c>
      <c r="F20" s="153">
        <f>'Прил.5 Расчет СМР и ОБ'!F38</f>
        <v>175.63</v>
      </c>
      <c r="G20" s="26">
        <f t="shared" si="0"/>
        <v>2634.45</v>
      </c>
    </row>
    <row r="21" spans="1:7" s="113" customFormat="1" ht="25.5" customHeight="1" x14ac:dyDescent="0.25">
      <c r="A21" s="2">
        <v>10</v>
      </c>
      <c r="B21" s="8" t="str">
        <f>'Прил.5 Расчет СМР и ОБ'!B39</f>
        <v>61.2.02.03-0025</v>
      </c>
      <c r="C21" s="8" t="str">
        <f>'Прил.5 Расчет СМР и ОБ'!C39</f>
        <v>Извещатель пожарный ручной: ИПР-513-3 исп. 02</v>
      </c>
      <c r="D21" s="2" t="str">
        <f>'Прил.5 Расчет СМР и ОБ'!D39</f>
        <v>10 шт</v>
      </c>
      <c r="E21" s="158">
        <f>'Прил.5 Расчет СМР и ОБ'!E39</f>
        <v>5.5</v>
      </c>
      <c r="F21" s="153">
        <f>'Прил.5 Расчет СМР и ОБ'!F39</f>
        <v>410.04</v>
      </c>
      <c r="G21" s="26">
        <f t="shared" si="0"/>
        <v>2255.2199999999998</v>
      </c>
    </row>
    <row r="22" spans="1:7" s="113" customFormat="1" ht="51" customHeight="1" x14ac:dyDescent="0.25">
      <c r="A22" s="2">
        <v>11</v>
      </c>
      <c r="B22" s="8" t="str">
        <f>'Прил.5 Расчет СМР и ОБ'!B40</f>
        <v>61.2.07.02-0051</v>
      </c>
      <c r="C22" s="8" t="str">
        <f>'Прил.5 Расчет СМР и ОБ'!C40</f>
        <v>Блоки разветвительно-изолирующие типа БРИЗ, для участка двухпроводной линии с коротким замыканием, размер не более 56х38х20 мм</v>
      </c>
      <c r="D22" s="2" t="str">
        <f>'Прил.5 Расчет СМР и ОБ'!D40</f>
        <v>шт</v>
      </c>
      <c r="E22" s="158">
        <f>'Прил.5 Расчет СМР и ОБ'!E40</f>
        <v>19</v>
      </c>
      <c r="F22" s="153">
        <f>'Прил.5 Расчет СМР и ОБ'!F40</f>
        <v>68.819999999999993</v>
      </c>
      <c r="G22" s="26">
        <f t="shared" si="0"/>
        <v>1307.58</v>
      </c>
    </row>
    <row r="23" spans="1:7" s="113" customFormat="1" ht="25.5" customHeight="1" x14ac:dyDescent="0.25">
      <c r="A23" s="2">
        <v>12</v>
      </c>
      <c r="B23" s="8" t="str">
        <f>'Прил.5 Расчет СМР и ОБ'!B41</f>
        <v>61.2.04.10-0005</v>
      </c>
      <c r="C23" s="8" t="str">
        <f>'Прил.5 Расчет СМР и ОБ'!C41</f>
        <v>Пульт контроля и управления охранно-пожарный, марка "С2000"</v>
      </c>
      <c r="D23" s="2" t="str">
        <f>'Прил.5 Расчет СМР и ОБ'!D41</f>
        <v>шт</v>
      </c>
      <c r="E23" s="158">
        <f>'Прил.5 Расчет СМР и ОБ'!E41</f>
        <v>2</v>
      </c>
      <c r="F23" s="153">
        <f>'Прил.5 Расчет СМР и ОБ'!F41</f>
        <v>367.7</v>
      </c>
      <c r="G23" s="26">
        <f t="shared" si="0"/>
        <v>735.4</v>
      </c>
    </row>
    <row r="24" spans="1:7" s="113" customFormat="1" ht="38.25" customHeight="1" x14ac:dyDescent="0.25">
      <c r="A24" s="2">
        <v>13</v>
      </c>
      <c r="B24" s="8" t="str">
        <f>'Прил.5 Расчет СМР и ОБ'!B42</f>
        <v>61.2.07.06-0005</v>
      </c>
      <c r="C24" s="8" t="str">
        <f>'Прил.5 Расчет СМР и ОБ'!C42</f>
        <v>Расширитель адресный ("адресная метка"), марка "С2000-АР2" (прим. "С2000-АР8")</v>
      </c>
      <c r="D24" s="2" t="str">
        <f>'Прил.5 Расчет СМР и ОБ'!D42</f>
        <v>100 шт</v>
      </c>
      <c r="E24" s="158">
        <f>'Прил.5 Расчет СМР и ОБ'!E42</f>
        <v>0.1</v>
      </c>
      <c r="F24" s="153">
        <f>'Прил.5 Расчет СМР и ОБ'!F42</f>
        <v>5459</v>
      </c>
      <c r="G24" s="26">
        <f t="shared" si="0"/>
        <v>545.9</v>
      </c>
    </row>
    <row r="25" spans="1:7" ht="25.5" customHeight="1" x14ac:dyDescent="0.25">
      <c r="A25" s="2"/>
      <c r="B25" s="8"/>
      <c r="C25" s="8" t="s">
        <v>281</v>
      </c>
      <c r="D25" s="8"/>
      <c r="E25" s="40"/>
      <c r="F25" s="153"/>
      <c r="G25" s="26">
        <f>SUM(G12:G24)</f>
        <v>56321.01</v>
      </c>
    </row>
    <row r="26" spans="1:7" ht="19.5" customHeight="1" x14ac:dyDescent="0.25">
      <c r="A26" s="2"/>
      <c r="B26" s="8"/>
      <c r="C26" s="8" t="s">
        <v>282</v>
      </c>
      <c r="D26" s="8"/>
      <c r="E26" s="40"/>
      <c r="F26" s="153"/>
      <c r="G26" s="26">
        <f>G10+G25</f>
        <v>56321.01</v>
      </c>
    </row>
    <row r="27" spans="1:7" x14ac:dyDescent="0.25">
      <c r="A27" s="24"/>
      <c r="B27" s="168"/>
      <c r="C27" s="24"/>
      <c r="D27" s="24"/>
      <c r="E27" s="24"/>
      <c r="F27" s="24"/>
      <c r="G27" s="24"/>
    </row>
    <row r="28" spans="1:7" x14ac:dyDescent="0.25">
      <c r="A28" s="4" t="s">
        <v>274</v>
      </c>
      <c r="B28" s="12"/>
      <c r="C28" s="12"/>
      <c r="D28" s="24"/>
      <c r="E28" s="24"/>
      <c r="F28" s="24"/>
      <c r="G28" s="24"/>
    </row>
    <row r="29" spans="1:7" x14ac:dyDescent="0.25">
      <c r="A29" s="166" t="s">
        <v>76</v>
      </c>
      <c r="B29" s="12"/>
      <c r="C29" s="12"/>
      <c r="D29" s="24"/>
      <c r="E29" s="24"/>
      <c r="F29" s="24"/>
      <c r="G29" s="24"/>
    </row>
    <row r="30" spans="1:7" x14ac:dyDescent="0.25">
      <c r="A30" s="4"/>
      <c r="B30" s="12"/>
      <c r="C30" s="12"/>
      <c r="D30" s="24"/>
      <c r="E30" s="24"/>
      <c r="F30" s="24"/>
      <c r="G30" s="24"/>
    </row>
    <row r="31" spans="1:7" x14ac:dyDescent="0.25">
      <c r="A31" s="4" t="s">
        <v>275</v>
      </c>
      <c r="B31" s="12"/>
      <c r="C31" s="12"/>
      <c r="D31" s="24"/>
      <c r="E31" s="24"/>
      <c r="F31" s="24"/>
      <c r="G31" s="24"/>
    </row>
    <row r="32" spans="1:7" x14ac:dyDescent="0.25">
      <c r="A32" s="166" t="s">
        <v>78</v>
      </c>
      <c r="B32" s="12"/>
      <c r="C32" s="12"/>
      <c r="D32" s="24"/>
      <c r="E32" s="24"/>
      <c r="F32" s="24"/>
      <c r="G32" s="24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</vt:lpstr>
      <vt:lpstr>Прил. 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'Прил.1 Сравнит табл'!Область_печати</vt:lpstr>
      <vt:lpstr>'Прил.2 Расч стоим'!Область_печати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User4</cp:lastModifiedBy>
  <dcterms:created xsi:type="dcterms:W3CDTF">2020-09-30T08:50:27Z</dcterms:created>
  <dcterms:modified xsi:type="dcterms:W3CDTF">2025-01-29T14:40:14Z</dcterms:modified>
  <cp:category/>
</cp:coreProperties>
</file>