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lya\Desktop\З1\35 кВ\"/>
    </mc:Choice>
  </mc:AlternateContent>
  <bookViews>
    <workbookView xWindow="-120" yWindow="-120" windowWidth="29040" windowHeight="15840" tabRatio="924" firstSheet="3" activeTab="4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3'!$A$1:$H$62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ОБ'!$A$1:$J$77</definedName>
    <definedName name="_xlnm.Print_Area" localSheetId="8">'Прил.6 Расчет ОБ'!$A$1:$G$32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5" l="1"/>
  <c r="G17" i="8" l="1"/>
  <c r="G14" i="8"/>
  <c r="Q23" i="15" l="1"/>
  <c r="H22" i="15"/>
  <c r="G22" i="15"/>
  <c r="F22" i="15" s="1"/>
  <c r="M21" i="15"/>
  <c r="L21" i="15"/>
  <c r="K21" i="15"/>
  <c r="J21" i="15"/>
  <c r="I21" i="15"/>
  <c r="H21" i="15"/>
  <c r="N21" i="15" s="1"/>
  <c r="G21" i="15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L11" i="15"/>
  <c r="K11" i="15"/>
  <c r="I11" i="15"/>
  <c r="H11" i="15"/>
  <c r="G11" i="15"/>
  <c r="P11" i="15" s="1"/>
  <c r="M10" i="15"/>
  <c r="K10" i="15"/>
  <c r="K9" i="15" s="1"/>
  <c r="I10" i="15"/>
  <c r="I9" i="15" s="1"/>
  <c r="H10" i="15"/>
  <c r="H9" i="15" s="1"/>
  <c r="G10" i="15"/>
  <c r="F10" i="15" s="1"/>
  <c r="M9" i="15"/>
  <c r="G9" i="15"/>
  <c r="O9" i="15" s="1"/>
  <c r="N15" i="14"/>
  <c r="O15" i="14" s="1"/>
  <c r="M15" i="14"/>
  <c r="L15" i="14"/>
  <c r="K15" i="14"/>
  <c r="J15" i="14" s="1"/>
  <c r="D15" i="14"/>
  <c r="M14" i="14"/>
  <c r="L14" i="14"/>
  <c r="K14" i="14"/>
  <c r="H14" i="14"/>
  <c r="N14" i="14" s="1"/>
  <c r="O14" i="14" s="1"/>
  <c r="D14" i="14"/>
  <c r="N13" i="14"/>
  <c r="M13" i="14"/>
  <c r="L13" i="14"/>
  <c r="K13" i="14"/>
  <c r="J13" i="14" s="1"/>
  <c r="D13" i="14"/>
  <c r="O12" i="14"/>
  <c r="J12" i="14"/>
  <c r="D12" i="14"/>
  <c r="N11" i="14"/>
  <c r="O11" i="14" s="1"/>
  <c r="M11" i="14"/>
  <c r="L11" i="14"/>
  <c r="K11" i="14"/>
  <c r="J11" i="14"/>
  <c r="D11" i="14"/>
  <c r="N10" i="14"/>
  <c r="M10" i="14"/>
  <c r="I10" i="14"/>
  <c r="H10" i="14"/>
  <c r="F10" i="14"/>
  <c r="L10" i="14" s="1"/>
  <c r="E10" i="14"/>
  <c r="D10" i="14" s="1"/>
  <c r="M9" i="14"/>
  <c r="H9" i="14"/>
  <c r="N9" i="14" s="1"/>
  <c r="F9" i="14"/>
  <c r="D9" i="14" s="1"/>
  <c r="E9" i="14"/>
  <c r="K9" i="14" s="1"/>
  <c r="G8" i="13"/>
  <c r="G19" i="13" s="1"/>
  <c r="G20" i="13" s="1"/>
  <c r="F8" i="13"/>
  <c r="F9" i="13" s="1"/>
  <c r="E8" i="13"/>
  <c r="E9" i="13" s="1"/>
  <c r="A3" i="13"/>
  <c r="E13" i="12"/>
  <c r="E8" i="12"/>
  <c r="D5" i="10"/>
  <c r="C11" i="10" s="1"/>
  <c r="F24" i="9"/>
  <c r="G24" i="9" s="1"/>
  <c r="E24" i="9"/>
  <c r="D24" i="9"/>
  <c r="C24" i="9"/>
  <c r="B24" i="9"/>
  <c r="F23" i="9"/>
  <c r="E23" i="9"/>
  <c r="D23" i="9"/>
  <c r="C23" i="9"/>
  <c r="B23" i="9"/>
  <c r="F22" i="9"/>
  <c r="E22" i="9"/>
  <c r="D22" i="9"/>
  <c r="C22" i="9"/>
  <c r="B22" i="9"/>
  <c r="F21" i="9"/>
  <c r="E21" i="9"/>
  <c r="G21" i="9" s="1"/>
  <c r="D21" i="9"/>
  <c r="C21" i="9"/>
  <c r="B21" i="9"/>
  <c r="F20" i="9"/>
  <c r="E20" i="9"/>
  <c r="G20" i="9" s="1"/>
  <c r="D20" i="9"/>
  <c r="C20" i="9"/>
  <c r="B20" i="9"/>
  <c r="F19" i="9"/>
  <c r="E19" i="9"/>
  <c r="G19" i="9" s="1"/>
  <c r="D19" i="9"/>
  <c r="C19" i="9"/>
  <c r="B19" i="9"/>
  <c r="F18" i="9"/>
  <c r="E18" i="9"/>
  <c r="D18" i="9"/>
  <c r="C18" i="9"/>
  <c r="B18" i="9"/>
  <c r="F17" i="9"/>
  <c r="E17" i="9"/>
  <c r="G17" i="9" s="1"/>
  <c r="D17" i="9"/>
  <c r="C17" i="9"/>
  <c r="B17" i="9"/>
  <c r="F16" i="9"/>
  <c r="E16" i="9"/>
  <c r="G16" i="9" s="1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B13" i="9"/>
  <c r="F12" i="9"/>
  <c r="E12" i="9"/>
  <c r="D12" i="9"/>
  <c r="C12" i="9"/>
  <c r="B12" i="9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J59" i="8"/>
  <c r="I59" i="8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J50" i="8"/>
  <c r="I50" i="8"/>
  <c r="G50" i="8"/>
  <c r="I49" i="8"/>
  <c r="J49" i="8" s="1"/>
  <c r="G49" i="8"/>
  <c r="J48" i="8"/>
  <c r="I48" i="8"/>
  <c r="G48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6" i="8"/>
  <c r="J36" i="8" s="1"/>
  <c r="G36" i="8"/>
  <c r="I35" i="8"/>
  <c r="J35" i="8" s="1"/>
  <c r="G35" i="8"/>
  <c r="I34" i="8"/>
  <c r="J34" i="8" s="1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J29" i="8"/>
  <c r="I29" i="8"/>
  <c r="G29" i="8"/>
  <c r="I24" i="8"/>
  <c r="J24" i="8" s="1"/>
  <c r="J25" i="8" s="1"/>
  <c r="C13" i="7" s="1"/>
  <c r="G24" i="8"/>
  <c r="G25" i="8" s="1"/>
  <c r="I22" i="8"/>
  <c r="J22" i="8" s="1"/>
  <c r="G22" i="8"/>
  <c r="I21" i="8"/>
  <c r="J21" i="8" s="1"/>
  <c r="G21" i="8"/>
  <c r="I20" i="8"/>
  <c r="J20" i="8" s="1"/>
  <c r="G20" i="8"/>
  <c r="I14" i="8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5" i="6"/>
  <c r="H24" i="6"/>
  <c r="H23" i="6"/>
  <c r="H22" i="6"/>
  <c r="H19" i="6"/>
  <c r="F19" i="6"/>
  <c r="H18" i="6"/>
  <c r="H17" i="6"/>
  <c r="H16" i="6"/>
  <c r="H15" i="6"/>
  <c r="H14" i="6"/>
  <c r="H13" i="6"/>
  <c r="H12" i="6"/>
  <c r="H11" i="6"/>
  <c r="F10" i="6"/>
  <c r="D18" i="4"/>
  <c r="H14" i="5"/>
  <c r="D19" i="4" s="1"/>
  <c r="F9" i="3"/>
  <c r="G4" i="3" s="1"/>
  <c r="G6" i="3" s="1"/>
  <c r="D6" i="3" s="1"/>
  <c r="C13" i="2"/>
  <c r="C12" i="2"/>
  <c r="D18" i="2" s="1"/>
  <c r="C11" i="2"/>
  <c r="C18" i="2" s="1"/>
  <c r="C9" i="2"/>
  <c r="B18" i="2" s="1"/>
  <c r="C4" i="2"/>
  <c r="B4" i="2"/>
  <c r="A18" i="2" s="1"/>
  <c r="C10" i="1"/>
  <c r="D17" i="4" l="1"/>
  <c r="G15" i="9"/>
  <c r="P9" i="15"/>
  <c r="G12" i="9"/>
  <c r="O13" i="15"/>
  <c r="F9" i="15"/>
  <c r="O13" i="14"/>
  <c r="P10" i="15"/>
  <c r="G13" i="9"/>
  <c r="J14" i="14"/>
  <c r="N10" i="15"/>
  <c r="P13" i="15"/>
  <c r="R13" i="15" s="1"/>
  <c r="N17" i="15"/>
  <c r="R17" i="15" s="1"/>
  <c r="O17" i="15"/>
  <c r="H16" i="13"/>
  <c r="I16" i="13" s="1"/>
  <c r="P17" i="15"/>
  <c r="P23" i="15" s="1"/>
  <c r="O21" i="15"/>
  <c r="G23" i="9"/>
  <c r="P21" i="15"/>
  <c r="N11" i="15"/>
  <c r="O11" i="15"/>
  <c r="O23" i="15" s="1"/>
  <c r="N22" i="15"/>
  <c r="J43" i="8"/>
  <c r="L9" i="14"/>
  <c r="J9" i="14" s="1"/>
  <c r="R19" i="15"/>
  <c r="O22" i="15"/>
  <c r="H21" i="6"/>
  <c r="H40" i="6"/>
  <c r="H26" i="6"/>
  <c r="H10" i="6"/>
  <c r="G15" i="8" s="1"/>
  <c r="H14" i="8" s="1"/>
  <c r="G14" i="9"/>
  <c r="J51" i="8"/>
  <c r="G22" i="9"/>
  <c r="G18" i="9"/>
  <c r="G23" i="8"/>
  <c r="J23" i="8"/>
  <c r="C12" i="7" s="1"/>
  <c r="C14" i="7" s="1"/>
  <c r="J14" i="5"/>
  <c r="C16" i="7"/>
  <c r="R11" i="15"/>
  <c r="O10" i="14"/>
  <c r="N9" i="15"/>
  <c r="R21" i="15"/>
  <c r="E15" i="8"/>
  <c r="J64" i="8"/>
  <c r="C17" i="7" s="1"/>
  <c r="I9" i="13"/>
  <c r="E11" i="13"/>
  <c r="I11" i="13" s="1"/>
  <c r="H17" i="13"/>
  <c r="I17" i="13" s="1"/>
  <c r="J14" i="8"/>
  <c r="J15" i="8" s="1"/>
  <c r="J37" i="8"/>
  <c r="G7" i="3"/>
  <c r="D7" i="3" s="1"/>
  <c r="G26" i="8"/>
  <c r="H22" i="8" s="1"/>
  <c r="G64" i="8"/>
  <c r="F21" i="15"/>
  <c r="J26" i="8"/>
  <c r="G43" i="8"/>
  <c r="H12" i="13"/>
  <c r="P22" i="15"/>
  <c r="G37" i="8"/>
  <c r="I8" i="13"/>
  <c r="E19" i="13"/>
  <c r="E20" i="13" s="1"/>
  <c r="O10" i="15"/>
  <c r="K10" i="14"/>
  <c r="J10" i="14" s="1"/>
  <c r="F13" i="15"/>
  <c r="G5" i="3"/>
  <c r="J13" i="5"/>
  <c r="G51" i="8"/>
  <c r="F11" i="15"/>
  <c r="G8" i="3"/>
  <c r="D8" i="3" s="1"/>
  <c r="D23" i="4" l="1"/>
  <c r="D24" i="4"/>
  <c r="O9" i="14"/>
  <c r="O16" i="14" s="1"/>
  <c r="J44" i="8"/>
  <c r="C25" i="7" s="1"/>
  <c r="G25" i="9"/>
  <c r="G26" i="9" s="1"/>
  <c r="I12" i="13"/>
  <c r="J14" i="13" s="1"/>
  <c r="D14" i="13" s="1"/>
  <c r="H14" i="13" s="1"/>
  <c r="G65" i="8"/>
  <c r="G66" i="8" s="1"/>
  <c r="J65" i="8"/>
  <c r="H24" i="8"/>
  <c r="H21" i="8"/>
  <c r="G9" i="3"/>
  <c r="D5" i="3"/>
  <c r="H20" i="8"/>
  <c r="R9" i="15"/>
  <c r="N23" i="15"/>
  <c r="R23" i="15" s="1"/>
  <c r="G45" i="8"/>
  <c r="J45" i="8" s="1"/>
  <c r="C26" i="7" s="1"/>
  <c r="C18" i="7"/>
  <c r="H25" i="8"/>
  <c r="H23" i="8"/>
  <c r="G44" i="8"/>
  <c r="H37" i="8" s="1"/>
  <c r="C11" i="7"/>
  <c r="I14" i="13" l="1"/>
  <c r="I19" i="13" s="1"/>
  <c r="H19" i="13"/>
  <c r="H20" i="13" s="1"/>
  <c r="C19" i="7"/>
  <c r="H51" i="8"/>
  <c r="J66" i="8"/>
  <c r="H43" i="8"/>
  <c r="H44" i="8" s="1"/>
  <c r="H64" i="8"/>
  <c r="G69" i="8"/>
  <c r="G70" i="8" s="1"/>
  <c r="G71" i="8" s="1"/>
  <c r="H63" i="8"/>
  <c r="H61" i="8"/>
  <c r="H59" i="8"/>
  <c r="H57" i="8"/>
  <c r="H55" i="8"/>
  <c r="H53" i="8"/>
  <c r="H65" i="8"/>
  <c r="H50" i="8"/>
  <c r="H48" i="8"/>
  <c r="H54" i="8"/>
  <c r="H49" i="8"/>
  <c r="H62" i="8"/>
  <c r="H60" i="8"/>
  <c r="H56" i="8"/>
  <c r="H58" i="8"/>
  <c r="H52" i="8"/>
  <c r="H30" i="8"/>
  <c r="H41" i="8"/>
  <c r="H39" i="8"/>
  <c r="H34" i="8"/>
  <c r="H36" i="8"/>
  <c r="H32" i="8"/>
  <c r="H40" i="8"/>
  <c r="H31" i="8"/>
  <c r="H42" i="8"/>
  <c r="H38" i="8"/>
  <c r="H33" i="8"/>
  <c r="H35" i="8"/>
  <c r="H29" i="8"/>
  <c r="I20" i="13" l="1"/>
  <c r="I21" i="13" s="1"/>
  <c r="D68" i="8"/>
  <c r="D67" i="8"/>
  <c r="I17" i="8"/>
  <c r="J17" i="8" s="1"/>
  <c r="C15" i="7" s="1"/>
  <c r="J67" i="8" l="1"/>
  <c r="J68" i="8"/>
  <c r="C20" i="7"/>
  <c r="C22" i="7"/>
  <c r="J69" i="8" l="1"/>
  <c r="J70" i="8" s="1"/>
  <c r="J71" i="8" s="1"/>
  <c r="C24" i="7"/>
  <c r="D12" i="7" l="1"/>
  <c r="D16" i="7"/>
  <c r="C29" i="7"/>
  <c r="C30" i="7" s="1"/>
  <c r="D24" i="7"/>
  <c r="D18" i="7"/>
  <c r="D11" i="7"/>
  <c r="D17" i="7"/>
  <c r="D13" i="7"/>
  <c r="D14" i="7"/>
  <c r="C27" i="7"/>
  <c r="D15" i="7"/>
  <c r="D20" i="7"/>
  <c r="D22" i="7"/>
  <c r="C32" i="7" l="1"/>
  <c r="C34" i="7"/>
  <c r="C33" i="7"/>
  <c r="C37" i="7" l="1"/>
  <c r="C36" i="7"/>
  <c r="C38" i="7" l="1"/>
  <c r="C39" i="7" l="1"/>
  <c r="C40" i="7" l="1"/>
  <c r="E39" i="7"/>
  <c r="E13" i="7" l="1"/>
  <c r="E25" i="7"/>
  <c r="E31" i="7"/>
  <c r="E35" i="7"/>
  <c r="E40" i="7"/>
  <c r="E16" i="7"/>
  <c r="E26" i="7"/>
  <c r="E14" i="7"/>
  <c r="C41" i="7"/>
  <c r="D11" i="10" s="1"/>
  <c r="E12" i="7"/>
  <c r="E17" i="7"/>
  <c r="E11" i="7"/>
  <c r="E18" i="7"/>
  <c r="E15" i="7"/>
  <c r="E20" i="7"/>
  <c r="E22" i="7"/>
  <c r="E24" i="7"/>
  <c r="E30" i="7"/>
  <c r="E29" i="7"/>
  <c r="E27" i="7"/>
  <c r="E34" i="7"/>
  <c r="E33" i="7"/>
  <c r="E32" i="7"/>
  <c r="E37" i="7"/>
  <c r="E36" i="7"/>
  <c r="E38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<sst xmlns="http://schemas.openxmlformats.org/spreadsheetml/2006/main" count="749" uniqueCount="444">
  <si>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</si>
  <si>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</si>
  <si>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</si>
  <si>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</si>
  <si>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</si>
  <si>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</si>
  <si>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</si>
  <si>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</si>
  <si>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</si>
  <si>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</si>
  <si>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</si>
  <si>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</si>
  <si>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</si>
  <si>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</si>
  <si>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</si>
  <si>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</si>
  <si>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</si>
  <si>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</si>
  <si>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</si>
  <si>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</si>
  <si>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</si>
  <si>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</si>
  <si>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</si>
  <si>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</si>
  <si>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</si>
  <si>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</si>
  <si>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</si>
  <si>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</si>
  <si>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</si>
  <si>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</si>
  <si>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</si>
  <si>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</si>
  <si>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</si>
  <si>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</si>
  <si>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</si>
  <si>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</si>
  <si>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</si>
  <si>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</si>
  <si>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</si>
  <si>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</si>
  <si>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</si>
  <si>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</si>
  <si>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</si>
  <si>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</si>
  <si>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</si>
  <si>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</si>
  <si>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</si>
  <si>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</si>
  <si>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</si>
  <si>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</si>
  <si>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</si>
  <si>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</si>
  <si>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</si>
  <si>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</si>
  <si>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</si>
  <si>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</si>
  <si>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</si>
  <si>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</si>
  <si>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</si>
  <si>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</si>
  <si>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</si>
  <si>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</si>
  <si>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</si>
  <si>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</si>
  <si>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</si>
  <si>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</si>
  <si>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</si>
  <si>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</si>
  <si>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</si>
  <si>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</si>
  <si>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</si>
  <si>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</si>
  <si>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</si>
  <si>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</si>
  <si>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</si>
  <si>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</si>
  <si>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</si>
  <si>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</si>
  <si>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</si>
  <si>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</si>
  <si>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</si>
  <si>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</si>
  <si>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</si>
  <si>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</si>
  <si>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</si>
  <si>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</si>
  <si>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</si>
  <si>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</si>
  <si>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</si>
  <si>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</si>
  <si>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</si>
  <si>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</si>
  <si>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</si>
  <si>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</si>
  <si>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</si>
  <si>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</si>
  <si>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</si>
  <si>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</si>
  <si>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</si>
  <si>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</si>
  <si>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</si>
  <si>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</si>
  <si>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</si>
  <si>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</si>
  <si>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</si>
  <si>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</si>
  <si>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</si>
  <si>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1-4-6</t>
  </si>
  <si>
    <t>Затраты труда рабочих (ср 4,6)</t>
  </si>
  <si>
    <t>1-4-4</t>
  </si>
  <si>
    <t>Затраты труда рабочих (ср 4,4)</t>
  </si>
  <si>
    <t>1-4-5</t>
  </si>
  <si>
    <t>Затраты труда рабочих (ср 4,5)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</si>
  <si>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</si>
  <si>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</si>
  <si>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</si>
  <si>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</si>
  <si>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</si>
  <si>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</si>
  <si>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</si>
  <si>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</si>
  <si>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</si>
  <si>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</si>
  <si>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</si>
  <si>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62.4.02.02-0041</t>
  </si>
  <si>
    <t>Источник резервного питания, марка: "РИП 12" исп. 06</t>
  </si>
  <si>
    <t>шт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</si>
  <si>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</si>
  <si>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</si>
  <si>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61.2.02.02-0001</t>
  </si>
  <si>
    <t>Извещатель адресный пожарный тепловой интеллектуальный ИП101-24А-A1R максимально-дифференциальный «Leonardo-Т», без базы (прим. марка "С2000-ИП")</t>
  </si>
  <si>
    <t>10 шт</t>
  </si>
  <si>
    <t>61.2.02.01-0095</t>
  </si>
  <si>
    <t>Извещатель пожарный дымовой: ИПДЛ</t>
  </si>
  <si>
    <t>61.2.04.05-0018</t>
  </si>
  <si>
    <t>Оповещатель охранно-пожарный звуковой, тип СВИРЕЛЬ-2 исп.00 6-15В/600мА</t>
  </si>
  <si>
    <t>61.2.04.07-0008</t>
  </si>
  <si>
    <t>Оповещатель световой МОЛНИЯ-12(24)</t>
  </si>
  <si>
    <t>61.2.07.02-0034</t>
  </si>
  <si>
    <t>Блок контрольно-пусковой, марка "С2000-КПБ"</t>
  </si>
  <si>
    <t>61.2.07.02-0042</t>
  </si>
  <si>
    <t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t>
  </si>
  <si>
    <t>61.2.07.04-0002</t>
  </si>
  <si>
    <t>Контроллер двухпроводной линии связи, марка "С2000-КДЛ"</t>
  </si>
  <si>
    <t>61.2.02.03-0025</t>
  </si>
  <si>
    <t>Извещатель пожарный ручной: ИПР-513-3 исп. 02</t>
  </si>
  <si>
    <t>61.2.07.02-0051</t>
  </si>
  <si>
    <t>Блоки разветвительно-изолирующие типа БРИЗ, для участка двухпроводной линии с коротким замыканием, размер не более 56х38х20 мм</t>
  </si>
  <si>
    <t>61.2.04.10-0005</t>
  </si>
  <si>
    <t>Пульт контроля и управления охранно-пожарный, марка "С2000"</t>
  </si>
  <si>
    <t>61.2.07.06-0005</t>
  </si>
  <si>
    <t>Расширитель адресный ("адресная метка"), марка "С2000-АР2" (прим. "С2000-АР8")</t>
  </si>
  <si>
    <t>100 шт</t>
  </si>
  <si>
    <t>Материалы</t>
  </si>
  <si>
    <t>21.1.08.01-0315</t>
  </si>
  <si>
    <t>Кабель пожарной сигнализации КПСЭнг(A)-FRLS 2х2х1</t>
  </si>
  <si>
    <t>1000 м</t>
  </si>
  <si>
    <t>01.7.15.07-0012</t>
  </si>
  <si>
    <t>Дюбели пластмассовые с шурупами, размер 12х70 мм</t>
  </si>
  <si>
    <t>10.3.02.03-0012</t>
  </si>
  <si>
    <t>Припои оловянно-свинцовые бессурьмянистые, марка ПОС40</t>
  </si>
  <si>
    <t>т</t>
  </si>
  <si>
    <t>10.3.02.03-0011</t>
  </si>
  <si>
    <t>Припои оловянно-свинцовые бессурьмянистые, марка ПОС30</t>
  </si>
  <si>
    <t>21.1.08.01-0313</t>
  </si>
  <si>
    <t>Кабель пожарной сигнализации КПСЭнг(A)-FRLS 1х2х1,5</t>
  </si>
  <si>
    <t>999-9950</t>
  </si>
  <si>
    <t>Вспомогательные ненормируемые ресурсы (2% от Оплаты труда рабочих)</t>
  </si>
  <si>
    <t>руб</t>
  </si>
  <si>
    <t>21.2.03.09-0105</t>
  </si>
  <si>
    <t>Провод силовой ПРТО 1х1,5-660</t>
  </si>
  <si>
    <t>22.2.02.23-0011</t>
  </si>
  <si>
    <t>Глухари</t>
  </si>
  <si>
    <t>01.7.06.05-0042</t>
  </si>
  <si>
    <t>Лента липкая изоляционная на поликасиновом компаунде, ширина 20-30 мм, толщина от 0,14 до 0,19 мм</t>
  </si>
  <si>
    <t>кг</t>
  </si>
  <si>
    <t>01.7.15.03-0042</t>
  </si>
  <si>
    <t>Болты с гайками и шайбами строительные</t>
  </si>
  <si>
    <t>01.3.05.17-0002</t>
  </si>
  <si>
    <t>Канифоль сосновая</t>
  </si>
  <si>
    <t>01.7.06.07-0002</t>
  </si>
  <si>
    <t>Лента монтажная, тип ЛМ-5</t>
  </si>
  <si>
    <t>10 м</t>
  </si>
  <si>
    <t>14.4.03.03-0002</t>
  </si>
  <si>
    <t>Лак битумный БТ-123</t>
  </si>
  <si>
    <t>03.1.01.01-0002</t>
  </si>
  <si>
    <t>Гипс строительный Г-3</t>
  </si>
  <si>
    <t>14.1.04.02-0002</t>
  </si>
  <si>
    <t>Клей 88-СА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</si>
  <si>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</si>
  <si>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</si>
  <si>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</si>
  <si>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</si>
  <si>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</si>
  <si>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</si>
  <si>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</si>
  <si>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</si>
  <si>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</si>
  <si>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</si>
  <si>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</si>
  <si>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</si>
  <si>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</si>
  <si>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</si>
  <si>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</si>
  <si>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</si>
  <si>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</si>
  <si>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</si>
  <si>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</si>
  <si>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</si>
  <si>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</si>
  <si>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</si>
  <si>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</si>
  <si>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</si>
  <si>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</si>
  <si>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</si>
  <si>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</si>
  <si>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</si>
  <si>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</si>
  <si>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</si>
  <si>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</si>
  <si>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</si>
  <si>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</si>
  <si>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</si>
  <si>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</si>
  <si>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</si>
  <si>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</si>
  <si>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</si>
  <si>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</si>
  <si>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</si>
  <si>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</si>
  <si>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</si>
  <si>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</si>
  <si>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</si>
  <si>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</si>
  <si>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</si>
  <si>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</si>
  <si>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</si>
  <si>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</si>
  <si>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</si>
  <si>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</si>
  <si>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</si>
  <si>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</si>
  <si>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</si>
  <si>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</si>
  <si>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</si>
  <si>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</si>
  <si>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</si>
  <si>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</si>
  <si>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</si>
  <si>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</si>
  <si>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</si>
  <si>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</si>
  <si>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</si>
  <si>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</si>
  <si>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</si>
  <si>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</si>
  <si>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</si>
  <si>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</si>
  <si>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</si>
  <si>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</si>
  <si>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</si>
  <si>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</si>
  <si>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</si>
  <si>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</si>
  <si>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</si>
  <si>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</si>
  <si>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</si>
  <si>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</si>
  <si>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</si>
  <si>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</si>
  <si>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</si>
  <si>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</si>
  <si>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</si>
  <si>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УНЦ комплекса систем безопасности ПС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</si>
  <si>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</si>
  <si>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</si>
  <si>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</si>
  <si>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</si>
  <si>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</si>
  <si>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</si>
  <si>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</si>
  <si>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</si>
  <si>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</si>
  <si>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</si>
  <si>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</si>
  <si>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</si>
  <si>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</si>
  <si>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</si>
  <si>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</si>
  <si>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</si>
  <si>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</si>
  <si>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</si>
  <si>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</si>
  <si>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</si>
  <si>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</si>
  <si>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</si>
  <si>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</si>
  <si>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</si>
  <si>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</si>
  <si>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</si>
  <si>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</si>
  <si>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</si>
  <si>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</si>
  <si>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</si>
  <si>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</si>
  <si>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</si>
  <si>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</si>
  <si>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</si>
  <si>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</si>
  <si>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</si>
  <si>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</si>
  <si>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</si>
  <si>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</si>
  <si>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</si>
  <si>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</si>
  <si>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</si>
  <si>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</si>
  <si>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</si>
  <si>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</si>
  <si>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</si>
  <si>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</si>
  <si>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</si>
  <si>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</si>
  <si>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</si>
  <si>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</si>
  <si>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</si>
  <si>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</si>
  <si>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</si>
  <si>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</si>
  <si>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</si>
  <si>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</si>
  <si>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</si>
  <si>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</si>
  <si>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</si>
  <si>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</si>
  <si>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</si>
  <si>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</si>
  <si>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</si>
  <si>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</si>
  <si>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</si>
  <si>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</si>
  <si>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</si>
  <si>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</si>
  <si>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</si>
  <si>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</si>
  <si>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</si>
  <si>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</si>
  <si>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</si>
  <si>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</si>
  <si>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</si>
  <si>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</si>
  <si>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</si>
  <si>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</si>
  <si>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</si>
  <si>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</si>
  <si>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</si>
  <si>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</si>
  <si>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</si>
  <si>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</si>
  <si>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</si>
  <si>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</si>
  <si>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</si>
  <si>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</si>
  <si>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</si>
  <si>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</si>
  <si>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</si>
  <si>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</si>
  <si>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</si>
  <si>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</si>
  <si>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</si>
  <si>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</si>
  <si>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</si>
  <si>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</si>
  <si>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</si>
  <si>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</si>
  <si>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</si>
  <si>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</si>
  <si>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</si>
  <si>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</si>
  <si>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</si>
  <si>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</si>
  <si>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</si>
  <si>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</si>
  <si>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</si>
  <si>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</si>
  <si>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</si>
  <si>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</si>
  <si>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</si>
  <si>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</si>
  <si>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</si>
  <si>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</si>
  <si>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</si>
  <si>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</si>
  <si>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</si>
  <si>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</si>
  <si>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</si>
  <si>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</si>
  <si>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</si>
  <si>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</si>
  <si>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</si>
  <si>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</si>
  <si>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</si>
  <si>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</si>
  <si>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</si>
  <si>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</si>
  <si>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</si>
  <si>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</si>
  <si>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</si>
  <si>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</si>
  <si>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</si>
  <si>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</si>
  <si>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</si>
  <si>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</si>
  <si>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</si>
  <si>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</si>
  <si>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</si>
  <si>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</si>
  <si>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</si>
  <si>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</si>
  <si>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</si>
  <si>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</si>
  <si>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</si>
  <si>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</si>
  <si>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</si>
  <si>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</si>
  <si>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</si>
  <si>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</si>
  <si>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ПС</t>
  </si>
  <si>
    <t>ПС 35 кВ Свеза Новатор</t>
  </si>
  <si>
    <t xml:space="preserve">Вологодская область </t>
  </si>
  <si>
    <t xml:space="preserve">Наименование разрабатываемого показателя УНЦ — Постоянная часть ПС система пожарной и охранной сигнализации ПС 35 кВ </t>
  </si>
  <si>
    <t>Единица измерения  — 1 ПС</t>
  </si>
  <si>
    <t xml:space="preserve">Наименование разрабатываемого показателя УНЦ —  Постоянная часть ПС система пожарной и охранной сигнализации ПС 35 кВ </t>
  </si>
  <si>
    <t xml:space="preserve">Наименование разрабатываемого показателя УНЦ - Постоянная часть ПС система пожарной и охранной сигнализации ПС 35 кВ </t>
  </si>
  <si>
    <t>Единица измерения  —  1 ПС</t>
  </si>
  <si>
    <t xml:space="preserve">Постоянная часть ПС система пожарной и охранной сигнализации ПС 35 кВ </t>
  </si>
  <si>
    <t xml:space="preserve">З1 ПС система пожарной и охранной сигнализации ПС 35 кВ </t>
  </si>
  <si>
    <t>Составил ______________________      Д.Ю. Нефедова</t>
  </si>
  <si>
    <t xml:space="preserve">Пожарная и охранная сигнализация - 1220 м2
</t>
  </si>
  <si>
    <t>Всего по объекту в сопоставимом уровне цен 2 кв. 2019 г:</t>
  </si>
  <si>
    <t xml:space="preserve">Система пожарной и охранной сигнализации ПС 35 кВ </t>
  </si>
  <si>
    <t>Сопоставимый уровень цен: 2 квартал 2019 г</t>
  </si>
  <si>
    <t>2 квартал 2019 г</t>
  </si>
  <si>
    <t>Сметная стоимость в уровне цен 2 кв. 2019 г.,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</si>
</sst>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0"/>
      <color rgb="FF000000"/>
      <name val="Arial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10" fontId="0" fillId="0" borderId="0" xfId="0" applyNumberFormat="1"/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19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8" fillId="0" borderId="1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5" t="s">
        <v>0</v>
      </c>
      <c r="B2" s="195"/>
      <c r="C2" s="195"/>
    </row>
    <row r="3" spans="1:3" x14ac:dyDescent="0.25">
      <c r="A3" s="1"/>
      <c r="B3" s="1"/>
      <c r="C3" s="1"/>
    </row>
    <row r="4" spans="1:3" x14ac:dyDescent="0.25">
      <c r="A4" s="196" t="s">
        <v>1</v>
      </c>
      <c r="B4" s="196"/>
      <c r="C4" s="19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197" t="s">
        <v>3</v>
      </c>
      <c r="C6" s="197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view="pageBreakPreview" topLeftCell="A4" workbookViewId="0">
      <selection activeCell="D15" sqref="D14:D15"/>
    </sheetView>
  </sheetViews>
  <sheetFormatPr defaultRowHeight="15" x14ac:dyDescent="0.25"/>
  <cols>
    <col min="1" max="1" width="27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268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7" t="s">
        <v>269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7" customHeight="1" x14ac:dyDescent="0.25">
      <c r="A5" s="244" t="s">
        <v>270</v>
      </c>
      <c r="B5" s="244"/>
      <c r="C5" s="244"/>
      <c r="D5" s="192" t="str">
        <f>'Прил.5 Расчет СМР и ОБ'!D6:J6</f>
        <v xml:space="preserve">Постоянная часть ПС система пожарной и охранной сигнализации ПС 35 кВ </v>
      </c>
    </row>
    <row r="6" spans="1:4" ht="15.75" customHeight="1" x14ac:dyDescent="0.25">
      <c r="A6" s="113" t="s">
        <v>431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08" t="s">
        <v>5</v>
      </c>
      <c r="B8" s="208" t="s">
        <v>6</v>
      </c>
      <c r="C8" s="208" t="s">
        <v>271</v>
      </c>
      <c r="D8" s="208" t="s">
        <v>272</v>
      </c>
    </row>
    <row r="9" spans="1:4" x14ac:dyDescent="0.25">
      <c r="A9" s="208"/>
      <c r="B9" s="208"/>
      <c r="C9" s="208"/>
      <c r="D9" s="208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16" t="s">
        <v>436</v>
      </c>
      <c r="B11" s="116" t="s">
        <v>273</v>
      </c>
      <c r="C11" s="193" t="str">
        <f>D5</f>
        <v xml:space="preserve">Постоянная часть ПС система пожарной и охранной сигнализации ПС 35 кВ </v>
      </c>
      <c r="D11" s="175">
        <f>'Прил.4 РМ'!C41/1000</f>
        <v>3185.5464299999999</v>
      </c>
    </row>
    <row r="13" spans="1:4" x14ac:dyDescent="0.25">
      <c r="A13" s="4" t="s">
        <v>437</v>
      </c>
      <c r="B13" s="12"/>
      <c r="C13" s="12"/>
      <c r="D13" s="24"/>
    </row>
    <row r="14" spans="1:4" x14ac:dyDescent="0.25">
      <c r="A14" s="165" t="s">
        <v>69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65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6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1"/>
  <sheetViews>
    <sheetView zoomScale="85" zoomScaleNormal="85" workbookViewId="0">
      <selection activeCell="O9" sqref="O9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2" t="s">
        <v>274</v>
      </c>
      <c r="C4" s="202"/>
      <c r="D4" s="202"/>
    </row>
    <row r="5" spans="2:5" ht="18.75" customHeight="1" x14ac:dyDescent="0.25">
      <c r="B5" s="168"/>
    </row>
    <row r="6" spans="2:5" ht="15.75" customHeight="1" x14ac:dyDescent="0.25">
      <c r="B6" s="203" t="s">
        <v>275</v>
      </c>
      <c r="C6" s="203"/>
      <c r="D6" s="203"/>
    </row>
    <row r="7" spans="2:5" x14ac:dyDescent="0.25">
      <c r="B7" s="245"/>
      <c r="C7" s="245"/>
      <c r="D7" s="245"/>
      <c r="E7" s="245"/>
    </row>
    <row r="8" spans="2:5" x14ac:dyDescent="0.25">
      <c r="B8" s="169"/>
      <c r="C8" s="169"/>
      <c r="D8" s="169"/>
      <c r="E8" s="169"/>
    </row>
    <row r="9" spans="2:5" ht="47.25" customHeight="1" x14ac:dyDescent="0.25">
      <c r="B9" s="116" t="s">
        <v>276</v>
      </c>
      <c r="C9" s="116" t="s">
        <v>277</v>
      </c>
      <c r="D9" s="116" t="s">
        <v>278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279</v>
      </c>
      <c r="C11" s="116" t="s">
        <v>280</v>
      </c>
      <c r="D11" s="116">
        <v>44.29</v>
      </c>
    </row>
    <row r="12" spans="2:5" ht="29.25" customHeight="1" x14ac:dyDescent="0.25">
      <c r="B12" s="116" t="s">
        <v>281</v>
      </c>
      <c r="C12" s="116" t="s">
        <v>280</v>
      </c>
      <c r="D12" s="116">
        <v>13.47</v>
      </c>
    </row>
    <row r="13" spans="2:5" ht="29.25" customHeight="1" x14ac:dyDescent="0.25">
      <c r="B13" s="116" t="s">
        <v>282</v>
      </c>
      <c r="C13" s="116" t="s">
        <v>280</v>
      </c>
      <c r="D13" s="116">
        <v>8.0399999999999991</v>
      </c>
    </row>
    <row r="14" spans="2:5" ht="30.75" customHeight="1" x14ac:dyDescent="0.25">
      <c r="B14" s="116" t="s">
        <v>283</v>
      </c>
      <c r="C14" s="119" t="s">
        <v>284</v>
      </c>
      <c r="D14" s="116">
        <v>6.26</v>
      </c>
    </row>
    <row r="15" spans="2:5" ht="89.45" customHeight="1" x14ac:dyDescent="0.25">
      <c r="B15" s="116" t="s">
        <v>285</v>
      </c>
      <c r="C15" s="116" t="s">
        <v>286</v>
      </c>
      <c r="D15" s="170">
        <v>3.9E-2</v>
      </c>
    </row>
    <row r="16" spans="2:5" ht="78.75" customHeight="1" x14ac:dyDescent="0.25">
      <c r="B16" s="116" t="s">
        <v>287</v>
      </c>
      <c r="C16" s="116" t="s">
        <v>288</v>
      </c>
      <c r="D16" s="170">
        <v>2.1000000000000001E-2</v>
      </c>
    </row>
    <row r="17" spans="2:4" ht="34.5" customHeight="1" x14ac:dyDescent="0.25">
      <c r="B17" s="116"/>
      <c r="C17" s="116"/>
      <c r="D17" s="116"/>
    </row>
    <row r="18" spans="2:4" ht="31.7" customHeight="1" x14ac:dyDescent="0.25">
      <c r="B18" s="116" t="s">
        <v>289</v>
      </c>
      <c r="C18" s="116" t="s">
        <v>290</v>
      </c>
      <c r="D18" s="170">
        <v>2.1399999999999999E-2</v>
      </c>
    </row>
    <row r="19" spans="2:4" ht="31.7" customHeight="1" x14ac:dyDescent="0.25">
      <c r="B19" s="116" t="s">
        <v>221</v>
      </c>
      <c r="C19" s="116" t="s">
        <v>291</v>
      </c>
      <c r="D19" s="170">
        <v>2E-3</v>
      </c>
    </row>
    <row r="20" spans="2:4" ht="24" customHeight="1" x14ac:dyDescent="0.25">
      <c r="B20" s="116" t="s">
        <v>223</v>
      </c>
      <c r="C20" s="116" t="s">
        <v>292</v>
      </c>
      <c r="D20" s="170">
        <v>0.03</v>
      </c>
    </row>
    <row r="21" spans="2:4" ht="18.75" customHeight="1" x14ac:dyDescent="0.25">
      <c r="B21" s="171"/>
    </row>
    <row r="22" spans="2:4" ht="18.75" customHeight="1" x14ac:dyDescent="0.25">
      <c r="B22" s="171"/>
    </row>
    <row r="23" spans="2:4" ht="18.75" customHeight="1" x14ac:dyDescent="0.25">
      <c r="B23" s="171"/>
    </row>
    <row r="24" spans="2:4" ht="18.75" customHeight="1" x14ac:dyDescent="0.25">
      <c r="B24" s="171"/>
    </row>
    <row r="27" spans="2:4" x14ac:dyDescent="0.25">
      <c r="B27" s="4" t="s">
        <v>293</v>
      </c>
      <c r="C27" s="12"/>
    </row>
    <row r="28" spans="2:4" x14ac:dyDescent="0.25">
      <c r="B28" s="165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260</v>
      </c>
      <c r="C30" s="12"/>
    </row>
    <row r="31" spans="2:4" x14ac:dyDescent="0.25">
      <c r="B31" s="165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7" sqref="E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3" t="s">
        <v>294</v>
      </c>
      <c r="B2" s="203"/>
      <c r="C2" s="203"/>
      <c r="D2" s="203"/>
      <c r="E2" s="203"/>
      <c r="F2" s="203"/>
    </row>
    <row r="4" spans="1:7" ht="18" customHeight="1" x14ac:dyDescent="0.25">
      <c r="A4" s="172" t="s">
        <v>295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3" t="s">
        <v>13</v>
      </c>
      <c r="B5" s="173" t="s">
        <v>296</v>
      </c>
      <c r="C5" s="173" t="s">
        <v>297</v>
      </c>
      <c r="D5" s="173" t="s">
        <v>298</v>
      </c>
      <c r="E5" s="173" t="s">
        <v>299</v>
      </c>
      <c r="F5" s="173" t="s">
        <v>300</v>
      </c>
      <c r="G5" s="113"/>
    </row>
    <row r="6" spans="1:7" ht="15.75" customHeight="1" x14ac:dyDescent="0.25">
      <c r="A6" s="173">
        <v>1</v>
      </c>
      <c r="B6" s="173">
        <v>2</v>
      </c>
      <c r="C6" s="173">
        <v>3</v>
      </c>
      <c r="D6" s="173">
        <v>4</v>
      </c>
      <c r="E6" s="173">
        <v>5</v>
      </c>
      <c r="F6" s="173">
        <v>6</v>
      </c>
      <c r="G6" s="113"/>
    </row>
    <row r="7" spans="1:7" ht="110.25" customHeight="1" x14ac:dyDescent="0.25">
      <c r="A7" s="174" t="s">
        <v>301</v>
      </c>
      <c r="B7" s="118" t="s">
        <v>302</v>
      </c>
      <c r="C7" s="116" t="s">
        <v>303</v>
      </c>
      <c r="D7" s="116" t="s">
        <v>304</v>
      </c>
      <c r="E7" s="175">
        <v>47872.94</v>
      </c>
      <c r="F7" s="118" t="s">
        <v>305</v>
      </c>
      <c r="G7" s="113"/>
    </row>
    <row r="8" spans="1:7" ht="31.7" customHeight="1" x14ac:dyDescent="0.25">
      <c r="A8" s="174" t="s">
        <v>306</v>
      </c>
      <c r="B8" s="118" t="s">
        <v>307</v>
      </c>
      <c r="C8" s="116" t="s">
        <v>308</v>
      </c>
      <c r="D8" s="116" t="s">
        <v>309</v>
      </c>
      <c r="E8" s="175">
        <f>1973/12</f>
        <v>164.41666666666666</v>
      </c>
      <c r="F8" s="118" t="s">
        <v>310</v>
      </c>
      <c r="G8" s="176"/>
    </row>
    <row r="9" spans="1:7" ht="15.75" customHeight="1" x14ac:dyDescent="0.25">
      <c r="A9" s="174" t="s">
        <v>311</v>
      </c>
      <c r="B9" s="118" t="s">
        <v>312</v>
      </c>
      <c r="C9" s="116" t="s">
        <v>313</v>
      </c>
      <c r="D9" s="116" t="s">
        <v>304</v>
      </c>
      <c r="E9" s="175">
        <v>1</v>
      </c>
      <c r="F9" s="118"/>
      <c r="G9" s="176"/>
    </row>
    <row r="10" spans="1:7" ht="15.75" customHeight="1" x14ac:dyDescent="0.25">
      <c r="A10" s="174" t="s">
        <v>314</v>
      </c>
      <c r="B10" s="118" t="s">
        <v>315</v>
      </c>
      <c r="C10" s="116"/>
      <c r="D10" s="116"/>
      <c r="E10" s="177">
        <v>4</v>
      </c>
      <c r="F10" s="118" t="s">
        <v>316</v>
      </c>
      <c r="G10" s="176"/>
    </row>
    <row r="11" spans="1:7" ht="78.75" customHeight="1" x14ac:dyDescent="0.25">
      <c r="A11" s="174" t="s">
        <v>317</v>
      </c>
      <c r="B11" s="118" t="s">
        <v>318</v>
      </c>
      <c r="C11" s="116" t="s">
        <v>319</v>
      </c>
      <c r="D11" s="116" t="s">
        <v>304</v>
      </c>
      <c r="E11" s="178">
        <v>1.34</v>
      </c>
      <c r="F11" s="118" t="s">
        <v>320</v>
      </c>
      <c r="G11" s="113"/>
    </row>
    <row r="12" spans="1:7" ht="78.75" customHeight="1" x14ac:dyDescent="0.25">
      <c r="A12" s="174" t="s">
        <v>321</v>
      </c>
      <c r="B12" s="117" t="s">
        <v>322</v>
      </c>
      <c r="C12" s="116" t="s">
        <v>323</v>
      </c>
      <c r="D12" s="116" t="s">
        <v>304</v>
      </c>
      <c r="E12" s="179">
        <v>1.139</v>
      </c>
      <c r="F12" s="180" t="s">
        <v>324</v>
      </c>
      <c r="G12" s="176" t="s">
        <v>325</v>
      </c>
    </row>
    <row r="13" spans="1:7" ht="63" customHeight="1" x14ac:dyDescent="0.25">
      <c r="A13" s="174" t="s">
        <v>326</v>
      </c>
      <c r="B13" s="131" t="s">
        <v>327</v>
      </c>
      <c r="C13" s="116" t="s">
        <v>328</v>
      </c>
      <c r="D13" s="116" t="s">
        <v>329</v>
      </c>
      <c r="E13" s="181">
        <f>((E7*E9/E8)*E11)*E12</f>
        <v>444.39870291576284</v>
      </c>
      <c r="F13" s="118" t="s">
        <v>330</v>
      </c>
      <c r="G13" s="113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6" t="s">
        <v>331</v>
      </c>
      <c r="B1" s="246"/>
      <c r="C1" s="246"/>
      <c r="D1" s="246"/>
      <c r="E1" s="246"/>
      <c r="F1" s="246"/>
      <c r="G1" s="246"/>
      <c r="H1" s="246"/>
      <c r="I1" s="246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198" t="e">
        <f>#REF!</f>
        <v>#REF!</v>
      </c>
      <c r="B3" s="198"/>
      <c r="C3" s="198"/>
      <c r="D3" s="198"/>
      <c r="E3" s="198"/>
      <c r="F3" s="198"/>
      <c r="G3" s="198"/>
      <c r="H3" s="198"/>
      <c r="I3" s="198"/>
    </row>
    <row r="4" spans="1:13" s="4" customFormat="1" ht="15.75" customHeight="1" x14ac:dyDescent="0.2">
      <c r="A4" s="247"/>
      <c r="B4" s="247"/>
      <c r="C4" s="247"/>
      <c r="D4" s="247"/>
      <c r="E4" s="247"/>
      <c r="F4" s="247"/>
      <c r="G4" s="247"/>
      <c r="H4" s="247"/>
      <c r="I4" s="247"/>
    </row>
    <row r="5" spans="1:13" s="29" customFormat="1" ht="36.75" customHeight="1" x14ac:dyDescent="0.35">
      <c r="A5" s="248" t="s">
        <v>13</v>
      </c>
      <c r="B5" s="248" t="s">
        <v>332</v>
      </c>
      <c r="C5" s="248" t="s">
        <v>333</v>
      </c>
      <c r="D5" s="248" t="s">
        <v>334</v>
      </c>
      <c r="E5" s="243" t="s">
        <v>335</v>
      </c>
      <c r="F5" s="243"/>
      <c r="G5" s="243"/>
      <c r="H5" s="243"/>
      <c r="I5" s="243"/>
    </row>
    <row r="6" spans="1:13" s="24" customFormat="1" ht="31.7" customHeight="1" x14ac:dyDescent="0.2">
      <c r="A6" s="248"/>
      <c r="B6" s="248"/>
      <c r="C6" s="248"/>
      <c r="D6" s="248"/>
      <c r="E6" s="30" t="s">
        <v>77</v>
      </c>
      <c r="F6" s="30" t="s">
        <v>78</v>
      </c>
      <c r="G6" s="30" t="s">
        <v>43</v>
      </c>
      <c r="H6" s="30" t="s">
        <v>336</v>
      </c>
      <c r="I6" s="30" t="s">
        <v>337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211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338</v>
      </c>
      <c r="C9" s="8" t="s">
        <v>339</v>
      </c>
      <c r="D9" s="104">
        <v>3.9E-2</v>
      </c>
      <c r="E9" s="26">
        <f>E8*D9</f>
        <v>0.15541851000000001</v>
      </c>
      <c r="F9" s="26">
        <f>F8*D9</f>
        <v>0.12299157000000001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340</v>
      </c>
      <c r="C11" s="8" t="s">
        <v>287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95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341</v>
      </c>
      <c r="C12" s="8" t="s">
        <v>342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343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290</v>
      </c>
      <c r="C14" s="8" t="s">
        <v>344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2.3006417510043939</v>
      </c>
      <c r="I14" s="26">
        <f>H14</f>
        <v>2.3006417510043939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345</v>
      </c>
      <c r="C16" s="8" t="s">
        <v>346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347</v>
      </c>
    </row>
    <row r="17" spans="1:10" s="24" customFormat="1" ht="81.75" customHeight="1" x14ac:dyDescent="0.2">
      <c r="A17" s="31">
        <v>7</v>
      </c>
      <c r="B17" s="8" t="s">
        <v>345</v>
      </c>
      <c r="C17" s="8" t="s">
        <v>348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349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7.7710448710043938</v>
      </c>
      <c r="I19" s="26">
        <f>SUM(I8:I18)</f>
        <v>109.80726562971439</v>
      </c>
    </row>
    <row r="20" spans="1:10" s="24" customFormat="1" ht="51" customHeight="1" x14ac:dyDescent="0.2">
      <c r="A20" s="31">
        <v>9</v>
      </c>
      <c r="B20" s="8" t="s">
        <v>350</v>
      </c>
      <c r="C20" s="8" t="s">
        <v>223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0.23313134613013181</v>
      </c>
      <c r="I20" s="26">
        <f>I19*3%</f>
        <v>3.2942179688914317</v>
      </c>
    </row>
    <row r="21" spans="1:10" s="27" customFormat="1" ht="13.15" customHeight="1" x14ac:dyDescent="0.2">
      <c r="A21" s="31">
        <v>10</v>
      </c>
      <c r="B21" s="8"/>
      <c r="C21" s="8" t="s">
        <v>351</v>
      </c>
      <c r="D21" s="40"/>
      <c r="E21" s="26"/>
      <c r="F21" s="26"/>
      <c r="G21" s="26"/>
      <c r="H21" s="26"/>
      <c r="I21" s="26">
        <f>I19+I20</f>
        <v>113.10148359860582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352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353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354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355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3" t="s">
        <v>356</v>
      </c>
      <c r="O2" s="253"/>
    </row>
    <row r="3" spans="1:16" x14ac:dyDescent="0.25">
      <c r="A3" s="254" t="s">
        <v>357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5" spans="1:16" ht="37.5" customHeight="1" x14ac:dyDescent="0.25">
      <c r="A5" s="255" t="s">
        <v>358</v>
      </c>
      <c r="B5" s="258" t="s">
        <v>359</v>
      </c>
      <c r="C5" s="261" t="s">
        <v>360</v>
      </c>
      <c r="D5" s="264" t="s">
        <v>361</v>
      </c>
      <c r="E5" s="265"/>
      <c r="F5" s="265"/>
      <c r="G5" s="265"/>
      <c r="H5" s="265"/>
      <c r="I5" s="264" t="s">
        <v>362</v>
      </c>
      <c r="J5" s="265"/>
      <c r="K5" s="265"/>
      <c r="L5" s="265"/>
      <c r="M5" s="265"/>
      <c r="N5" s="265"/>
      <c r="O5" s="47" t="s">
        <v>363</v>
      </c>
    </row>
    <row r="6" spans="1:16" s="50" customFormat="1" ht="150" customHeight="1" x14ac:dyDescent="0.25">
      <c r="A6" s="256"/>
      <c r="B6" s="259"/>
      <c r="C6" s="262"/>
      <c r="D6" s="261" t="s">
        <v>364</v>
      </c>
      <c r="E6" s="266" t="s">
        <v>365</v>
      </c>
      <c r="F6" s="267"/>
      <c r="G6" s="268"/>
      <c r="H6" s="48" t="s">
        <v>366</v>
      </c>
      <c r="I6" s="269" t="s">
        <v>367</v>
      </c>
      <c r="J6" s="269" t="s">
        <v>364</v>
      </c>
      <c r="K6" s="270" t="s">
        <v>365</v>
      </c>
      <c r="L6" s="270"/>
      <c r="M6" s="270"/>
      <c r="N6" s="48" t="s">
        <v>366</v>
      </c>
      <c r="O6" s="49" t="s">
        <v>368</v>
      </c>
    </row>
    <row r="7" spans="1:16" s="50" customFormat="1" ht="30.75" customHeight="1" x14ac:dyDescent="0.25">
      <c r="A7" s="257"/>
      <c r="B7" s="260"/>
      <c r="C7" s="263"/>
      <c r="D7" s="263"/>
      <c r="E7" s="47" t="s">
        <v>77</v>
      </c>
      <c r="F7" s="47" t="s">
        <v>78</v>
      </c>
      <c r="G7" s="47" t="s">
        <v>43</v>
      </c>
      <c r="H7" s="51" t="s">
        <v>369</v>
      </c>
      <c r="I7" s="269"/>
      <c r="J7" s="269"/>
      <c r="K7" s="47" t="s">
        <v>77</v>
      </c>
      <c r="L7" s="47" t="s">
        <v>78</v>
      </c>
      <c r="M7" s="47" t="s">
        <v>43</v>
      </c>
      <c r="N7" s="51" t="s">
        <v>369</v>
      </c>
      <c r="O7" s="47" t="s">
        <v>370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5" t="s">
        <v>371</v>
      </c>
      <c r="C9" s="53" t="s">
        <v>372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242.76170000000002</v>
      </c>
      <c r="G9" s="54">
        <v>0</v>
      </c>
      <c r="H9" s="54">
        <f>(713.49*0.8)/1000</f>
        <v>0.57079200000000008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1478.4187530000002</v>
      </c>
      <c r="M9" s="54">
        <f>G9*H24</f>
        <v>0</v>
      </c>
      <c r="N9" s="54">
        <f>H9*H25</f>
        <v>6.48990504</v>
      </c>
      <c r="O9" s="55">
        <f t="shared" ref="O9:O15" si="2">N9/(L9+M9)</f>
        <v>4.3897610381569609E-3</v>
      </c>
    </row>
    <row r="10" spans="1:16" s="50" customFormat="1" ht="54.75" customHeight="1" x14ac:dyDescent="0.25">
      <c r="A10" s="51">
        <v>2</v>
      </c>
      <c r="B10" s="257"/>
      <c r="C10" s="56" t="s">
        <v>373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1.225379872165199E-3</v>
      </c>
      <c r="P10" s="57"/>
    </row>
    <row r="11" spans="1:16" s="50" customFormat="1" ht="24.6" customHeight="1" x14ac:dyDescent="0.25">
      <c r="A11" s="52">
        <v>3</v>
      </c>
      <c r="B11" s="255" t="s">
        <v>374</v>
      </c>
      <c r="C11" s="56" t="s">
        <v>375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129121.52160000001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154.48610000000002</v>
      </c>
      <c r="O11" s="55">
        <f t="shared" si="2"/>
        <v>4.1066716562919176E-3</v>
      </c>
    </row>
    <row r="12" spans="1:16" s="50" customFormat="1" ht="31.9" customHeight="1" x14ac:dyDescent="0.25">
      <c r="A12" s="51">
        <v>4</v>
      </c>
      <c r="B12" s="257"/>
      <c r="C12" s="56" t="s">
        <v>376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2.3140164284093331E-3</v>
      </c>
    </row>
    <row r="13" spans="1:16" s="50" customFormat="1" ht="60" customHeight="1" x14ac:dyDescent="0.25">
      <c r="A13" s="52">
        <v>5</v>
      </c>
      <c r="B13" s="255" t="s">
        <v>377</v>
      </c>
      <c r="C13" s="53" t="s">
        <v>378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267889.86340000003</v>
      </c>
      <c r="K13" s="54">
        <f>E13*L22</f>
        <v>79488.050400000007</v>
      </c>
      <c r="L13" s="54">
        <f>F13*L22</f>
        <v>167241.27900000001</v>
      </c>
      <c r="M13" s="54">
        <f>G13*L24</f>
        <v>21160.534000000003</v>
      </c>
      <c r="N13" s="54">
        <f>H13*L25</f>
        <v>231.46549999999999</v>
      </c>
      <c r="O13" s="55">
        <f t="shared" si="2"/>
        <v>1.228573633736741E-3</v>
      </c>
    </row>
    <row r="14" spans="1:16" s="50" customFormat="1" ht="39.6" customHeight="1" x14ac:dyDescent="0.25">
      <c r="A14" s="51">
        <v>6</v>
      </c>
      <c r="B14" s="257"/>
      <c r="C14" s="56" t="s">
        <v>379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23240.095500000003</v>
      </c>
      <c r="N14" s="54">
        <f>H14*M25</f>
        <v>1423.7858999999999</v>
      </c>
      <c r="O14" s="55">
        <f t="shared" si="2"/>
        <v>5.6024083795152453E-3</v>
      </c>
    </row>
    <row r="15" spans="1:16" s="50" customFormat="1" ht="46.15" customHeight="1" x14ac:dyDescent="0.25">
      <c r="A15" s="52">
        <v>7</v>
      </c>
      <c r="B15" s="58" t="s">
        <v>380</v>
      </c>
      <c r="C15" s="56" t="s">
        <v>381</v>
      </c>
      <c r="D15" s="54">
        <f t="shared" si="0"/>
        <v>981651.63000000012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201852.46120000002</v>
      </c>
      <c r="N15" s="54">
        <f>H15*N25</f>
        <v>1185.7186999999999</v>
      </c>
      <c r="O15" s="55">
        <f t="shared" si="2"/>
        <v>3.5280316227560241E-4</v>
      </c>
    </row>
    <row r="16" spans="1:16" s="50" customFormat="1" ht="24" customHeight="1" x14ac:dyDescent="0.25">
      <c r="A16" s="59"/>
      <c r="B16" s="59"/>
      <c r="C16" s="60" t="s">
        <v>382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2.7456591672215713E-3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383</v>
      </c>
    </row>
    <row r="19" spans="1:15" ht="30.75" customHeight="1" x14ac:dyDescent="0.25">
      <c r="L19" s="68"/>
    </row>
    <row r="20" spans="1:15" ht="15" customHeight="1" outlineLevel="1" x14ac:dyDescent="0.25">
      <c r="G20" s="252" t="s">
        <v>384</v>
      </c>
      <c r="H20" s="252"/>
      <c r="I20" s="252"/>
      <c r="J20" s="252"/>
      <c r="K20" s="252"/>
      <c r="L20" s="252"/>
      <c r="M20" s="252"/>
      <c r="N20" s="252"/>
    </row>
    <row r="21" spans="1:15" ht="15.75" customHeight="1" outlineLevel="1" x14ac:dyDescent="0.25">
      <c r="G21" s="69"/>
      <c r="H21" s="69" t="s">
        <v>385</v>
      </c>
      <c r="I21" s="69" t="s">
        <v>386</v>
      </c>
      <c r="J21" s="69" t="s">
        <v>387</v>
      </c>
      <c r="K21" s="70" t="s">
        <v>388</v>
      </c>
      <c r="L21" s="69" t="s">
        <v>389</v>
      </c>
      <c r="M21" s="69" t="s">
        <v>390</v>
      </c>
      <c r="N21" s="69" t="s">
        <v>391</v>
      </c>
      <c r="O21" s="63"/>
    </row>
    <row r="22" spans="1:15" ht="15.75" customHeight="1" outlineLevel="1" x14ac:dyDescent="0.25">
      <c r="G22" s="250" t="s">
        <v>392</v>
      </c>
      <c r="H22" s="249">
        <v>6.09</v>
      </c>
      <c r="I22" s="251">
        <v>6.44</v>
      </c>
      <c r="J22" s="249">
        <v>5.77</v>
      </c>
      <c r="K22" s="251">
        <v>5.77</v>
      </c>
      <c r="L22" s="249">
        <v>5.23</v>
      </c>
      <c r="M22" s="249">
        <v>5.77</v>
      </c>
      <c r="N22" s="71">
        <v>6.29</v>
      </c>
      <c r="O22" t="s">
        <v>393</v>
      </c>
    </row>
    <row r="23" spans="1:15" ht="15.75" customHeight="1" outlineLevel="1" x14ac:dyDescent="0.25">
      <c r="G23" s="250"/>
      <c r="H23" s="249"/>
      <c r="I23" s="251"/>
      <c r="J23" s="249"/>
      <c r="K23" s="251"/>
      <c r="L23" s="249"/>
      <c r="M23" s="249"/>
      <c r="N23" s="71">
        <v>6.56</v>
      </c>
      <c r="O23" t="s">
        <v>394</v>
      </c>
    </row>
    <row r="24" spans="1:15" ht="15.75" customHeight="1" outlineLevel="1" x14ac:dyDescent="0.25">
      <c r="G24" s="72" t="s">
        <v>395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369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396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397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336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1" t="s">
        <v>398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</row>
    <row r="4" spans="1:18" ht="36.75" customHeight="1" x14ac:dyDescent="0.25">
      <c r="A4" s="255" t="s">
        <v>358</v>
      </c>
      <c r="B4" s="258" t="s">
        <v>359</v>
      </c>
      <c r="C4" s="261" t="s">
        <v>399</v>
      </c>
      <c r="D4" s="261" t="s">
        <v>400</v>
      </c>
      <c r="E4" s="264" t="s">
        <v>401</v>
      </c>
      <c r="F4" s="265"/>
      <c r="G4" s="265"/>
      <c r="H4" s="265"/>
      <c r="I4" s="265"/>
      <c r="J4" s="265"/>
      <c r="K4" s="265"/>
      <c r="L4" s="265"/>
      <c r="M4" s="265"/>
      <c r="N4" s="272" t="s">
        <v>402</v>
      </c>
      <c r="O4" s="273"/>
      <c r="P4" s="273"/>
      <c r="Q4" s="273"/>
      <c r="R4" s="274"/>
    </row>
    <row r="5" spans="1:18" ht="60" customHeight="1" x14ac:dyDescent="0.25">
      <c r="A5" s="256"/>
      <c r="B5" s="259"/>
      <c r="C5" s="262"/>
      <c r="D5" s="262"/>
      <c r="E5" s="269" t="s">
        <v>403</v>
      </c>
      <c r="F5" s="269" t="s">
        <v>404</v>
      </c>
      <c r="G5" s="266" t="s">
        <v>365</v>
      </c>
      <c r="H5" s="267"/>
      <c r="I5" s="267"/>
      <c r="J5" s="268"/>
      <c r="K5" s="269" t="s">
        <v>405</v>
      </c>
      <c r="L5" s="269"/>
      <c r="M5" s="269"/>
      <c r="N5" s="74" t="s">
        <v>406</v>
      </c>
      <c r="O5" s="74" t="s">
        <v>407</v>
      </c>
      <c r="P5" s="74" t="s">
        <v>408</v>
      </c>
      <c r="Q5" s="75" t="s">
        <v>409</v>
      </c>
      <c r="R5" s="74" t="s">
        <v>410</v>
      </c>
    </row>
    <row r="6" spans="1:18" ht="49.7" customHeight="1" x14ac:dyDescent="0.25">
      <c r="A6" s="257"/>
      <c r="B6" s="260"/>
      <c r="C6" s="263"/>
      <c r="D6" s="263"/>
      <c r="E6" s="269"/>
      <c r="F6" s="269"/>
      <c r="G6" s="47" t="s">
        <v>77</v>
      </c>
      <c r="H6" s="47" t="s">
        <v>78</v>
      </c>
      <c r="I6" s="47" t="s">
        <v>43</v>
      </c>
      <c r="J6" s="47" t="s">
        <v>336</v>
      </c>
      <c r="K6" s="47" t="s">
        <v>406</v>
      </c>
      <c r="L6" s="47" t="s">
        <v>407</v>
      </c>
      <c r="M6" s="47" t="s">
        <v>408</v>
      </c>
      <c r="N6" s="47" t="s">
        <v>411</v>
      </c>
      <c r="O6" s="47" t="s">
        <v>412</v>
      </c>
      <c r="P6" s="47" t="s">
        <v>413</v>
      </c>
      <c r="Q6" s="48" t="s">
        <v>414</v>
      </c>
      <c r="R6" s="47" t="s">
        <v>415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5">
        <v>1</v>
      </c>
      <c r="B9" s="255" t="s">
        <v>416</v>
      </c>
      <c r="C9" s="275" t="s">
        <v>372</v>
      </c>
      <c r="D9" s="53" t="s">
        <v>417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75" hidden="1" customHeight="1" x14ac:dyDescent="0.25">
      <c r="A10" s="257"/>
      <c r="B10" s="256"/>
      <c r="C10" s="276"/>
      <c r="D10" s="53" t="s">
        <v>418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5">
        <v>2</v>
      </c>
      <c r="B11" s="256"/>
      <c r="C11" s="275" t="s">
        <v>419</v>
      </c>
      <c r="D11" s="53" t="s">
        <v>417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7"/>
      <c r="B12" s="257"/>
      <c r="C12" s="276"/>
      <c r="D12" s="53" t="s">
        <v>418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5">
        <v>3</v>
      </c>
      <c r="B13" s="255" t="s">
        <v>374</v>
      </c>
      <c r="C13" s="277" t="s">
        <v>375</v>
      </c>
      <c r="D13" s="53" t="s">
        <v>420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.2" hidden="1" customHeight="1" x14ac:dyDescent="0.25">
      <c r="A14" s="257"/>
      <c r="B14" s="256"/>
      <c r="C14" s="278"/>
      <c r="D14" s="53" t="s">
        <v>418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5">
        <v>4</v>
      </c>
      <c r="B15" s="256"/>
      <c r="C15" s="279" t="s">
        <v>376</v>
      </c>
      <c r="D15" s="56" t="s">
        <v>420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7"/>
      <c r="B16" s="257"/>
      <c r="C16" s="280"/>
      <c r="D16" s="56" t="s">
        <v>418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5">
        <v>5</v>
      </c>
      <c r="B17" s="270" t="s">
        <v>377</v>
      </c>
      <c r="C17" s="275" t="s">
        <v>421</v>
      </c>
      <c r="D17" s="53" t="s">
        <v>422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7"/>
      <c r="B18" s="270"/>
      <c r="C18" s="276"/>
      <c r="D18" s="53" t="s">
        <v>418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5">
        <v>6</v>
      </c>
      <c r="B19" s="270"/>
      <c r="C19" s="275" t="s">
        <v>379</v>
      </c>
      <c r="D19" s="56" t="s">
        <v>420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7"/>
      <c r="B20" s="270"/>
      <c r="C20" s="276"/>
      <c r="D20" s="56" t="s">
        <v>418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5">
        <v>7</v>
      </c>
      <c r="B21" s="255" t="s">
        <v>380</v>
      </c>
      <c r="C21" s="275" t="s">
        <v>381</v>
      </c>
      <c r="D21" s="56" t="s">
        <v>423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7"/>
      <c r="B22" s="257"/>
      <c r="C22" s="276"/>
      <c r="D22" s="79" t="s">
        <v>418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424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1" t="s">
        <v>425</v>
      </c>
      <c r="E26" s="281"/>
      <c r="F26" s="281"/>
      <c r="G26" s="281"/>
      <c r="H26" s="281"/>
      <c r="I26" s="281"/>
      <c r="J26" s="281"/>
      <c r="K26" s="281"/>
      <c r="L26" s="68"/>
      <c r="R26" s="86"/>
    </row>
    <row r="27" spans="1:18" outlineLevel="1" x14ac:dyDescent="0.25">
      <c r="D27" s="87"/>
      <c r="E27" s="87" t="s">
        <v>385</v>
      </c>
      <c r="F27" s="87" t="s">
        <v>386</v>
      </c>
      <c r="G27" s="87" t="s">
        <v>387</v>
      </c>
      <c r="H27" s="88" t="s">
        <v>388</v>
      </c>
      <c r="I27" s="88" t="s">
        <v>389</v>
      </c>
      <c r="J27" s="88" t="s">
        <v>390</v>
      </c>
      <c r="K27" s="59" t="s">
        <v>391</v>
      </c>
    </row>
    <row r="28" spans="1:18" outlineLevel="1" x14ac:dyDescent="0.25">
      <c r="D28" s="282" t="s">
        <v>392</v>
      </c>
      <c r="E28" s="284">
        <v>6.09</v>
      </c>
      <c r="F28" s="286">
        <v>6.63</v>
      </c>
      <c r="G28" s="284">
        <v>5.77</v>
      </c>
      <c r="H28" s="288">
        <v>5.77</v>
      </c>
      <c r="I28" s="288">
        <v>6.35</v>
      </c>
      <c r="J28" s="284">
        <v>5.77</v>
      </c>
      <c r="K28" s="89">
        <v>6.29</v>
      </c>
      <c r="L28" t="s">
        <v>393</v>
      </c>
    </row>
    <row r="29" spans="1:18" outlineLevel="1" x14ac:dyDescent="0.25">
      <c r="D29" s="283"/>
      <c r="E29" s="285"/>
      <c r="F29" s="287"/>
      <c r="G29" s="285"/>
      <c r="H29" s="289"/>
      <c r="I29" s="289"/>
      <c r="J29" s="285"/>
      <c r="K29" s="89">
        <v>6.56</v>
      </c>
      <c r="L29" t="s">
        <v>394</v>
      </c>
    </row>
    <row r="30" spans="1:18" outlineLevel="1" x14ac:dyDescent="0.25">
      <c r="D30" s="90" t="s">
        <v>395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2" t="s">
        <v>369</v>
      </c>
      <c r="E31" s="284">
        <v>11.37</v>
      </c>
      <c r="F31" s="286">
        <v>13.56</v>
      </c>
      <c r="G31" s="284">
        <v>15.91</v>
      </c>
      <c r="H31" s="288">
        <v>15.91</v>
      </c>
      <c r="I31" s="288">
        <v>14.03</v>
      </c>
      <c r="J31" s="284">
        <v>15.91</v>
      </c>
      <c r="K31" s="89">
        <v>8.2899999999999991</v>
      </c>
      <c r="L31" t="s">
        <v>393</v>
      </c>
    </row>
    <row r="32" spans="1:18" outlineLevel="1" x14ac:dyDescent="0.25">
      <c r="D32" s="283"/>
      <c r="E32" s="285"/>
      <c r="F32" s="287"/>
      <c r="G32" s="285"/>
      <c r="H32" s="289"/>
      <c r="I32" s="289"/>
      <c r="J32" s="285"/>
      <c r="K32" s="89">
        <v>11.84</v>
      </c>
      <c r="L32" t="s">
        <v>394</v>
      </c>
    </row>
    <row r="33" spans="4:12" ht="15" customHeight="1" outlineLevel="1" x14ac:dyDescent="0.25">
      <c r="D33" s="91" t="s">
        <v>396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426</v>
      </c>
    </row>
    <row r="34" spans="4:12" outlineLevel="1" x14ac:dyDescent="0.25">
      <c r="D34" s="91" t="s">
        <v>397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426</v>
      </c>
    </row>
    <row r="35" spans="4:12" outlineLevel="1" x14ac:dyDescent="0.25">
      <c r="D35" s="90" t="s">
        <v>336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5" t="s">
        <v>10</v>
      </c>
      <c r="B2" s="195"/>
      <c r="C2" s="195"/>
      <c r="D2" s="195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19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8"/>
    </row>
    <row r="5" spans="1:4" x14ac:dyDescent="0.25">
      <c r="A5" s="5"/>
      <c r="B5" s="1"/>
      <c r="C5" s="1"/>
    </row>
    <row r="6" spans="1:4" x14ac:dyDescent="0.25">
      <c r="A6" s="195" t="s">
        <v>12</v>
      </c>
      <c r="B6" s="195"/>
      <c r="C6" s="195"/>
      <c r="D6" s="19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9" t="s">
        <v>5</v>
      </c>
      <c r="B15" s="200" t="s">
        <v>15</v>
      </c>
      <c r="C15" s="200"/>
      <c r="D15" s="200"/>
    </row>
    <row r="16" spans="1:4" x14ac:dyDescent="0.25">
      <c r="A16" s="199"/>
      <c r="B16" s="199" t="s">
        <v>17</v>
      </c>
      <c r="C16" s="200" t="s">
        <v>28</v>
      </c>
      <c r="D16" s="200"/>
    </row>
    <row r="17" spans="1:4" ht="39.200000000000003" customHeight="1" x14ac:dyDescent="0.25">
      <c r="A17" s="199"/>
      <c r="B17" s="199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1" t="s">
        <v>29</v>
      </c>
      <c r="B2" s="201"/>
      <c r="C2" s="201"/>
      <c r="D2" s="201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view="pageBreakPreview" zoomScale="55" zoomScaleNormal="55" workbookViewId="0">
      <selection activeCell="D25" sqref="D25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8.28515625" style="113" customWidth="1"/>
    <col min="5" max="5" width="9.140625" style="113"/>
  </cols>
  <sheetData>
    <row r="3" spans="2:4" x14ac:dyDescent="0.25">
      <c r="B3" s="202" t="s">
        <v>45</v>
      </c>
      <c r="C3" s="202"/>
      <c r="D3" s="202"/>
    </row>
    <row r="4" spans="2:4" x14ac:dyDescent="0.25">
      <c r="B4" s="203" t="s">
        <v>46</v>
      </c>
      <c r="C4" s="203"/>
      <c r="D4" s="203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3.75" customHeight="1" x14ac:dyDescent="0.25">
      <c r="B7" s="204" t="s">
        <v>430</v>
      </c>
      <c r="C7" s="205"/>
      <c r="D7" s="205"/>
    </row>
    <row r="8" spans="2:4" ht="31.7" customHeight="1" x14ac:dyDescent="0.25">
      <c r="B8" s="205" t="s">
        <v>441</v>
      </c>
      <c r="C8" s="205"/>
      <c r="D8" s="205"/>
    </row>
    <row r="9" spans="2:4" x14ac:dyDescent="0.25">
      <c r="B9" s="205" t="s">
        <v>431</v>
      </c>
      <c r="C9" s="205"/>
      <c r="D9" s="205"/>
    </row>
    <row r="10" spans="2:4" x14ac:dyDescent="0.25">
      <c r="B10" s="115"/>
    </row>
    <row r="11" spans="2:4" x14ac:dyDescent="0.25">
      <c r="B11" s="116" t="s">
        <v>33</v>
      </c>
      <c r="C11" s="116" t="s">
        <v>47</v>
      </c>
      <c r="D11" s="117" t="s">
        <v>48</v>
      </c>
    </row>
    <row r="12" spans="2:4" ht="47.25" customHeight="1" x14ac:dyDescent="0.25">
      <c r="B12" s="116">
        <v>1</v>
      </c>
      <c r="C12" s="117" t="s">
        <v>49</v>
      </c>
      <c r="D12" s="117" t="s">
        <v>428</v>
      </c>
    </row>
    <row r="13" spans="2:4" ht="31.7" customHeight="1" x14ac:dyDescent="0.25">
      <c r="B13" s="116">
        <v>2</v>
      </c>
      <c r="C13" s="117" t="s">
        <v>50</v>
      </c>
      <c r="D13" s="117" t="s">
        <v>429</v>
      </c>
    </row>
    <row r="14" spans="2:4" x14ac:dyDescent="0.25">
      <c r="B14" s="116">
        <v>3</v>
      </c>
      <c r="C14" s="117" t="s">
        <v>51</v>
      </c>
      <c r="D14" s="117" t="s">
        <v>52</v>
      </c>
    </row>
    <row r="15" spans="2:4" x14ac:dyDescent="0.25">
      <c r="B15" s="116">
        <v>4</v>
      </c>
      <c r="C15" s="117" t="s">
        <v>53</v>
      </c>
      <c r="D15" s="118">
        <v>1</v>
      </c>
    </row>
    <row r="16" spans="2:4" ht="110.25" customHeight="1" x14ac:dyDescent="0.25">
      <c r="B16" s="116">
        <v>5</v>
      </c>
      <c r="C16" s="119" t="s">
        <v>54</v>
      </c>
      <c r="D16" s="117" t="s">
        <v>438</v>
      </c>
    </row>
    <row r="17" spans="2:4" ht="78.75" customHeight="1" x14ac:dyDescent="0.25">
      <c r="B17" s="116">
        <v>6</v>
      </c>
      <c r="C17" s="119" t="s">
        <v>55</v>
      </c>
      <c r="D17" s="120">
        <f>D18+D19</f>
        <v>565.15120109999998</v>
      </c>
    </row>
    <row r="18" spans="2:4" x14ac:dyDescent="0.25">
      <c r="B18" s="121" t="s">
        <v>56</v>
      </c>
      <c r="C18" s="117" t="s">
        <v>57</v>
      </c>
      <c r="D18" s="120">
        <f>'Прил.2 Расч стоим'!F14</f>
        <v>305.51134499999995</v>
      </c>
    </row>
    <row r="19" spans="2:4" ht="15.75" customHeight="1" x14ac:dyDescent="0.25">
      <c r="B19" s="121" t="s">
        <v>58</v>
      </c>
      <c r="C19" s="117" t="s">
        <v>59</v>
      </c>
      <c r="D19" s="120">
        <f>'Прил.2 Расч стоим'!H14</f>
        <v>259.63985610000003</v>
      </c>
    </row>
    <row r="20" spans="2:4" ht="16.5" customHeight="1" x14ac:dyDescent="0.25">
      <c r="B20" s="121" t="s">
        <v>60</v>
      </c>
      <c r="C20" s="117" t="s">
        <v>61</v>
      </c>
      <c r="D20" s="120"/>
    </row>
    <row r="21" spans="2:4" ht="35.450000000000003" customHeight="1" x14ac:dyDescent="0.25">
      <c r="B21" s="121" t="s">
        <v>62</v>
      </c>
      <c r="C21" s="122" t="s">
        <v>63</v>
      </c>
      <c r="D21" s="120"/>
    </row>
    <row r="22" spans="2:4" x14ac:dyDescent="0.25">
      <c r="B22" s="116">
        <v>7</v>
      </c>
      <c r="C22" s="122" t="s">
        <v>64</v>
      </c>
      <c r="D22" s="116" t="s">
        <v>442</v>
      </c>
    </row>
    <row r="23" spans="2:4" ht="123" customHeight="1" x14ac:dyDescent="0.25">
      <c r="B23" s="116">
        <v>8</v>
      </c>
      <c r="C23" s="123" t="s">
        <v>65</v>
      </c>
      <c r="D23" s="120">
        <f>D17</f>
        <v>565.15120109999998</v>
      </c>
    </row>
    <row r="24" spans="2:4" ht="60.75" customHeight="1" x14ac:dyDescent="0.25">
      <c r="B24" s="116">
        <v>9</v>
      </c>
      <c r="C24" s="119" t="s">
        <v>66</v>
      </c>
      <c r="D24" s="120">
        <f>D17/D15</f>
        <v>565.15120109999998</v>
      </c>
    </row>
    <row r="25" spans="2:4" ht="118.5" customHeight="1" x14ac:dyDescent="0.25">
      <c r="B25" s="116">
        <v>10</v>
      </c>
      <c r="C25" s="117" t="s">
        <v>67</v>
      </c>
      <c r="D25" s="117"/>
    </row>
    <row r="26" spans="2:4" x14ac:dyDescent="0.25">
      <c r="B26" s="124"/>
      <c r="C26" s="125"/>
      <c r="D26" s="125"/>
    </row>
    <row r="27" spans="2:4" ht="37.5" customHeight="1" x14ac:dyDescent="0.25">
      <c r="B27" s="126"/>
    </row>
    <row r="28" spans="2:4" x14ac:dyDescent="0.25">
      <c r="B28" s="113" t="s">
        <v>68</v>
      </c>
    </row>
    <row r="29" spans="2:4" x14ac:dyDescent="0.25">
      <c r="B29" s="126" t="s">
        <v>69</v>
      </c>
    </row>
    <row r="31" spans="2:4" x14ac:dyDescent="0.25">
      <c r="B31" s="113" t="s">
        <v>70</v>
      </c>
    </row>
    <row r="32" spans="2:4" x14ac:dyDescent="0.25">
      <c r="B32" s="126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tabSelected="1" view="pageBreakPreview" topLeftCell="A4" zoomScale="70" zoomScaleNormal="70" workbookViewId="0">
      <selection activeCell="F11" sqref="F11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02" t="s">
        <v>72</v>
      </c>
      <c r="C3" s="202"/>
      <c r="D3" s="202"/>
      <c r="E3" s="202"/>
      <c r="F3" s="202"/>
      <c r="G3" s="202"/>
      <c r="H3" s="202"/>
      <c r="I3" s="202"/>
      <c r="J3" s="202"/>
      <c r="K3" s="126"/>
    </row>
    <row r="4" spans="2:12" x14ac:dyDescent="0.25">
      <c r="B4" s="203" t="s">
        <v>73</v>
      </c>
      <c r="C4" s="203"/>
      <c r="D4" s="203"/>
      <c r="E4" s="203"/>
      <c r="F4" s="203"/>
      <c r="G4" s="203"/>
      <c r="H4" s="203"/>
      <c r="I4" s="203"/>
      <c r="J4" s="203"/>
      <c r="K4" s="203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33" customHeight="1" x14ac:dyDescent="0.25">
      <c r="B6" s="207" t="s">
        <v>432</v>
      </c>
      <c r="C6" s="207"/>
      <c r="D6" s="207"/>
      <c r="E6" s="207"/>
      <c r="F6" s="207"/>
      <c r="G6" s="207"/>
      <c r="H6" s="207"/>
      <c r="I6" s="207"/>
      <c r="J6" s="207"/>
      <c r="K6" s="126"/>
      <c r="L6" s="127"/>
    </row>
    <row r="7" spans="2:12" x14ac:dyDescent="0.25">
      <c r="B7" s="205" t="s">
        <v>431</v>
      </c>
      <c r="C7" s="205"/>
      <c r="D7" s="205"/>
      <c r="E7" s="205"/>
      <c r="F7" s="205"/>
      <c r="G7" s="205"/>
      <c r="H7" s="205"/>
      <c r="I7" s="205"/>
      <c r="J7" s="205"/>
      <c r="K7" s="205"/>
      <c r="L7" s="127"/>
    </row>
    <row r="8" spans="2:12" x14ac:dyDescent="0.25">
      <c r="B8" s="115"/>
    </row>
    <row r="9" spans="2:12" ht="15.75" customHeight="1" x14ac:dyDescent="0.25">
      <c r="B9" s="208" t="s">
        <v>33</v>
      </c>
      <c r="C9" s="208" t="s">
        <v>74</v>
      </c>
      <c r="D9" s="208" t="s">
        <v>48</v>
      </c>
      <c r="E9" s="208"/>
      <c r="F9" s="208"/>
      <c r="G9" s="208"/>
      <c r="H9" s="208"/>
      <c r="I9" s="208"/>
      <c r="J9" s="208"/>
    </row>
    <row r="10" spans="2:12" ht="15.75" customHeight="1" x14ac:dyDescent="0.25">
      <c r="B10" s="208"/>
      <c r="C10" s="208"/>
      <c r="D10" s="208" t="s">
        <v>75</v>
      </c>
      <c r="E10" s="208" t="s">
        <v>76</v>
      </c>
      <c r="F10" s="208" t="s">
        <v>443</v>
      </c>
      <c r="G10" s="208"/>
      <c r="H10" s="208"/>
      <c r="I10" s="208"/>
      <c r="J10" s="208"/>
    </row>
    <row r="11" spans="2:12" ht="31.7" customHeight="1" x14ac:dyDescent="0.25">
      <c r="B11" s="208"/>
      <c r="C11" s="208"/>
      <c r="D11" s="208"/>
      <c r="E11" s="208"/>
      <c r="F11" s="116" t="s">
        <v>77</v>
      </c>
      <c r="G11" s="116" t="s">
        <v>78</v>
      </c>
      <c r="H11" s="116" t="s">
        <v>43</v>
      </c>
      <c r="I11" s="116" t="s">
        <v>79</v>
      </c>
      <c r="J11" s="116" t="s">
        <v>80</v>
      </c>
    </row>
    <row r="12" spans="2:12" ht="63" customHeight="1" x14ac:dyDescent="0.25">
      <c r="B12" s="182"/>
      <c r="C12" s="135" t="s">
        <v>440</v>
      </c>
      <c r="D12" s="189"/>
      <c r="E12" s="118"/>
      <c r="F12" s="209">
        <v>305.51134499999995</v>
      </c>
      <c r="G12" s="210"/>
      <c r="H12" s="130">
        <v>259.63985610000003</v>
      </c>
      <c r="I12" s="128"/>
      <c r="J12" s="129"/>
    </row>
    <row r="13" spans="2:12" ht="15.75" customHeight="1" x14ac:dyDescent="0.25">
      <c r="B13" s="206" t="s">
        <v>81</v>
      </c>
      <c r="C13" s="206"/>
      <c r="D13" s="206"/>
      <c r="E13" s="206"/>
      <c r="F13" s="211"/>
      <c r="G13" s="212"/>
      <c r="I13" s="131"/>
      <c r="J13" s="132">
        <f>SUM(F13:I13)</f>
        <v>0</v>
      </c>
    </row>
    <row r="14" spans="2:12" ht="28.5" customHeight="1" x14ac:dyDescent="0.25">
      <c r="B14" s="206" t="s">
        <v>439</v>
      </c>
      <c r="C14" s="206"/>
      <c r="D14" s="206"/>
      <c r="E14" s="206"/>
      <c r="F14" s="211">
        <f>F12</f>
        <v>305.51134499999995</v>
      </c>
      <c r="G14" s="212"/>
      <c r="H14" s="130">
        <f>H12</f>
        <v>259.63985610000003</v>
      </c>
      <c r="I14" s="131"/>
      <c r="J14" s="132">
        <f>SUM(F14:I14)</f>
        <v>565.15120109999998</v>
      </c>
    </row>
    <row r="15" spans="2:12" x14ac:dyDescent="0.25">
      <c r="B15" s="115"/>
    </row>
    <row r="18" spans="2:2" x14ac:dyDescent="0.25">
      <c r="B18" s="113" t="s">
        <v>68</v>
      </c>
    </row>
    <row r="19" spans="2:2" x14ac:dyDescent="0.25">
      <c r="B19" s="126" t="s">
        <v>69</v>
      </c>
    </row>
    <row r="21" spans="2:2" x14ac:dyDescent="0.25">
      <c r="B21" s="113" t="s">
        <v>70</v>
      </c>
    </row>
    <row r="22" spans="2:2" x14ac:dyDescent="0.25">
      <c r="B22" s="126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view="pageBreakPreview" topLeftCell="A15" zoomScale="70" zoomScaleSheetLayoutView="70" workbookViewId="0">
      <selection activeCell="D34" sqref="D34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3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2" spans="1:13" x14ac:dyDescent="0.25">
      <c r="A2" s="202" t="s">
        <v>82</v>
      </c>
      <c r="B2" s="202"/>
      <c r="C2" s="202"/>
      <c r="D2" s="202"/>
      <c r="E2" s="202"/>
      <c r="F2" s="202"/>
      <c r="G2" s="202"/>
      <c r="H2" s="202"/>
    </row>
    <row r="3" spans="1:13" x14ac:dyDescent="0.25">
      <c r="A3" s="203" t="s">
        <v>83</v>
      </c>
      <c r="B3" s="203"/>
      <c r="C3" s="203"/>
      <c r="D3" s="203"/>
      <c r="E3" s="203"/>
      <c r="F3" s="203"/>
      <c r="G3" s="203"/>
      <c r="H3" s="203"/>
    </row>
    <row r="4" spans="1:13" x14ac:dyDescent="0.25">
      <c r="A4" s="115"/>
    </row>
    <row r="5" spans="1:13" ht="30.75" customHeight="1" x14ac:dyDescent="0.25">
      <c r="A5" s="207" t="s">
        <v>433</v>
      </c>
      <c r="B5" s="207"/>
      <c r="C5" s="207"/>
      <c r="D5" s="207"/>
      <c r="E5" s="207"/>
      <c r="F5" s="207"/>
      <c r="G5" s="207"/>
      <c r="H5" s="207"/>
    </row>
    <row r="6" spans="1:13" x14ac:dyDescent="0.25">
      <c r="A6" s="134"/>
      <c r="B6" s="134"/>
      <c r="C6" s="134"/>
      <c r="D6" s="134"/>
      <c r="E6" s="114"/>
      <c r="F6" s="134"/>
      <c r="G6" s="134"/>
      <c r="H6" s="134"/>
    </row>
    <row r="7" spans="1:13" ht="38.25" customHeight="1" x14ac:dyDescent="0.25">
      <c r="A7" s="208" t="s">
        <v>84</v>
      </c>
      <c r="B7" s="208" t="s">
        <v>85</v>
      </c>
      <c r="C7" s="208" t="s">
        <v>86</v>
      </c>
      <c r="D7" s="208" t="s">
        <v>87</v>
      </c>
      <c r="E7" s="208" t="s">
        <v>88</v>
      </c>
      <c r="F7" s="208" t="s">
        <v>89</v>
      </c>
      <c r="G7" s="208" t="s">
        <v>90</v>
      </c>
      <c r="H7" s="208"/>
    </row>
    <row r="8" spans="1:13" ht="40.700000000000003" customHeight="1" x14ac:dyDescent="0.25">
      <c r="A8" s="208"/>
      <c r="B8" s="208"/>
      <c r="C8" s="208"/>
      <c r="D8" s="208"/>
      <c r="E8" s="208"/>
      <c r="F8" s="208"/>
      <c r="G8" s="116" t="s">
        <v>91</v>
      </c>
      <c r="H8" s="116" t="s">
        <v>92</v>
      </c>
    </row>
    <row r="9" spans="1:13" x14ac:dyDescent="0.25">
      <c r="A9" s="135">
        <v>1</v>
      </c>
      <c r="B9" s="135"/>
      <c r="C9" s="135">
        <v>2</v>
      </c>
      <c r="D9" s="135" t="s">
        <v>93</v>
      </c>
      <c r="E9" s="135">
        <v>4</v>
      </c>
      <c r="F9" s="135">
        <v>5</v>
      </c>
      <c r="G9" s="135">
        <v>6</v>
      </c>
      <c r="H9" s="135">
        <v>7</v>
      </c>
    </row>
    <row r="10" spans="1:13" s="137" customFormat="1" x14ac:dyDescent="0.25">
      <c r="A10" s="213" t="s">
        <v>94</v>
      </c>
      <c r="B10" s="214"/>
      <c r="C10" s="215"/>
      <c r="D10" s="215"/>
      <c r="E10" s="214"/>
      <c r="F10" s="136">
        <f>SUM(F11:F18)</f>
        <v>2108.5939919821594</v>
      </c>
      <c r="G10" s="136"/>
      <c r="H10" s="136">
        <f>SUM(H11:H18)</f>
        <v>20326.189999999999</v>
      </c>
      <c r="I10" s="113"/>
      <c r="J10" s="113"/>
      <c r="K10" s="113"/>
      <c r="L10" s="113"/>
      <c r="M10" s="113"/>
    </row>
    <row r="11" spans="1:13" x14ac:dyDescent="0.25">
      <c r="A11" s="138">
        <v>1</v>
      </c>
      <c r="B11" s="139" t="s">
        <v>95</v>
      </c>
      <c r="C11" s="140" t="s">
        <v>96</v>
      </c>
      <c r="D11" s="141" t="s">
        <v>97</v>
      </c>
      <c r="E11" s="142" t="s">
        <v>98</v>
      </c>
      <c r="F11" s="138">
        <v>1710.1010549633668</v>
      </c>
      <c r="G11" s="143">
        <v>9.6199999999999992</v>
      </c>
      <c r="H11" s="143">
        <f t="shared" ref="H11:H18" si="0">ROUND(F11*G11,2)</f>
        <v>16451.169999999998</v>
      </c>
    </row>
    <row r="12" spans="1:13" x14ac:dyDescent="0.25">
      <c r="A12" s="138">
        <v>2</v>
      </c>
      <c r="B12" s="139" t="s">
        <v>95</v>
      </c>
      <c r="C12" s="140" t="s">
        <v>99</v>
      </c>
      <c r="D12" s="141" t="s">
        <v>100</v>
      </c>
      <c r="E12" s="142" t="s">
        <v>98</v>
      </c>
      <c r="F12" s="194">
        <v>159.60917941014921</v>
      </c>
      <c r="G12" s="143">
        <v>9.4</v>
      </c>
      <c r="H12" s="143">
        <f t="shared" si="0"/>
        <v>1500.33</v>
      </c>
    </row>
    <row r="13" spans="1:13" x14ac:dyDescent="0.25">
      <c r="A13" s="138">
        <v>3</v>
      </c>
      <c r="B13" s="139" t="s">
        <v>95</v>
      </c>
      <c r="C13" s="140" t="s">
        <v>101</v>
      </c>
      <c r="D13" s="141" t="s">
        <v>102</v>
      </c>
      <c r="E13" s="142" t="s">
        <v>98</v>
      </c>
      <c r="F13" s="194">
        <v>90.85911541374719</v>
      </c>
      <c r="G13" s="143">
        <v>10.06</v>
      </c>
      <c r="H13" s="143">
        <f t="shared" si="0"/>
        <v>914.04</v>
      </c>
    </row>
    <row r="14" spans="1:13" x14ac:dyDescent="0.25">
      <c r="A14" s="138">
        <v>4</v>
      </c>
      <c r="B14" s="139" t="s">
        <v>95</v>
      </c>
      <c r="C14" s="140" t="s">
        <v>103</v>
      </c>
      <c r="D14" s="141" t="s">
        <v>104</v>
      </c>
      <c r="E14" s="142" t="s">
        <v>98</v>
      </c>
      <c r="F14" s="194">
        <v>56.219077662256069</v>
      </c>
      <c r="G14" s="143">
        <v>9.92</v>
      </c>
      <c r="H14" s="143">
        <f t="shared" si="0"/>
        <v>557.69000000000005</v>
      </c>
    </row>
    <row r="15" spans="1:13" x14ac:dyDescent="0.25">
      <c r="A15" s="138">
        <v>5</v>
      </c>
      <c r="B15" s="139" t="s">
        <v>95</v>
      </c>
      <c r="C15" s="140" t="s">
        <v>105</v>
      </c>
      <c r="D15" s="141" t="s">
        <v>106</v>
      </c>
      <c r="E15" s="142" t="s">
        <v>98</v>
      </c>
      <c r="F15" s="194">
        <v>37.857964755727991</v>
      </c>
      <c r="G15" s="143">
        <v>9.07</v>
      </c>
      <c r="H15" s="143">
        <f t="shared" si="0"/>
        <v>343.37</v>
      </c>
    </row>
    <row r="16" spans="1:13" x14ac:dyDescent="0.25">
      <c r="A16" s="138">
        <v>6</v>
      </c>
      <c r="B16" s="139" t="s">
        <v>95</v>
      </c>
      <c r="C16" s="140" t="s">
        <v>107</v>
      </c>
      <c r="D16" s="141" t="s">
        <v>108</v>
      </c>
      <c r="E16" s="142" t="s">
        <v>98</v>
      </c>
      <c r="F16" s="194">
        <v>27.257734624124154</v>
      </c>
      <c r="G16" s="143">
        <v>10.5</v>
      </c>
      <c r="H16" s="143">
        <f t="shared" si="0"/>
        <v>286.20999999999998</v>
      </c>
    </row>
    <row r="17" spans="1:13" x14ac:dyDescent="0.25">
      <c r="A17" s="138">
        <v>7</v>
      </c>
      <c r="B17" s="139" t="s">
        <v>95</v>
      </c>
      <c r="C17" s="140" t="s">
        <v>109</v>
      </c>
      <c r="D17" s="141" t="s">
        <v>110</v>
      </c>
      <c r="E17" s="142" t="s">
        <v>98</v>
      </c>
      <c r="F17" s="194">
        <v>20.443300968093116</v>
      </c>
      <c r="G17" s="143">
        <v>10.210000000000001</v>
      </c>
      <c r="H17" s="143">
        <f t="shared" si="0"/>
        <v>208.73</v>
      </c>
    </row>
    <row r="18" spans="1:13" x14ac:dyDescent="0.25">
      <c r="A18" s="138">
        <v>8</v>
      </c>
      <c r="B18" s="139" t="s">
        <v>95</v>
      </c>
      <c r="C18" s="140" t="s">
        <v>111</v>
      </c>
      <c r="D18" s="141" t="s">
        <v>112</v>
      </c>
      <c r="E18" s="142" t="s">
        <v>98</v>
      </c>
      <c r="F18" s="194">
        <v>6.2465641846951181</v>
      </c>
      <c r="G18" s="143">
        <v>10.35</v>
      </c>
      <c r="H18" s="143">
        <f t="shared" si="0"/>
        <v>64.650000000000006</v>
      </c>
    </row>
    <row r="19" spans="1:13" x14ac:dyDescent="0.25">
      <c r="A19" s="213" t="s">
        <v>113</v>
      </c>
      <c r="B19" s="214"/>
      <c r="C19" s="215"/>
      <c r="D19" s="215"/>
      <c r="E19" s="214"/>
      <c r="F19" s="183">
        <f>F20</f>
        <v>9.2482192630796707</v>
      </c>
      <c r="G19" s="136"/>
      <c r="H19" s="136">
        <f>H20</f>
        <v>61.5</v>
      </c>
    </row>
    <row r="20" spans="1:13" x14ac:dyDescent="0.25">
      <c r="A20" s="138">
        <v>9</v>
      </c>
      <c r="B20" s="138" t="s">
        <v>95</v>
      </c>
      <c r="C20" s="141">
        <v>2</v>
      </c>
      <c r="D20" s="141" t="s">
        <v>113</v>
      </c>
      <c r="E20" s="142" t="s">
        <v>98</v>
      </c>
      <c r="F20" s="138">
        <v>9.2482192630796707</v>
      </c>
      <c r="G20" s="143"/>
      <c r="H20" s="143">
        <v>61.5</v>
      </c>
    </row>
    <row r="21" spans="1:13" s="137" customFormat="1" x14ac:dyDescent="0.25">
      <c r="A21" s="213" t="s">
        <v>114</v>
      </c>
      <c r="B21" s="214"/>
      <c r="C21" s="215"/>
      <c r="D21" s="215"/>
      <c r="E21" s="214"/>
      <c r="F21" s="183"/>
      <c r="G21" s="136"/>
      <c r="H21" s="136">
        <f>SUM(H22:H25)</f>
        <v>999.28</v>
      </c>
      <c r="I21" s="113"/>
      <c r="J21" s="113"/>
      <c r="K21" s="113"/>
      <c r="L21" s="113"/>
      <c r="M21" s="113"/>
    </row>
    <row r="22" spans="1:13" ht="31.7" customHeight="1" x14ac:dyDescent="0.25">
      <c r="A22" s="138">
        <v>10</v>
      </c>
      <c r="B22" s="138" t="s">
        <v>95</v>
      </c>
      <c r="C22" s="141" t="s">
        <v>115</v>
      </c>
      <c r="D22" s="141" t="s">
        <v>116</v>
      </c>
      <c r="E22" s="142" t="s">
        <v>117</v>
      </c>
      <c r="F22" s="138">
        <v>4.6280698947913299</v>
      </c>
      <c r="G22" s="143">
        <v>115.4</v>
      </c>
      <c r="H22" s="143">
        <f>ROUND(F22*G22,2)</f>
        <v>534.08000000000004</v>
      </c>
    </row>
    <row r="23" spans="1:13" s="137" customFormat="1" ht="31.5" x14ac:dyDescent="0.25">
      <c r="A23" s="138">
        <v>11</v>
      </c>
      <c r="B23" s="138" t="s">
        <v>95</v>
      </c>
      <c r="C23" s="141" t="s">
        <v>118</v>
      </c>
      <c r="D23" s="141" t="s">
        <v>119</v>
      </c>
      <c r="E23" s="142" t="s">
        <v>117</v>
      </c>
      <c r="F23" s="138">
        <v>4.62810956996179</v>
      </c>
      <c r="G23" s="143">
        <v>65.709999999999994</v>
      </c>
      <c r="H23" s="143">
        <f>ROUND(F23*G23,2)</f>
        <v>304.11</v>
      </c>
      <c r="I23" s="113"/>
      <c r="J23" s="113"/>
      <c r="K23" s="113"/>
      <c r="L23" s="113"/>
      <c r="M23" s="113"/>
    </row>
    <row r="24" spans="1:13" s="137" customFormat="1" ht="31.7" customHeight="1" x14ac:dyDescent="0.25">
      <c r="A24" s="138">
        <v>12</v>
      </c>
      <c r="B24" s="138" t="s">
        <v>95</v>
      </c>
      <c r="C24" s="141" t="s">
        <v>120</v>
      </c>
      <c r="D24" s="141" t="s">
        <v>121</v>
      </c>
      <c r="E24" s="142" t="s">
        <v>117</v>
      </c>
      <c r="F24" s="138">
        <v>38.536058951905908</v>
      </c>
      <c r="G24" s="143">
        <v>3.28</v>
      </c>
      <c r="H24" s="143">
        <f>ROUND(F24*G24,2)</f>
        <v>126.4</v>
      </c>
      <c r="I24" s="113"/>
      <c r="J24" s="113"/>
      <c r="K24" s="113"/>
      <c r="L24" s="113"/>
      <c r="M24" s="113"/>
    </row>
    <row r="25" spans="1:13" s="137" customFormat="1" ht="31.7" customHeight="1" x14ac:dyDescent="0.25">
      <c r="A25" s="138">
        <v>13</v>
      </c>
      <c r="B25" s="138" t="s">
        <v>95</v>
      </c>
      <c r="C25" s="141" t="s">
        <v>122</v>
      </c>
      <c r="D25" s="141" t="s">
        <v>123</v>
      </c>
      <c r="E25" s="142" t="s">
        <v>117</v>
      </c>
      <c r="F25" s="194">
        <v>38.545353804322097</v>
      </c>
      <c r="G25" s="143">
        <v>0.9</v>
      </c>
      <c r="H25" s="143">
        <f>ROUND(F25*G25,2)</f>
        <v>34.69</v>
      </c>
      <c r="I25" s="113"/>
      <c r="J25" s="113"/>
      <c r="K25" s="113"/>
      <c r="L25" s="113"/>
      <c r="M25" s="113"/>
    </row>
    <row r="26" spans="1:13" x14ac:dyDescent="0.25">
      <c r="A26" s="213" t="s">
        <v>43</v>
      </c>
      <c r="B26" s="214"/>
      <c r="C26" s="215"/>
      <c r="D26" s="215"/>
      <c r="E26" s="214"/>
      <c r="F26" s="183"/>
      <c r="G26" s="136"/>
      <c r="H26" s="136">
        <f>SUM(H27:H39)</f>
        <v>56321.01</v>
      </c>
    </row>
    <row r="27" spans="1:13" s="137" customFormat="1" ht="31.7" customHeight="1" x14ac:dyDescent="0.25">
      <c r="A27" s="138">
        <v>14</v>
      </c>
      <c r="B27" s="138" t="s">
        <v>95</v>
      </c>
      <c r="C27" s="141" t="s">
        <v>124</v>
      </c>
      <c r="D27" s="141" t="s">
        <v>125</v>
      </c>
      <c r="E27" s="142" t="s">
        <v>126</v>
      </c>
      <c r="F27" s="138">
        <v>12</v>
      </c>
      <c r="G27" s="143">
        <v>1105.2</v>
      </c>
      <c r="H27" s="143">
        <f t="shared" ref="H27:H39" si="1">ROUND(F27*G27,2)</f>
        <v>13262.4</v>
      </c>
      <c r="I27" s="113"/>
      <c r="J27" s="113"/>
      <c r="K27" s="113"/>
      <c r="L27" s="113"/>
      <c r="M27" s="113"/>
    </row>
    <row r="28" spans="1:13" s="137" customFormat="1" ht="47.25" customHeight="1" x14ac:dyDescent="0.25">
      <c r="A28" s="138">
        <v>15</v>
      </c>
      <c r="B28" s="138" t="s">
        <v>95</v>
      </c>
      <c r="C28" s="141" t="s">
        <v>127</v>
      </c>
      <c r="D28" s="141" t="s">
        <v>128</v>
      </c>
      <c r="E28" s="142" t="s">
        <v>126</v>
      </c>
      <c r="F28" s="138">
        <v>74</v>
      </c>
      <c r="G28" s="143">
        <v>116.52</v>
      </c>
      <c r="H28" s="143">
        <f t="shared" si="1"/>
        <v>8622.48</v>
      </c>
      <c r="I28" s="113"/>
      <c r="J28" s="113"/>
      <c r="K28" s="113"/>
      <c r="L28" s="113"/>
      <c r="M28" s="113"/>
    </row>
    <row r="29" spans="1:13" s="137" customFormat="1" ht="63" customHeight="1" x14ac:dyDescent="0.25">
      <c r="A29" s="138">
        <v>16</v>
      </c>
      <c r="B29" s="138" t="s">
        <v>95</v>
      </c>
      <c r="C29" s="141" t="s">
        <v>129</v>
      </c>
      <c r="D29" s="141" t="s">
        <v>130</v>
      </c>
      <c r="E29" s="142" t="s">
        <v>131</v>
      </c>
      <c r="F29" s="138">
        <v>4</v>
      </c>
      <c r="G29" s="143">
        <v>2188.6</v>
      </c>
      <c r="H29" s="143">
        <f t="shared" si="1"/>
        <v>8754.4</v>
      </c>
      <c r="I29" s="113"/>
      <c r="J29" s="113"/>
      <c r="K29" s="113"/>
      <c r="L29" s="113"/>
      <c r="M29" s="113"/>
    </row>
    <row r="30" spans="1:13" s="137" customFormat="1" x14ac:dyDescent="0.25">
      <c r="A30" s="138">
        <v>17</v>
      </c>
      <c r="B30" s="138" t="s">
        <v>95</v>
      </c>
      <c r="C30" s="141" t="s">
        <v>132</v>
      </c>
      <c r="D30" s="141" t="s">
        <v>133</v>
      </c>
      <c r="E30" s="142" t="s">
        <v>131</v>
      </c>
      <c r="F30" s="138">
        <v>1.3</v>
      </c>
      <c r="G30" s="143">
        <v>3463.94</v>
      </c>
      <c r="H30" s="143">
        <f t="shared" si="1"/>
        <v>4503.12</v>
      </c>
      <c r="I30" s="113"/>
      <c r="J30" s="113"/>
      <c r="K30" s="113"/>
      <c r="L30" s="113"/>
      <c r="M30" s="113"/>
    </row>
    <row r="31" spans="1:13" s="137" customFormat="1" ht="31.7" customHeight="1" x14ac:dyDescent="0.25">
      <c r="A31" s="138">
        <v>18</v>
      </c>
      <c r="B31" s="138" t="s">
        <v>95</v>
      </c>
      <c r="C31" s="141" t="s">
        <v>134</v>
      </c>
      <c r="D31" s="141" t="s">
        <v>135</v>
      </c>
      <c r="E31" s="142" t="s">
        <v>126</v>
      </c>
      <c r="F31" s="138">
        <v>21</v>
      </c>
      <c r="G31" s="143">
        <v>187</v>
      </c>
      <c r="H31" s="143">
        <f t="shared" si="1"/>
        <v>3927</v>
      </c>
      <c r="I31" s="113"/>
      <c r="J31" s="113"/>
      <c r="K31" s="113"/>
      <c r="L31" s="113"/>
      <c r="M31" s="113"/>
    </row>
    <row r="32" spans="1:13" s="137" customFormat="1" x14ac:dyDescent="0.25">
      <c r="A32" s="138">
        <v>19</v>
      </c>
      <c r="B32" s="138" t="s">
        <v>95</v>
      </c>
      <c r="C32" s="141" t="s">
        <v>136</v>
      </c>
      <c r="D32" s="141" t="s">
        <v>137</v>
      </c>
      <c r="E32" s="142" t="s">
        <v>126</v>
      </c>
      <c r="F32" s="138">
        <v>90</v>
      </c>
      <c r="G32" s="143">
        <v>38.380000000000003</v>
      </c>
      <c r="H32" s="143">
        <f t="shared" si="1"/>
        <v>3454.2</v>
      </c>
      <c r="I32" s="113"/>
      <c r="J32" s="113"/>
      <c r="K32" s="113"/>
      <c r="L32" s="113"/>
      <c r="M32" s="113"/>
    </row>
    <row r="33" spans="1:13" s="137" customFormat="1" x14ac:dyDescent="0.25">
      <c r="A33" s="138">
        <v>20</v>
      </c>
      <c r="B33" s="138" t="s">
        <v>95</v>
      </c>
      <c r="C33" s="141" t="s">
        <v>138</v>
      </c>
      <c r="D33" s="141" t="s">
        <v>139</v>
      </c>
      <c r="E33" s="142" t="s">
        <v>126</v>
      </c>
      <c r="F33" s="138">
        <v>14</v>
      </c>
      <c r="G33" s="143">
        <v>243.85</v>
      </c>
      <c r="H33" s="143">
        <f t="shared" si="1"/>
        <v>3413.9</v>
      </c>
      <c r="I33" s="113"/>
      <c r="J33" s="113"/>
      <c r="K33" s="113"/>
      <c r="L33" s="113"/>
      <c r="M33" s="113"/>
    </row>
    <row r="34" spans="1:13" s="137" customFormat="1" ht="141.75" customHeight="1" x14ac:dyDescent="0.25">
      <c r="A34" s="138">
        <v>21</v>
      </c>
      <c r="B34" s="138" t="s">
        <v>95</v>
      </c>
      <c r="C34" s="141" t="s">
        <v>140</v>
      </c>
      <c r="D34" s="141" t="s">
        <v>141</v>
      </c>
      <c r="E34" s="142" t="s">
        <v>126</v>
      </c>
      <c r="F34" s="138">
        <v>4</v>
      </c>
      <c r="G34" s="143">
        <v>726.24</v>
      </c>
      <c r="H34" s="143">
        <f t="shared" si="1"/>
        <v>2904.96</v>
      </c>
      <c r="I34" s="113"/>
      <c r="J34" s="113"/>
      <c r="K34" s="113"/>
      <c r="L34" s="113"/>
      <c r="M34" s="113"/>
    </row>
    <row r="35" spans="1:13" s="137" customFormat="1" ht="31.7" customHeight="1" x14ac:dyDescent="0.25">
      <c r="A35" s="138">
        <v>22</v>
      </c>
      <c r="B35" s="138" t="s">
        <v>95</v>
      </c>
      <c r="C35" s="141" t="s">
        <v>142</v>
      </c>
      <c r="D35" s="141" t="s">
        <v>143</v>
      </c>
      <c r="E35" s="142" t="s">
        <v>126</v>
      </c>
      <c r="F35" s="138">
        <v>15</v>
      </c>
      <c r="G35" s="143">
        <v>175.63</v>
      </c>
      <c r="H35" s="143">
        <f t="shared" si="1"/>
        <v>2634.45</v>
      </c>
      <c r="I35" s="113"/>
      <c r="J35" s="113"/>
      <c r="K35" s="113"/>
      <c r="L35" s="113"/>
      <c r="M35" s="113"/>
    </row>
    <row r="36" spans="1:13" s="137" customFormat="1" ht="31.7" customHeight="1" x14ac:dyDescent="0.25">
      <c r="A36" s="138">
        <v>23</v>
      </c>
      <c r="B36" s="138" t="s">
        <v>95</v>
      </c>
      <c r="C36" s="141" t="s">
        <v>144</v>
      </c>
      <c r="D36" s="141" t="s">
        <v>145</v>
      </c>
      <c r="E36" s="142" t="s">
        <v>131</v>
      </c>
      <c r="F36" s="138">
        <v>5.5</v>
      </c>
      <c r="G36" s="143">
        <v>410.04</v>
      </c>
      <c r="H36" s="143">
        <f t="shared" si="1"/>
        <v>2255.2199999999998</v>
      </c>
      <c r="I36" s="113"/>
      <c r="J36" s="113"/>
      <c r="K36" s="113"/>
      <c r="L36" s="113"/>
      <c r="M36" s="113"/>
    </row>
    <row r="37" spans="1:13" s="137" customFormat="1" ht="63" customHeight="1" x14ac:dyDescent="0.25">
      <c r="A37" s="138">
        <v>24</v>
      </c>
      <c r="B37" s="138" t="s">
        <v>95</v>
      </c>
      <c r="C37" s="141" t="s">
        <v>146</v>
      </c>
      <c r="D37" s="141" t="s">
        <v>147</v>
      </c>
      <c r="E37" s="142" t="s">
        <v>126</v>
      </c>
      <c r="F37" s="138">
        <v>19</v>
      </c>
      <c r="G37" s="143">
        <v>68.819999999999993</v>
      </c>
      <c r="H37" s="143">
        <f t="shared" si="1"/>
        <v>1307.58</v>
      </c>
      <c r="I37" s="113"/>
      <c r="J37" s="113"/>
      <c r="K37" s="113"/>
      <c r="L37" s="113"/>
      <c r="M37" s="113"/>
    </row>
    <row r="38" spans="1:13" s="137" customFormat="1" ht="31.7" customHeight="1" x14ac:dyDescent="0.25">
      <c r="A38" s="138">
        <v>25</v>
      </c>
      <c r="B38" s="138" t="s">
        <v>95</v>
      </c>
      <c r="C38" s="141" t="s">
        <v>148</v>
      </c>
      <c r="D38" s="141" t="s">
        <v>149</v>
      </c>
      <c r="E38" s="142" t="s">
        <v>126</v>
      </c>
      <c r="F38" s="138">
        <v>2</v>
      </c>
      <c r="G38" s="143">
        <v>367.7</v>
      </c>
      <c r="H38" s="143">
        <f t="shared" si="1"/>
        <v>735.4</v>
      </c>
      <c r="I38" s="113"/>
      <c r="J38" s="113"/>
      <c r="K38" s="113"/>
      <c r="L38" s="113"/>
      <c r="M38" s="113"/>
    </row>
    <row r="39" spans="1:13" s="137" customFormat="1" ht="31.7" customHeight="1" x14ac:dyDescent="0.25">
      <c r="A39" s="138">
        <v>26</v>
      </c>
      <c r="B39" s="138" t="s">
        <v>95</v>
      </c>
      <c r="C39" s="141" t="s">
        <v>150</v>
      </c>
      <c r="D39" s="141" t="s">
        <v>151</v>
      </c>
      <c r="E39" s="142" t="s">
        <v>152</v>
      </c>
      <c r="F39" s="138">
        <v>0.1</v>
      </c>
      <c r="G39" s="143">
        <v>5459</v>
      </c>
      <c r="H39" s="143">
        <f t="shared" si="1"/>
        <v>545.9</v>
      </c>
      <c r="I39" s="113"/>
      <c r="J39" s="113"/>
      <c r="K39" s="113"/>
      <c r="L39" s="113"/>
      <c r="M39" s="113"/>
    </row>
    <row r="40" spans="1:13" x14ac:dyDescent="0.25">
      <c r="A40" s="213" t="s">
        <v>153</v>
      </c>
      <c r="B40" s="214"/>
      <c r="C40" s="215"/>
      <c r="D40" s="215"/>
      <c r="E40" s="214"/>
      <c r="F40" s="183"/>
      <c r="G40" s="136"/>
      <c r="H40" s="136">
        <f>SUM(H41:H55)</f>
        <v>16330.480000000001</v>
      </c>
    </row>
    <row r="41" spans="1:13" ht="31.7" customHeight="1" x14ac:dyDescent="0.25">
      <c r="A41" s="138">
        <v>27</v>
      </c>
      <c r="B41" s="138" t="s">
        <v>95</v>
      </c>
      <c r="C41" s="141" t="s">
        <v>154</v>
      </c>
      <c r="D41" s="141" t="s">
        <v>155</v>
      </c>
      <c r="E41" s="142" t="s">
        <v>156</v>
      </c>
      <c r="F41" s="138">
        <v>1.5112243272097454</v>
      </c>
      <c r="G41" s="143">
        <v>8018.05</v>
      </c>
      <c r="H41" s="143">
        <f t="shared" ref="H41:H55" si="2">ROUND(F41*G41,2)</f>
        <v>12117.07</v>
      </c>
    </row>
    <row r="42" spans="1:13" ht="31.7" customHeight="1" x14ac:dyDescent="0.25">
      <c r="A42" s="138">
        <v>28</v>
      </c>
      <c r="B42" s="138" t="s">
        <v>95</v>
      </c>
      <c r="C42" s="141" t="s">
        <v>157</v>
      </c>
      <c r="D42" s="141" t="s">
        <v>158</v>
      </c>
      <c r="E42" s="142" t="s">
        <v>152</v>
      </c>
      <c r="F42" s="138">
        <v>22.233887224277495</v>
      </c>
      <c r="G42" s="143">
        <v>83</v>
      </c>
      <c r="H42" s="143">
        <f t="shared" si="2"/>
        <v>1845.41</v>
      </c>
    </row>
    <row r="43" spans="1:13" ht="31.7" customHeight="1" x14ac:dyDescent="0.25">
      <c r="A43" s="138">
        <v>29</v>
      </c>
      <c r="B43" s="138" t="s">
        <v>95</v>
      </c>
      <c r="C43" s="141" t="s">
        <v>159</v>
      </c>
      <c r="D43" s="141" t="s">
        <v>160</v>
      </c>
      <c r="E43" s="142" t="s">
        <v>161</v>
      </c>
      <c r="F43" s="138">
        <v>8.9843145380293574E-3</v>
      </c>
      <c r="G43" s="143">
        <v>65750</v>
      </c>
      <c r="H43" s="143">
        <f t="shared" si="2"/>
        <v>590.72</v>
      </c>
    </row>
    <row r="44" spans="1:13" ht="31.7" customHeight="1" x14ac:dyDescent="0.25">
      <c r="A44" s="138">
        <v>30</v>
      </c>
      <c r="B44" s="138" t="s">
        <v>95</v>
      </c>
      <c r="C44" s="141" t="s">
        <v>162</v>
      </c>
      <c r="D44" s="141" t="s">
        <v>163</v>
      </c>
      <c r="E44" s="142" t="s">
        <v>161</v>
      </c>
      <c r="F44" s="138">
        <v>8.0283095906082541E-3</v>
      </c>
      <c r="G44" s="143">
        <v>68050</v>
      </c>
      <c r="H44" s="143">
        <f t="shared" si="2"/>
        <v>546.33000000000004</v>
      </c>
    </row>
    <row r="45" spans="1:13" ht="31.7" customHeight="1" x14ac:dyDescent="0.25">
      <c r="A45" s="138">
        <v>31</v>
      </c>
      <c r="B45" s="138" t="s">
        <v>95</v>
      </c>
      <c r="C45" s="141" t="s">
        <v>164</v>
      </c>
      <c r="D45" s="141" t="s">
        <v>165</v>
      </c>
      <c r="E45" s="142" t="s">
        <v>156</v>
      </c>
      <c r="F45" s="138">
        <v>9.445066167071306E-2</v>
      </c>
      <c r="G45" s="143">
        <v>5545.45</v>
      </c>
      <c r="H45" s="143">
        <f t="shared" si="2"/>
        <v>523.77</v>
      </c>
    </row>
    <row r="46" spans="1:13" ht="31.7" customHeight="1" x14ac:dyDescent="0.25">
      <c r="A46" s="138">
        <v>32</v>
      </c>
      <c r="B46" s="138" t="s">
        <v>95</v>
      </c>
      <c r="C46" s="141" t="s">
        <v>166</v>
      </c>
      <c r="D46" s="141" t="s">
        <v>167</v>
      </c>
      <c r="E46" s="142" t="s">
        <v>168</v>
      </c>
      <c r="F46" s="138">
        <v>403.70467618524589</v>
      </c>
      <c r="G46" s="143">
        <v>1</v>
      </c>
      <c r="H46" s="143">
        <f t="shared" si="2"/>
        <v>403.7</v>
      </c>
    </row>
    <row r="47" spans="1:13" x14ac:dyDescent="0.25">
      <c r="A47" s="138">
        <v>33</v>
      </c>
      <c r="B47" s="138" t="s">
        <v>95</v>
      </c>
      <c r="C47" s="141" t="s">
        <v>169</v>
      </c>
      <c r="D47" s="141" t="s">
        <v>170</v>
      </c>
      <c r="E47" s="142" t="s">
        <v>156</v>
      </c>
      <c r="F47" s="138">
        <v>9.4456722076140365E-2</v>
      </c>
      <c r="G47" s="143">
        <v>1819.3</v>
      </c>
      <c r="H47" s="143">
        <f t="shared" si="2"/>
        <v>171.85</v>
      </c>
    </row>
    <row r="48" spans="1:13" x14ac:dyDescent="0.25">
      <c r="A48" s="138">
        <v>34</v>
      </c>
      <c r="B48" s="138" t="s">
        <v>95</v>
      </c>
      <c r="C48" s="141" t="s">
        <v>171</v>
      </c>
      <c r="D48" s="141" t="s">
        <v>172</v>
      </c>
      <c r="E48" s="142" t="s">
        <v>152</v>
      </c>
      <c r="F48" s="138">
        <v>0.20779333854464951</v>
      </c>
      <c r="G48" s="143">
        <v>164</v>
      </c>
      <c r="H48" s="143">
        <f t="shared" si="2"/>
        <v>34.08</v>
      </c>
    </row>
    <row r="49" spans="1:10" ht="47.25" customHeight="1" x14ac:dyDescent="0.25">
      <c r="A49" s="138">
        <v>35</v>
      </c>
      <c r="B49" s="138" t="s">
        <v>95</v>
      </c>
      <c r="C49" s="141" t="s">
        <v>173</v>
      </c>
      <c r="D49" s="141" t="s">
        <v>174</v>
      </c>
      <c r="E49" s="142" t="s">
        <v>175</v>
      </c>
      <c r="F49" s="138">
        <v>0.28328274588380575</v>
      </c>
      <c r="G49" s="143">
        <v>91.29</v>
      </c>
      <c r="H49" s="143">
        <f t="shared" si="2"/>
        <v>25.86</v>
      </c>
    </row>
    <row r="50" spans="1:10" x14ac:dyDescent="0.25">
      <c r="A50" s="138">
        <v>36</v>
      </c>
      <c r="B50" s="138" t="s">
        <v>95</v>
      </c>
      <c r="C50" s="141" t="s">
        <v>176</v>
      </c>
      <c r="D50" s="141" t="s">
        <v>177</v>
      </c>
      <c r="E50" s="142" t="s">
        <v>175</v>
      </c>
      <c r="F50" s="138">
        <v>2.8336079041564761</v>
      </c>
      <c r="G50" s="143">
        <v>9.0399999999999991</v>
      </c>
      <c r="H50" s="143">
        <f t="shared" si="2"/>
        <v>25.62</v>
      </c>
    </row>
    <row r="51" spans="1:10" x14ac:dyDescent="0.25">
      <c r="A51" s="138">
        <v>37</v>
      </c>
      <c r="B51" s="138" t="s">
        <v>95</v>
      </c>
      <c r="C51" s="141" t="s">
        <v>178</v>
      </c>
      <c r="D51" s="141" t="s">
        <v>179</v>
      </c>
      <c r="E51" s="142" t="s">
        <v>175</v>
      </c>
      <c r="F51" s="138">
        <v>0.56997677274131398</v>
      </c>
      <c r="G51" s="143">
        <v>27.74</v>
      </c>
      <c r="H51" s="143">
        <f t="shared" si="2"/>
        <v>15.81</v>
      </c>
    </row>
    <row r="52" spans="1:10" x14ac:dyDescent="0.25">
      <c r="A52" s="138">
        <v>38</v>
      </c>
      <c r="B52" s="138" t="s">
        <v>95</v>
      </c>
      <c r="C52" s="141" t="s">
        <v>180</v>
      </c>
      <c r="D52" s="141" t="s">
        <v>181</v>
      </c>
      <c r="E52" s="142" t="s">
        <v>182</v>
      </c>
      <c r="F52" s="138">
        <v>1.5412281293654173</v>
      </c>
      <c r="G52" s="143">
        <v>6.9</v>
      </c>
      <c r="H52" s="143">
        <f t="shared" si="2"/>
        <v>10.63</v>
      </c>
    </row>
    <row r="53" spans="1:10" x14ac:dyDescent="0.25">
      <c r="A53" s="138">
        <v>39</v>
      </c>
      <c r="B53" s="138" t="s">
        <v>95</v>
      </c>
      <c r="C53" s="141" t="s">
        <v>183</v>
      </c>
      <c r="D53" s="141" t="s">
        <v>184</v>
      </c>
      <c r="E53" s="142" t="s">
        <v>161</v>
      </c>
      <c r="F53" s="138">
        <v>9.6299053508027332E-4</v>
      </c>
      <c r="G53" s="143">
        <v>7826.9</v>
      </c>
      <c r="H53" s="143">
        <f t="shared" si="2"/>
        <v>7.54</v>
      </c>
    </row>
    <row r="54" spans="1:10" x14ac:dyDescent="0.25">
      <c r="A54" s="138">
        <v>40</v>
      </c>
      <c r="B54" s="138" t="s">
        <v>95</v>
      </c>
      <c r="C54" s="141" t="s">
        <v>185</v>
      </c>
      <c r="D54" s="141" t="s">
        <v>186</v>
      </c>
      <c r="E54" s="142" t="s">
        <v>161</v>
      </c>
      <c r="F54" s="138">
        <v>9.8335767460438483E-3</v>
      </c>
      <c r="G54" s="143">
        <v>729.98</v>
      </c>
      <c r="H54" s="143">
        <f t="shared" si="2"/>
        <v>7.18</v>
      </c>
    </row>
    <row r="55" spans="1:10" x14ac:dyDescent="0.25">
      <c r="A55" s="138">
        <v>41</v>
      </c>
      <c r="B55" s="138" t="s">
        <v>95</v>
      </c>
      <c r="C55" s="141" t="s">
        <v>187</v>
      </c>
      <c r="D55" s="141" t="s">
        <v>188</v>
      </c>
      <c r="E55" s="142" t="s">
        <v>175</v>
      </c>
      <c r="F55" s="138">
        <v>0.16976909047671984</v>
      </c>
      <c r="G55" s="143">
        <v>28.93</v>
      </c>
      <c r="H55" s="143">
        <f t="shared" si="2"/>
        <v>4.91</v>
      </c>
      <c r="J55" s="112"/>
    </row>
    <row r="58" spans="1:10" x14ac:dyDescent="0.25">
      <c r="B58" s="113" t="s">
        <v>68</v>
      </c>
    </row>
    <row r="59" spans="1:10" x14ac:dyDescent="0.25">
      <c r="B59" s="126" t="s">
        <v>69</v>
      </c>
    </row>
    <row r="61" spans="1:10" x14ac:dyDescent="0.25">
      <c r="B61" s="113" t="s">
        <v>70</v>
      </c>
    </row>
    <row r="62" spans="1:10" x14ac:dyDescent="0.25">
      <c r="B62" s="126" t="s">
        <v>71</v>
      </c>
    </row>
  </sheetData>
  <mergeCells count="15">
    <mergeCell ref="A19:E19"/>
    <mergeCell ref="A40:E40"/>
    <mergeCell ref="A10:E10"/>
    <mergeCell ref="A21:E21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6:E26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0"/>
  <sheetViews>
    <sheetView view="pageBreakPreview" topLeftCell="A28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189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5" t="s">
        <v>190</v>
      </c>
      <c r="C5" s="195"/>
      <c r="D5" s="195"/>
      <c r="E5" s="195"/>
    </row>
    <row r="6" spans="2:5" x14ac:dyDescent="0.25">
      <c r="B6" s="145"/>
      <c r="C6" s="4"/>
      <c r="D6" s="4"/>
      <c r="E6" s="4"/>
    </row>
    <row r="7" spans="2:5" ht="25.5" customHeight="1" x14ac:dyDescent="0.25">
      <c r="B7" s="216" t="s">
        <v>430</v>
      </c>
      <c r="C7" s="216"/>
      <c r="D7" s="216"/>
      <c r="E7" s="216"/>
    </row>
    <row r="8" spans="2:5" x14ac:dyDescent="0.25">
      <c r="B8" s="217" t="s">
        <v>434</v>
      </c>
      <c r="C8" s="217"/>
      <c r="D8" s="217"/>
      <c r="E8" s="217"/>
    </row>
    <row r="9" spans="2:5" x14ac:dyDescent="0.25">
      <c r="B9" s="145"/>
      <c r="C9" s="4"/>
      <c r="D9" s="4"/>
      <c r="E9" s="4"/>
    </row>
    <row r="10" spans="2:5" ht="51" customHeight="1" x14ac:dyDescent="0.25">
      <c r="B10" s="2" t="s">
        <v>191</v>
      </c>
      <c r="C10" s="2" t="s">
        <v>192</v>
      </c>
      <c r="D10" s="2" t="s">
        <v>193</v>
      </c>
      <c r="E10" s="2" t="s">
        <v>194</v>
      </c>
    </row>
    <row r="11" spans="2:5" x14ac:dyDescent="0.25">
      <c r="B11" s="105" t="s">
        <v>195</v>
      </c>
      <c r="C11" s="106">
        <f>'Прил.5 Расчет СМР и ОБ'!J15</f>
        <v>937056.44</v>
      </c>
      <c r="D11" s="107">
        <f t="shared" ref="D11:D18" si="0">C11/$C$24</f>
        <v>0.39393463467624124</v>
      </c>
      <c r="E11" s="107">
        <f t="shared" ref="E11:E18" si="1">C11/$C$40</f>
        <v>0.29415877639554605</v>
      </c>
    </row>
    <row r="12" spans="2:5" x14ac:dyDescent="0.25">
      <c r="B12" s="105" t="s">
        <v>196</v>
      </c>
      <c r="C12" s="106">
        <f>'Прил.5 Расчет СМР и ОБ'!J23</f>
        <v>12992.970000000001</v>
      </c>
      <c r="D12" s="107">
        <f t="shared" si="0"/>
        <v>5.4621906128827875E-3</v>
      </c>
      <c r="E12" s="107">
        <f t="shared" si="1"/>
        <v>4.0787256709361487E-3</v>
      </c>
    </row>
    <row r="13" spans="2:5" x14ac:dyDescent="0.25">
      <c r="B13" s="105" t="s">
        <v>197</v>
      </c>
      <c r="C13" s="106">
        <f>'Прил.5 Расчет СМР и ОБ'!J25</f>
        <v>467.17</v>
      </c>
      <c r="D13" s="107">
        <f t="shared" si="0"/>
        <v>1.9639632729240902E-4</v>
      </c>
      <c r="E13" s="107">
        <f t="shared" si="1"/>
        <v>1.4665301864710226E-4</v>
      </c>
    </row>
    <row r="14" spans="2:5" x14ac:dyDescent="0.25">
      <c r="B14" s="105" t="s">
        <v>198</v>
      </c>
      <c r="C14" s="106">
        <f>C13+C12</f>
        <v>13460.140000000001</v>
      </c>
      <c r="D14" s="107">
        <f t="shared" si="0"/>
        <v>5.6585869401751965E-3</v>
      </c>
      <c r="E14" s="107">
        <f t="shared" si="1"/>
        <v>4.2253786895832509E-3</v>
      </c>
    </row>
    <row r="15" spans="2:5" x14ac:dyDescent="0.25">
      <c r="B15" s="105" t="s">
        <v>199</v>
      </c>
      <c r="C15" s="106">
        <f>'Прил.5 Расчет СМР и ОБ'!J17</f>
        <v>2723.88</v>
      </c>
      <c r="D15" s="107">
        <f t="shared" si="0"/>
        <v>1.1451078365161441E-3</v>
      </c>
      <c r="E15" s="107">
        <f t="shared" si="1"/>
        <v>8.5507465041091875E-4</v>
      </c>
    </row>
    <row r="16" spans="2:5" x14ac:dyDescent="0.25">
      <c r="B16" s="105" t="s">
        <v>200</v>
      </c>
      <c r="C16" s="106">
        <f>'Прил.5 Расчет СМР и ОБ'!J51</f>
        <v>117007.76</v>
      </c>
      <c r="D16" s="107">
        <f t="shared" si="0"/>
        <v>4.9189576232873775E-2</v>
      </c>
      <c r="E16" s="107">
        <f t="shared" si="1"/>
        <v>3.6730828625844265E-2</v>
      </c>
    </row>
    <row r="17" spans="2:6" x14ac:dyDescent="0.25">
      <c r="B17" s="105" t="s">
        <v>201</v>
      </c>
      <c r="C17" s="106">
        <f>'Прил.5 Расчет СМР и ОБ'!J64</f>
        <v>14289.29</v>
      </c>
      <c r="D17" s="107">
        <f t="shared" si="0"/>
        <v>6.0071581557380556E-3</v>
      </c>
      <c r="E17" s="107">
        <f t="shared" si="1"/>
        <v>4.4856637044841325E-3</v>
      </c>
    </row>
    <row r="18" spans="2:6" x14ac:dyDescent="0.25">
      <c r="B18" s="105" t="s">
        <v>202</v>
      </c>
      <c r="C18" s="106">
        <f>C17+C16</f>
        <v>131297.04999999999</v>
      </c>
      <c r="D18" s="107">
        <f t="shared" si="0"/>
        <v>5.5196734388611828E-2</v>
      </c>
      <c r="E18" s="107">
        <f t="shared" si="1"/>
        <v>4.1216492330328397E-2</v>
      </c>
    </row>
    <row r="19" spans="2:6" x14ac:dyDescent="0.25">
      <c r="B19" s="105" t="s">
        <v>203</v>
      </c>
      <c r="C19" s="106">
        <f>C18+C14+C11</f>
        <v>1081813.6299999999</v>
      </c>
      <c r="D19" s="107"/>
      <c r="E19" s="105"/>
    </row>
    <row r="20" spans="2:6" x14ac:dyDescent="0.25">
      <c r="B20" s="105" t="s">
        <v>204</v>
      </c>
      <c r="C20" s="106">
        <f>ROUND(C21*(C11+C15),2)</f>
        <v>441696.75</v>
      </c>
      <c r="D20" s="107">
        <f>C20/$C$24</f>
        <v>0.18568747881283762</v>
      </c>
      <c r="E20" s="107">
        <f>C20/$C$40</f>
        <v>0.13865650986603265</v>
      </c>
    </row>
    <row r="21" spans="2:6" x14ac:dyDescent="0.25">
      <c r="B21" s="105" t="s">
        <v>205</v>
      </c>
      <c r="C21" s="110">
        <v>0.47</v>
      </c>
      <c r="D21" s="107"/>
      <c r="E21" s="105"/>
    </row>
    <row r="22" spans="2:6" x14ac:dyDescent="0.25">
      <c r="B22" s="105" t="s">
        <v>206</v>
      </c>
      <c r="C22" s="106">
        <f>ROUND(C23*(C11+C15),2)</f>
        <v>855200.09</v>
      </c>
      <c r="D22" s="107">
        <f>C22/$C$24</f>
        <v>0.35952256518213421</v>
      </c>
      <c r="E22" s="107">
        <f>C22/$C$40</f>
        <v>0.2684626040751194</v>
      </c>
    </row>
    <row r="23" spans="2:6" x14ac:dyDescent="0.25">
      <c r="B23" s="105" t="s">
        <v>207</v>
      </c>
      <c r="C23" s="110">
        <v>0.91</v>
      </c>
      <c r="D23" s="107"/>
      <c r="E23" s="105"/>
    </row>
    <row r="24" spans="2:6" x14ac:dyDescent="0.25">
      <c r="B24" s="105" t="s">
        <v>208</v>
      </c>
      <c r="C24" s="106">
        <f>C19+C20+C22</f>
        <v>2378710.4699999997</v>
      </c>
      <c r="D24" s="107">
        <f>C24/$C$24</f>
        <v>1</v>
      </c>
      <c r="E24" s="107">
        <f>C24/$C$40</f>
        <v>0.74671976135660967</v>
      </c>
    </row>
    <row r="25" spans="2:6" ht="25.5" customHeight="1" x14ac:dyDescent="0.25">
      <c r="B25" s="105" t="s">
        <v>209</v>
      </c>
      <c r="C25" s="106">
        <f>'Прил.5 Расчет СМР и ОБ'!J44</f>
        <v>352569.83999999997</v>
      </c>
      <c r="D25" s="107"/>
      <c r="E25" s="107">
        <f>C25/$C$40</f>
        <v>0.11067797872279012</v>
      </c>
    </row>
    <row r="26" spans="2:6" ht="25.5" customHeight="1" x14ac:dyDescent="0.25">
      <c r="B26" s="105" t="s">
        <v>210</v>
      </c>
      <c r="C26" s="106">
        <f>'Прил.5 Расчет СМР и ОБ'!J45</f>
        <v>352569.52</v>
      </c>
      <c r="D26" s="107"/>
      <c r="E26" s="107">
        <f>C26/$C$40</f>
        <v>0.11067787826906672</v>
      </c>
    </row>
    <row r="27" spans="2:6" x14ac:dyDescent="0.25">
      <c r="B27" s="105" t="s">
        <v>211</v>
      </c>
      <c r="C27" s="109">
        <f>C24+C25</f>
        <v>2731280.3099999996</v>
      </c>
      <c r="D27" s="107"/>
      <c r="E27" s="107">
        <f>C27/$C$40</f>
        <v>0.85739774007939973</v>
      </c>
    </row>
    <row r="28" spans="2:6" ht="33" customHeight="1" x14ac:dyDescent="0.25">
      <c r="B28" s="105" t="s">
        <v>212</v>
      </c>
      <c r="C28" s="105"/>
      <c r="D28" s="105"/>
      <c r="E28" s="105"/>
      <c r="F28" s="108"/>
    </row>
    <row r="29" spans="2:6" ht="25.5" customHeight="1" x14ac:dyDescent="0.25">
      <c r="B29" s="105" t="s">
        <v>213</v>
      </c>
      <c r="C29" s="109">
        <f>ROUND(C24*3.9%,2)</f>
        <v>92769.71</v>
      </c>
      <c r="D29" s="105"/>
      <c r="E29" s="107">
        <f t="shared" ref="E29:E38" si="2">C29/$C$40</f>
        <v>2.9122071217150651E-2</v>
      </c>
    </row>
    <row r="30" spans="2:6" ht="38.25" customHeight="1" x14ac:dyDescent="0.25">
      <c r="B30" s="105" t="s">
        <v>214</v>
      </c>
      <c r="C30" s="190">
        <f>ROUND((C24+C29)*2.1%,2)</f>
        <v>51901.08</v>
      </c>
      <c r="D30" s="191"/>
      <c r="E30" s="107">
        <f t="shared" si="2"/>
        <v>1.6292677297439363E-2</v>
      </c>
      <c r="F30" s="108"/>
    </row>
    <row r="31" spans="2:6" x14ac:dyDescent="0.25">
      <c r="B31" s="105" t="s">
        <v>215</v>
      </c>
      <c r="C31" s="190">
        <v>158550</v>
      </c>
      <c r="D31" s="191"/>
      <c r="E31" s="107">
        <f t="shared" si="2"/>
        <v>4.9771680772519776E-2</v>
      </c>
    </row>
    <row r="32" spans="2:6" ht="25.5" customHeight="1" x14ac:dyDescent="0.25">
      <c r="B32" s="105" t="s">
        <v>216</v>
      </c>
      <c r="C32" s="109">
        <f>ROUND($C$27*0,2)</f>
        <v>0</v>
      </c>
      <c r="D32" s="191"/>
      <c r="E32" s="107">
        <f t="shared" si="2"/>
        <v>0</v>
      </c>
    </row>
    <row r="33" spans="2:11" ht="25.5" customHeight="1" x14ac:dyDescent="0.25">
      <c r="B33" s="105" t="s">
        <v>217</v>
      </c>
      <c r="C33" s="109">
        <f>ROUND($C$27*0,2)</f>
        <v>0</v>
      </c>
      <c r="D33" s="105"/>
      <c r="E33" s="107">
        <f t="shared" si="2"/>
        <v>0</v>
      </c>
    </row>
    <row r="34" spans="2:11" ht="51" customHeight="1" x14ac:dyDescent="0.25">
      <c r="B34" s="105" t="s">
        <v>218</v>
      </c>
      <c r="C34" s="109">
        <f>ROUND($C$27*0,2)</f>
        <v>0</v>
      </c>
      <c r="D34" s="105"/>
      <c r="E34" s="107">
        <f t="shared" si="2"/>
        <v>0</v>
      </c>
      <c r="G34" s="144"/>
    </row>
    <row r="35" spans="2:11" ht="76.7" customHeight="1" x14ac:dyDescent="0.25">
      <c r="B35" s="105" t="s">
        <v>219</v>
      </c>
      <c r="C35" s="109">
        <v>0</v>
      </c>
      <c r="D35" s="105"/>
      <c r="E35" s="107">
        <f t="shared" si="2"/>
        <v>0</v>
      </c>
    </row>
    <row r="36" spans="2:11" ht="25.5" customHeight="1" x14ac:dyDescent="0.25">
      <c r="B36" s="105" t="s">
        <v>220</v>
      </c>
      <c r="C36" s="109">
        <f>ROUND((C27+C32+C33+C34+C35+C29+C31+C30)*1.72%,2)</f>
        <v>52193.42</v>
      </c>
      <c r="D36" s="105"/>
      <c r="E36" s="107">
        <f t="shared" si="2"/>
        <v>1.6384448052135282E-2</v>
      </c>
      <c r="K36" s="108"/>
    </row>
    <row r="37" spans="2:11" x14ac:dyDescent="0.25">
      <c r="B37" s="105" t="s">
        <v>221</v>
      </c>
      <c r="C37" s="109">
        <f>ROUND((C27+C32+C33+C34+C35+C29+C31+C30)*0.2%,2)</f>
        <v>6069</v>
      </c>
      <c r="D37" s="105"/>
      <c r="E37" s="107">
        <f t="shared" si="2"/>
        <v>1.9051676481136709E-3</v>
      </c>
      <c r="K37" s="108"/>
    </row>
    <row r="38" spans="2:11" ht="38.25" customHeight="1" x14ac:dyDescent="0.25">
      <c r="B38" s="105" t="s">
        <v>222</v>
      </c>
      <c r="C38" s="106">
        <f>C27+C32+C33+C34+C35+C29+C31+C30+C36+C37</f>
        <v>3092763.5199999996</v>
      </c>
      <c r="D38" s="105"/>
      <c r="E38" s="107">
        <f t="shared" si="2"/>
        <v>0.97087378506675848</v>
      </c>
    </row>
    <row r="39" spans="2:11" ht="13.7" customHeight="1" x14ac:dyDescent="0.25">
      <c r="B39" s="105" t="s">
        <v>223</v>
      </c>
      <c r="C39" s="106">
        <f>ROUND(C38*3%,2)</f>
        <v>92782.91</v>
      </c>
      <c r="D39" s="105"/>
      <c r="E39" s="107">
        <f>C39/$C$38</f>
        <v>3.0000001422675865E-2</v>
      </c>
    </row>
    <row r="40" spans="2:11" x14ac:dyDescent="0.25">
      <c r="B40" s="105" t="s">
        <v>224</v>
      </c>
      <c r="C40" s="106">
        <f>C39+C38</f>
        <v>3185546.4299999997</v>
      </c>
      <c r="D40" s="105"/>
      <c r="E40" s="107">
        <f>C40/$C$40</f>
        <v>1</v>
      </c>
    </row>
    <row r="41" spans="2:11" x14ac:dyDescent="0.25">
      <c r="B41" s="105" t="s">
        <v>225</v>
      </c>
      <c r="C41" s="106">
        <f>C40/'Прил.5 Расчет СМР и ОБ'!E71</f>
        <v>3185546.4299999997</v>
      </c>
      <c r="D41" s="105"/>
      <c r="E41" s="105"/>
    </row>
    <row r="42" spans="2:11" x14ac:dyDescent="0.25">
      <c r="B42" s="111"/>
      <c r="C42" s="4"/>
      <c r="D42" s="4"/>
      <c r="E42" s="4"/>
    </row>
    <row r="43" spans="2:11" x14ac:dyDescent="0.25">
      <c r="B43" s="111" t="s">
        <v>226</v>
      </c>
      <c r="C43" s="4"/>
      <c r="D43" s="4"/>
      <c r="E43" s="4"/>
    </row>
    <row r="44" spans="2:11" x14ac:dyDescent="0.25">
      <c r="B44" s="111" t="s">
        <v>227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228</v>
      </c>
      <c r="C46" s="4"/>
      <c r="D46" s="4"/>
      <c r="E46" s="4"/>
    </row>
    <row r="47" spans="2:11" x14ac:dyDescent="0.25">
      <c r="B47" s="217" t="s">
        <v>229</v>
      </c>
      <c r="C47" s="21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view="pageBreakPreview" topLeftCell="A35" workbookViewId="0">
      <selection activeCell="K47" sqref="K1:L104857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8" t="s">
        <v>230</v>
      </c>
      <c r="I2" s="218"/>
      <c r="J2" s="21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5" t="s">
        <v>231</v>
      </c>
      <c r="B4" s="195"/>
      <c r="C4" s="195"/>
      <c r="D4" s="195"/>
      <c r="E4" s="195"/>
      <c r="F4" s="195"/>
      <c r="G4" s="195"/>
      <c r="H4" s="195"/>
      <c r="I4" s="195"/>
      <c r="J4" s="195"/>
    </row>
    <row r="5" spans="1:14" s="4" customFormat="1" ht="12.75" customHeight="1" x14ac:dyDescent="0.2">
      <c r="A5" s="185"/>
      <c r="B5" s="185"/>
      <c r="C5" s="28"/>
      <c r="D5" s="185"/>
      <c r="E5" s="185"/>
      <c r="F5" s="185"/>
      <c r="G5" s="185"/>
      <c r="H5" s="185"/>
      <c r="I5" s="185"/>
      <c r="J5" s="185"/>
    </row>
    <row r="6" spans="1:14" s="4" customFormat="1" ht="12.75" customHeight="1" x14ac:dyDescent="0.2">
      <c r="A6" s="146" t="s">
        <v>232</v>
      </c>
      <c r="B6" s="147"/>
      <c r="C6" s="147"/>
      <c r="D6" s="224" t="s">
        <v>435</v>
      </c>
      <c r="E6" s="224"/>
      <c r="F6" s="224"/>
      <c r="G6" s="224"/>
      <c r="H6" s="224"/>
      <c r="I6" s="224"/>
      <c r="J6" s="224"/>
    </row>
    <row r="7" spans="1:14" s="4" customFormat="1" ht="12.75" customHeight="1" x14ac:dyDescent="0.2">
      <c r="A7" s="198" t="s">
        <v>431</v>
      </c>
      <c r="B7" s="216"/>
      <c r="C7" s="216"/>
      <c r="D7" s="216"/>
      <c r="E7" s="216"/>
      <c r="F7" s="216"/>
      <c r="G7" s="216"/>
      <c r="H7" s="216"/>
      <c r="I7" s="42"/>
      <c r="J7" s="42"/>
    </row>
    <row r="8" spans="1:14" s="4" customFormat="1" ht="13.7" customHeight="1" x14ac:dyDescent="0.2">
      <c r="A8" s="198"/>
      <c r="B8" s="216"/>
      <c r="C8" s="216"/>
      <c r="D8" s="216"/>
      <c r="E8" s="216"/>
      <c r="F8" s="216"/>
      <c r="G8" s="216"/>
      <c r="H8" s="216"/>
    </row>
    <row r="9" spans="1:14" s="4" customFormat="1" ht="13.15" customHeight="1" x14ac:dyDescent="0.2"/>
    <row r="10" spans="1:14" ht="27" customHeight="1" x14ac:dyDescent="0.25">
      <c r="A10" s="221" t="s">
        <v>13</v>
      </c>
      <c r="B10" s="221" t="s">
        <v>86</v>
      </c>
      <c r="C10" s="221" t="s">
        <v>191</v>
      </c>
      <c r="D10" s="221" t="s">
        <v>88</v>
      </c>
      <c r="E10" s="222" t="s">
        <v>233</v>
      </c>
      <c r="F10" s="219" t="s">
        <v>90</v>
      </c>
      <c r="G10" s="220"/>
      <c r="H10" s="222" t="s">
        <v>234</v>
      </c>
      <c r="I10" s="219" t="s">
        <v>235</v>
      </c>
      <c r="J10" s="220"/>
      <c r="M10" s="12"/>
      <c r="N10" s="12"/>
    </row>
    <row r="11" spans="1:14" ht="28.5" customHeight="1" x14ac:dyDescent="0.25">
      <c r="A11" s="221"/>
      <c r="B11" s="221"/>
      <c r="C11" s="221"/>
      <c r="D11" s="221"/>
      <c r="E11" s="223"/>
      <c r="F11" s="2" t="s">
        <v>236</v>
      </c>
      <c r="G11" s="2" t="s">
        <v>92</v>
      </c>
      <c r="H11" s="223"/>
      <c r="I11" s="2" t="s">
        <v>236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4">
        <v>9</v>
      </c>
      <c r="J12" s="184">
        <v>10</v>
      </c>
      <c r="M12" s="12"/>
      <c r="N12" s="12"/>
    </row>
    <row r="13" spans="1:14" x14ac:dyDescent="0.25">
      <c r="A13" s="2"/>
      <c r="B13" s="229" t="s">
        <v>237</v>
      </c>
      <c r="C13" s="230"/>
      <c r="D13" s="221"/>
      <c r="E13" s="231"/>
      <c r="F13" s="232"/>
      <c r="G13" s="232"/>
      <c r="H13" s="233"/>
      <c r="I13" s="148"/>
      <c r="J13" s="148"/>
    </row>
    <row r="14" spans="1:14" ht="25.5" customHeight="1" x14ac:dyDescent="0.25">
      <c r="A14" s="2">
        <v>1</v>
      </c>
      <c r="B14" s="149" t="s">
        <v>96</v>
      </c>
      <c r="C14" s="8" t="s">
        <v>238</v>
      </c>
      <c r="D14" s="2" t="s">
        <v>239</v>
      </c>
      <c r="E14" s="150">
        <v>2108.5939919821599</v>
      </c>
      <c r="F14" s="26">
        <v>9.6199999999999992</v>
      </c>
      <c r="G14" s="26">
        <f>F14*E14</f>
        <v>20284.674202868377</v>
      </c>
      <c r="H14" s="151">
        <f>G14/$G$15</f>
        <v>1</v>
      </c>
      <c r="I14" s="26">
        <f>ФОТр.тек.!E13</f>
        <v>444.39870291576284</v>
      </c>
      <c r="J14" s="26">
        <f>ROUND(I14*E14,2)</f>
        <v>937056.44</v>
      </c>
    </row>
    <row r="15" spans="1:14" s="12" customFormat="1" ht="25.5" customHeight="1" x14ac:dyDescent="0.2">
      <c r="A15" s="2"/>
      <c r="B15" s="2"/>
      <c r="C15" s="158" t="s">
        <v>240</v>
      </c>
      <c r="D15" s="2" t="s">
        <v>239</v>
      </c>
      <c r="E15" s="150">
        <f>SUM(E14:E14)</f>
        <v>2108.5939919821599</v>
      </c>
      <c r="F15" s="26"/>
      <c r="G15" s="26">
        <f>SUM(G14:G14)</f>
        <v>20284.674202868377</v>
      </c>
      <c r="H15" s="187">
        <v>1</v>
      </c>
      <c r="I15" s="148"/>
      <c r="J15" s="26">
        <f>SUM(J14:J14)</f>
        <v>937056.44</v>
      </c>
    </row>
    <row r="16" spans="1:14" s="12" customFormat="1" ht="14.25" customHeight="1" x14ac:dyDescent="0.2">
      <c r="A16" s="2"/>
      <c r="B16" s="230" t="s">
        <v>113</v>
      </c>
      <c r="C16" s="230"/>
      <c r="D16" s="221"/>
      <c r="E16" s="231"/>
      <c r="F16" s="232"/>
      <c r="G16" s="232"/>
      <c r="H16" s="233"/>
      <c r="I16" s="148"/>
      <c r="J16" s="148"/>
    </row>
    <row r="17" spans="1:10" s="12" customFormat="1" ht="14.25" customHeight="1" x14ac:dyDescent="0.2">
      <c r="A17" s="2">
        <v>2</v>
      </c>
      <c r="B17" s="2">
        <v>2</v>
      </c>
      <c r="C17" s="8" t="s">
        <v>113</v>
      </c>
      <c r="D17" s="2" t="s">
        <v>239</v>
      </c>
      <c r="E17" s="150">
        <v>9.2482192630796707</v>
      </c>
      <c r="F17" s="26">
        <v>6.6499288404112091</v>
      </c>
      <c r="G17" s="26">
        <f>E17*F17</f>
        <v>61.5</v>
      </c>
      <c r="H17" s="187">
        <v>1</v>
      </c>
      <c r="I17" s="26">
        <f>ROUND(F17*'Прил. 10'!D11,2)</f>
        <v>294.52999999999997</v>
      </c>
      <c r="J17" s="26">
        <f>ROUND(I17*E17,2)</f>
        <v>2723.88</v>
      </c>
    </row>
    <row r="18" spans="1:10" s="12" customFormat="1" ht="14.25" customHeight="1" x14ac:dyDescent="0.2">
      <c r="A18" s="2"/>
      <c r="B18" s="229" t="s">
        <v>114</v>
      </c>
      <c r="C18" s="230"/>
      <c r="D18" s="221"/>
      <c r="E18" s="231"/>
      <c r="F18" s="232"/>
      <c r="G18" s="232"/>
      <c r="H18" s="233"/>
      <c r="I18" s="148"/>
      <c r="J18" s="148"/>
    </row>
    <row r="19" spans="1:10" s="12" customFormat="1" ht="14.25" customHeight="1" x14ac:dyDescent="0.2">
      <c r="A19" s="2"/>
      <c r="B19" s="230" t="s">
        <v>241</v>
      </c>
      <c r="C19" s="230"/>
      <c r="D19" s="221"/>
      <c r="E19" s="231"/>
      <c r="F19" s="232"/>
      <c r="G19" s="232"/>
      <c r="H19" s="233"/>
      <c r="I19" s="148"/>
      <c r="J19" s="148"/>
    </row>
    <row r="20" spans="1:10" s="12" customFormat="1" ht="25.5" customHeight="1" x14ac:dyDescent="0.2">
      <c r="A20" s="2">
        <v>3</v>
      </c>
      <c r="B20" s="149" t="s">
        <v>115</v>
      </c>
      <c r="C20" s="8" t="s">
        <v>116</v>
      </c>
      <c r="D20" s="2" t="s">
        <v>117</v>
      </c>
      <c r="E20" s="150">
        <v>4.6280698947913299</v>
      </c>
      <c r="F20" s="152">
        <v>115.4</v>
      </c>
      <c r="G20" s="26">
        <f>ROUND(E20*F20,2)</f>
        <v>534.08000000000004</v>
      </c>
      <c r="H20" s="151">
        <f>G20/$G$26</f>
        <v>0.53446481466655993</v>
      </c>
      <c r="I20" s="26">
        <f>ROUND(F20*'Прил. 10'!$D$12,2)</f>
        <v>1554.44</v>
      </c>
      <c r="J20" s="26">
        <f>ROUND(I20*E20,2)</f>
        <v>7194.06</v>
      </c>
    </row>
    <row r="21" spans="1:10" s="12" customFormat="1" ht="25.5" customHeight="1" x14ac:dyDescent="0.2">
      <c r="A21" s="2">
        <v>4</v>
      </c>
      <c r="B21" s="149" t="s">
        <v>118</v>
      </c>
      <c r="C21" s="8" t="s">
        <v>119</v>
      </c>
      <c r="D21" s="2" t="s">
        <v>117</v>
      </c>
      <c r="E21" s="150">
        <v>4.62810956996179</v>
      </c>
      <c r="F21" s="152">
        <v>65.709999999999994</v>
      </c>
      <c r="G21" s="26">
        <f>ROUND(E21*F21,2)</f>
        <v>304.11</v>
      </c>
      <c r="H21" s="151">
        <f>G21/$G$26</f>
        <v>0.30432911696421427</v>
      </c>
      <c r="I21" s="26">
        <f>ROUND(F21*'Прил. 10'!$D$12,2)</f>
        <v>885.11</v>
      </c>
      <c r="J21" s="26">
        <f>ROUND(I21*E21,2)</f>
        <v>4096.3900000000003</v>
      </c>
    </row>
    <row r="22" spans="1:10" s="12" customFormat="1" ht="25.5" customHeight="1" x14ac:dyDescent="0.2">
      <c r="A22" s="2">
        <v>5</v>
      </c>
      <c r="B22" s="149" t="s">
        <v>120</v>
      </c>
      <c r="C22" s="8" t="s">
        <v>121</v>
      </c>
      <c r="D22" s="2" t="s">
        <v>117</v>
      </c>
      <c r="E22" s="150">
        <v>38.536058951905908</v>
      </c>
      <c r="F22" s="152">
        <v>3.28</v>
      </c>
      <c r="G22" s="26">
        <f>ROUND(E22*F22,2)</f>
        <v>126.4</v>
      </c>
      <c r="H22" s="151">
        <f>G22/$G$26</f>
        <v>0.12649107357297254</v>
      </c>
      <c r="I22" s="26">
        <f>ROUND(F22*'Прил. 10'!$D$12,2)</f>
        <v>44.18</v>
      </c>
      <c r="J22" s="26">
        <f>ROUND(I22*E22,2)</f>
        <v>1702.52</v>
      </c>
    </row>
    <row r="23" spans="1:10" s="12" customFormat="1" ht="14.25" customHeight="1" x14ac:dyDescent="0.2">
      <c r="A23" s="2"/>
      <c r="B23" s="2"/>
      <c r="C23" s="8" t="s">
        <v>242</v>
      </c>
      <c r="D23" s="2"/>
      <c r="E23" s="150"/>
      <c r="F23" s="26"/>
      <c r="G23" s="26">
        <f>SUM(G20:G22)</f>
        <v>964.59</v>
      </c>
      <c r="H23" s="187">
        <f>G23/G26</f>
        <v>0.96528500520374672</v>
      </c>
      <c r="I23" s="153"/>
      <c r="J23" s="26">
        <f>SUM(J20:J22)</f>
        <v>12992.970000000001</v>
      </c>
    </row>
    <row r="24" spans="1:10" s="12" customFormat="1" ht="25.5" customHeight="1" outlineLevel="1" x14ac:dyDescent="0.2">
      <c r="A24" s="2">
        <v>6</v>
      </c>
      <c r="B24" s="149" t="s">
        <v>122</v>
      </c>
      <c r="C24" s="8" t="s">
        <v>123</v>
      </c>
      <c r="D24" s="2" t="s">
        <v>117</v>
      </c>
      <c r="E24" s="150">
        <v>38.545353804322062</v>
      </c>
      <c r="F24" s="152">
        <v>0.9</v>
      </c>
      <c r="G24" s="26">
        <f>ROUND(E24*F24,2)</f>
        <v>34.69</v>
      </c>
      <c r="H24" s="151">
        <f>G24/$G$26</f>
        <v>3.4714994796253298E-2</v>
      </c>
      <c r="I24" s="26">
        <f>ROUND(F24*'Прил. 10'!$D$12,2)</f>
        <v>12.12</v>
      </c>
      <c r="J24" s="26">
        <f>ROUND(I24*E24,2)</f>
        <v>467.17</v>
      </c>
    </row>
    <row r="25" spans="1:10" s="12" customFormat="1" ht="14.25" customHeight="1" x14ac:dyDescent="0.2">
      <c r="A25" s="2"/>
      <c r="B25" s="2"/>
      <c r="C25" s="8" t="s">
        <v>243</v>
      </c>
      <c r="D25" s="2"/>
      <c r="E25" s="186"/>
      <c r="F25" s="26"/>
      <c r="G25" s="153">
        <f>SUM(G24:G24)</f>
        <v>34.69</v>
      </c>
      <c r="H25" s="151">
        <f>G25/G26</f>
        <v>3.4714994796253298E-2</v>
      </c>
      <c r="I25" s="26"/>
      <c r="J25" s="26">
        <f>SUM(J24:J24)</f>
        <v>467.17</v>
      </c>
    </row>
    <row r="26" spans="1:10" s="12" customFormat="1" ht="25.5" customHeight="1" x14ac:dyDescent="0.2">
      <c r="A26" s="2"/>
      <c r="B26" s="2"/>
      <c r="C26" s="158" t="s">
        <v>244</v>
      </c>
      <c r="D26" s="2"/>
      <c r="E26" s="186"/>
      <c r="F26" s="26"/>
      <c r="G26" s="26">
        <f>G25+G23</f>
        <v>999.28</v>
      </c>
      <c r="H26" s="154">
        <v>1</v>
      </c>
      <c r="I26" s="155"/>
      <c r="J26" s="156">
        <f>J25+J23</f>
        <v>13460.140000000001</v>
      </c>
    </row>
    <row r="27" spans="1:10" s="12" customFormat="1" ht="14.25" customHeight="1" x14ac:dyDescent="0.2">
      <c r="A27" s="2"/>
      <c r="B27" s="229" t="s">
        <v>43</v>
      </c>
      <c r="C27" s="229"/>
      <c r="D27" s="234"/>
      <c r="E27" s="235"/>
      <c r="F27" s="236"/>
      <c r="G27" s="236"/>
      <c r="H27" s="237"/>
      <c r="I27" s="148"/>
      <c r="J27" s="148"/>
    </row>
    <row r="28" spans="1:10" x14ac:dyDescent="0.25">
      <c r="A28" s="2"/>
      <c r="B28" s="230" t="s">
        <v>245</v>
      </c>
      <c r="C28" s="230"/>
      <c r="D28" s="221"/>
      <c r="E28" s="231"/>
      <c r="F28" s="232"/>
      <c r="G28" s="232"/>
      <c r="H28" s="233"/>
      <c r="I28" s="148"/>
      <c r="J28" s="148"/>
    </row>
    <row r="29" spans="1:10" s="12" customFormat="1" ht="25.5" customHeight="1" x14ac:dyDescent="0.2">
      <c r="A29" s="2">
        <v>7</v>
      </c>
      <c r="B29" s="2" t="s">
        <v>124</v>
      </c>
      <c r="C29" s="8" t="s">
        <v>125</v>
      </c>
      <c r="D29" s="2" t="s">
        <v>126</v>
      </c>
      <c r="E29" s="157">
        <v>12</v>
      </c>
      <c r="F29" s="152">
        <v>1105.2</v>
      </c>
      <c r="G29" s="26">
        <f t="shared" ref="G29:G36" si="0">ROUND(E29*F29,2)</f>
        <v>13262.4</v>
      </c>
      <c r="H29" s="151">
        <f t="shared" ref="H29:H43" si="1">G29/$G$44</f>
        <v>0.23547873164916611</v>
      </c>
      <c r="I29" s="26">
        <f>ROUND(F29*'Прил. 10'!$D$14,2)</f>
        <v>6918.55</v>
      </c>
      <c r="J29" s="26">
        <f t="shared" ref="J29:J36" si="2">ROUND(I29*E29,2)</f>
        <v>83022.600000000006</v>
      </c>
    </row>
    <row r="30" spans="1:10" s="12" customFormat="1" ht="38.25" customHeight="1" x14ac:dyDescent="0.2">
      <c r="A30" s="2">
        <v>8</v>
      </c>
      <c r="B30" s="2" t="s">
        <v>127</v>
      </c>
      <c r="C30" s="8" t="s">
        <v>128</v>
      </c>
      <c r="D30" s="2" t="s">
        <v>126</v>
      </c>
      <c r="E30" s="157">
        <v>74</v>
      </c>
      <c r="F30" s="152">
        <v>116.52</v>
      </c>
      <c r="G30" s="26">
        <f t="shared" si="0"/>
        <v>8622.48</v>
      </c>
      <c r="H30" s="151">
        <f t="shared" si="1"/>
        <v>0.15309526586969943</v>
      </c>
      <c r="I30" s="26">
        <f>ROUND(F30*'Прил. 10'!$D$14,2)</f>
        <v>729.42</v>
      </c>
      <c r="J30" s="26">
        <f t="shared" si="2"/>
        <v>53977.08</v>
      </c>
    </row>
    <row r="31" spans="1:10" s="12" customFormat="1" ht="63.75" customHeight="1" x14ac:dyDescent="0.2">
      <c r="A31" s="2">
        <v>9</v>
      </c>
      <c r="B31" s="2" t="s">
        <v>129</v>
      </c>
      <c r="C31" s="8" t="s">
        <v>130</v>
      </c>
      <c r="D31" s="2" t="s">
        <v>131</v>
      </c>
      <c r="E31" s="157">
        <v>4</v>
      </c>
      <c r="F31" s="152">
        <v>2188.6</v>
      </c>
      <c r="G31" s="26">
        <f t="shared" si="0"/>
        <v>8754.4</v>
      </c>
      <c r="H31" s="151">
        <f t="shared" si="1"/>
        <v>0.15543755341035256</v>
      </c>
      <c r="I31" s="26">
        <f>ROUND(F31*'Прил. 10'!$D$14,2)</f>
        <v>13700.64</v>
      </c>
      <c r="J31" s="26">
        <f t="shared" si="2"/>
        <v>54802.559999999998</v>
      </c>
    </row>
    <row r="32" spans="1:10" s="12" customFormat="1" ht="14.25" customHeight="1" x14ac:dyDescent="0.2">
      <c r="A32" s="2">
        <v>10</v>
      </c>
      <c r="B32" s="2" t="s">
        <v>132</v>
      </c>
      <c r="C32" s="8" t="s">
        <v>133</v>
      </c>
      <c r="D32" s="2" t="s">
        <v>131</v>
      </c>
      <c r="E32" s="157">
        <v>1.3</v>
      </c>
      <c r="F32" s="152">
        <v>3463.94</v>
      </c>
      <c r="G32" s="26">
        <f t="shared" si="0"/>
        <v>4503.12</v>
      </c>
      <c r="H32" s="151">
        <f t="shared" si="1"/>
        <v>7.9954532065387329E-2</v>
      </c>
      <c r="I32" s="26">
        <f>ROUND(F32*'Прил. 10'!$D$14,2)</f>
        <v>21684.26</v>
      </c>
      <c r="J32" s="26">
        <f t="shared" si="2"/>
        <v>28189.54</v>
      </c>
    </row>
    <row r="33" spans="1:10" s="12" customFormat="1" ht="38.25" customHeight="1" x14ac:dyDescent="0.2">
      <c r="A33" s="2">
        <v>11</v>
      </c>
      <c r="B33" s="2" t="s">
        <v>134</v>
      </c>
      <c r="C33" s="8" t="s">
        <v>135</v>
      </c>
      <c r="D33" s="2" t="s">
        <v>126</v>
      </c>
      <c r="E33" s="157">
        <v>21</v>
      </c>
      <c r="F33" s="152">
        <v>187</v>
      </c>
      <c r="G33" s="26">
        <f t="shared" si="0"/>
        <v>3927</v>
      </c>
      <c r="H33" s="151">
        <f t="shared" si="1"/>
        <v>6.9725312099339132E-2</v>
      </c>
      <c r="I33" s="26">
        <f>ROUND(F33*'Прил. 10'!$D$14,2)</f>
        <v>1170.6199999999999</v>
      </c>
      <c r="J33" s="26">
        <f t="shared" si="2"/>
        <v>24583.02</v>
      </c>
    </row>
    <row r="34" spans="1:10" s="12" customFormat="1" ht="14.25" customHeight="1" x14ac:dyDescent="0.2">
      <c r="A34" s="2">
        <v>12</v>
      </c>
      <c r="B34" s="2" t="s">
        <v>136</v>
      </c>
      <c r="C34" s="8" t="s">
        <v>137</v>
      </c>
      <c r="D34" s="2" t="s">
        <v>126</v>
      </c>
      <c r="E34" s="157">
        <v>90</v>
      </c>
      <c r="F34" s="152">
        <v>38.380000000000003</v>
      </c>
      <c r="G34" s="26">
        <f t="shared" si="0"/>
        <v>3454.2</v>
      </c>
      <c r="H34" s="151">
        <f t="shared" si="1"/>
        <v>6.1330576280503493E-2</v>
      </c>
      <c r="I34" s="26">
        <f>ROUND(F34*'Прил. 10'!$D$14,2)</f>
        <v>240.26</v>
      </c>
      <c r="J34" s="26">
        <f t="shared" si="2"/>
        <v>21623.4</v>
      </c>
    </row>
    <row r="35" spans="1:10" s="12" customFormat="1" ht="25.5" customHeight="1" x14ac:dyDescent="0.2">
      <c r="A35" s="2">
        <v>13</v>
      </c>
      <c r="B35" s="2" t="s">
        <v>138</v>
      </c>
      <c r="C35" s="8" t="s">
        <v>139</v>
      </c>
      <c r="D35" s="2" t="s">
        <v>126</v>
      </c>
      <c r="E35" s="157">
        <v>14</v>
      </c>
      <c r="F35" s="152">
        <v>243.85</v>
      </c>
      <c r="G35" s="26">
        <f t="shared" si="0"/>
        <v>3413.9</v>
      </c>
      <c r="H35" s="151">
        <f t="shared" si="1"/>
        <v>6.0615035135200883E-2</v>
      </c>
      <c r="I35" s="26">
        <f>ROUND(F35*'Прил. 10'!$D$14,2)</f>
        <v>1526.5</v>
      </c>
      <c r="J35" s="26">
        <f t="shared" si="2"/>
        <v>21371</v>
      </c>
    </row>
    <row r="36" spans="1:10" s="12" customFormat="1" ht="140.25" customHeight="1" x14ac:dyDescent="0.2">
      <c r="A36" s="2">
        <v>14</v>
      </c>
      <c r="B36" s="2" t="s">
        <v>140</v>
      </c>
      <c r="C36" s="8" t="s">
        <v>141</v>
      </c>
      <c r="D36" s="2" t="s">
        <v>126</v>
      </c>
      <c r="E36" s="157">
        <v>4</v>
      </c>
      <c r="F36" s="152">
        <v>726.24</v>
      </c>
      <c r="G36" s="26">
        <f t="shared" si="0"/>
        <v>2904.96</v>
      </c>
      <c r="H36" s="151">
        <f t="shared" si="1"/>
        <v>5.1578620482835805E-2</v>
      </c>
      <c r="I36" s="26">
        <f>ROUND(F36*'Прил. 10'!$D$14,2)</f>
        <v>4546.26</v>
      </c>
      <c r="J36" s="26">
        <f t="shared" si="2"/>
        <v>18185.04</v>
      </c>
    </row>
    <row r="37" spans="1:10" x14ac:dyDescent="0.25">
      <c r="A37" s="2"/>
      <c r="B37" s="2"/>
      <c r="C37" s="8" t="s">
        <v>246</v>
      </c>
      <c r="D37" s="2"/>
      <c r="E37" s="150"/>
      <c r="F37" s="152"/>
      <c r="G37" s="26">
        <f>SUM(G29:G36)</f>
        <v>48842.46</v>
      </c>
      <c r="H37" s="151">
        <f t="shared" si="1"/>
        <v>0.86721562699248478</v>
      </c>
      <c r="I37" s="153"/>
      <c r="J37" s="26">
        <f>SUM(J29:J36)</f>
        <v>305754.23999999999</v>
      </c>
    </row>
    <row r="38" spans="1:10" s="12" customFormat="1" ht="25.5" customHeight="1" x14ac:dyDescent="0.2">
      <c r="A38" s="2">
        <v>15</v>
      </c>
      <c r="B38" s="2" t="s">
        <v>142</v>
      </c>
      <c r="C38" s="8" t="s">
        <v>143</v>
      </c>
      <c r="D38" s="2" t="s">
        <v>126</v>
      </c>
      <c r="E38" s="157">
        <v>15</v>
      </c>
      <c r="F38" s="152">
        <v>175.63</v>
      </c>
      <c r="G38" s="26">
        <f>ROUND(E38*F38,2)</f>
        <v>2634.45</v>
      </c>
      <c r="H38" s="151">
        <f t="shared" si="1"/>
        <v>4.6775617127604779E-2</v>
      </c>
      <c r="I38" s="26">
        <f>ROUND(F38*'Прил. 10'!$D$14,2)</f>
        <v>1099.44</v>
      </c>
      <c r="J38" s="26">
        <f>ROUND(I38*E38,2)</f>
        <v>16491.599999999999</v>
      </c>
    </row>
    <row r="39" spans="1:10" s="12" customFormat="1" ht="25.5" customHeight="1" x14ac:dyDescent="0.2">
      <c r="A39" s="2">
        <v>16</v>
      </c>
      <c r="B39" s="2" t="s">
        <v>144</v>
      </c>
      <c r="C39" s="8" t="s">
        <v>145</v>
      </c>
      <c r="D39" s="2" t="s">
        <v>131</v>
      </c>
      <c r="E39" s="157">
        <v>5.5</v>
      </c>
      <c r="F39" s="152">
        <v>410.04</v>
      </c>
      <c r="G39" s="26">
        <f>ROUND(E39*F39,2)</f>
        <v>2255.2199999999998</v>
      </c>
      <c r="H39" s="151">
        <f t="shared" si="1"/>
        <v>4.0042250662763325E-2</v>
      </c>
      <c r="I39" s="26">
        <f>ROUND(F39*'Прил. 10'!$D$14,2)</f>
        <v>2566.85</v>
      </c>
      <c r="J39" s="26">
        <f>ROUND(I39*E39,2)</f>
        <v>14117.68</v>
      </c>
    </row>
    <row r="40" spans="1:10" s="12" customFormat="1" ht="51" customHeight="1" x14ac:dyDescent="0.2">
      <c r="A40" s="2">
        <v>17</v>
      </c>
      <c r="B40" s="2" t="s">
        <v>146</v>
      </c>
      <c r="C40" s="8" t="s">
        <v>147</v>
      </c>
      <c r="D40" s="2" t="s">
        <v>126</v>
      </c>
      <c r="E40" s="157">
        <v>19</v>
      </c>
      <c r="F40" s="152">
        <v>68.819999999999993</v>
      </c>
      <c r="G40" s="26">
        <f>ROUND(E40*F40,2)</f>
        <v>1307.58</v>
      </c>
      <c r="H40" s="151">
        <f t="shared" si="1"/>
        <v>2.3216558083741751E-2</v>
      </c>
      <c r="I40" s="26">
        <f>ROUND(F40*'Прил. 10'!$D$14,2)</f>
        <v>430.81</v>
      </c>
      <c r="J40" s="26">
        <f>ROUND(I40*E40,2)</f>
        <v>8185.39</v>
      </c>
    </row>
    <row r="41" spans="1:10" s="12" customFormat="1" ht="25.5" customHeight="1" x14ac:dyDescent="0.2">
      <c r="A41" s="2">
        <v>18</v>
      </c>
      <c r="B41" s="2" t="s">
        <v>148</v>
      </c>
      <c r="C41" s="8" t="s">
        <v>149</v>
      </c>
      <c r="D41" s="2" t="s">
        <v>126</v>
      </c>
      <c r="E41" s="157">
        <v>2</v>
      </c>
      <c r="F41" s="152">
        <v>367.7</v>
      </c>
      <c r="G41" s="26">
        <f>ROUND(E41*F41,2)</f>
        <v>735.4</v>
      </c>
      <c r="H41" s="151">
        <f t="shared" si="1"/>
        <v>1.3057294249517189E-2</v>
      </c>
      <c r="I41" s="26">
        <f>ROUND(F41*'Прил. 10'!$D$14,2)</f>
        <v>2301.8000000000002</v>
      </c>
      <c r="J41" s="26">
        <f>ROUND(I41*E41,2)</f>
        <v>4603.6000000000004</v>
      </c>
    </row>
    <row r="42" spans="1:10" s="12" customFormat="1" ht="38.25" customHeight="1" x14ac:dyDescent="0.2">
      <c r="A42" s="2">
        <v>19</v>
      </c>
      <c r="B42" s="2" t="s">
        <v>150</v>
      </c>
      <c r="C42" s="8" t="s">
        <v>151</v>
      </c>
      <c r="D42" s="2" t="s">
        <v>152</v>
      </c>
      <c r="E42" s="157">
        <v>0.1</v>
      </c>
      <c r="F42" s="152">
        <v>5459</v>
      </c>
      <c r="G42" s="26">
        <f>ROUND(E42*F42,2)</f>
        <v>545.9</v>
      </c>
      <c r="H42" s="151">
        <f t="shared" si="1"/>
        <v>9.6926528838882694E-3</v>
      </c>
      <c r="I42" s="26">
        <f>ROUND(F42*'Прил. 10'!$D$14,2)</f>
        <v>34173.339999999997</v>
      </c>
      <c r="J42" s="26">
        <f>ROUND(I42*E42,2)</f>
        <v>3417.33</v>
      </c>
    </row>
    <row r="43" spans="1:10" x14ac:dyDescent="0.25">
      <c r="A43" s="2"/>
      <c r="B43" s="2"/>
      <c r="C43" s="8" t="s">
        <v>247</v>
      </c>
      <c r="D43" s="2"/>
      <c r="E43" s="150"/>
      <c r="F43" s="152"/>
      <c r="G43" s="26">
        <f>SUM(G38:G42)</f>
        <v>7478.5499999999993</v>
      </c>
      <c r="H43" s="151">
        <f t="shared" si="1"/>
        <v>0.13278437300751531</v>
      </c>
      <c r="I43" s="153"/>
      <c r="J43" s="26">
        <f>SUM(J38:J42)</f>
        <v>46815.6</v>
      </c>
    </row>
    <row r="44" spans="1:10" x14ac:dyDescent="0.25">
      <c r="A44" s="2"/>
      <c r="B44" s="2"/>
      <c r="C44" s="158" t="s">
        <v>248</v>
      </c>
      <c r="D44" s="2"/>
      <c r="E44" s="186"/>
      <c r="F44" s="152"/>
      <c r="G44" s="26">
        <f>G37+G43</f>
        <v>56321.009999999995</v>
      </c>
      <c r="H44" s="187">
        <f>H37+H43</f>
        <v>1</v>
      </c>
      <c r="I44" s="153"/>
      <c r="J44" s="26">
        <f>J37+J43</f>
        <v>352569.83999999997</v>
      </c>
    </row>
    <row r="45" spans="1:10" ht="25.5" customHeight="1" x14ac:dyDescent="0.25">
      <c r="A45" s="2"/>
      <c r="B45" s="2"/>
      <c r="C45" s="8" t="s">
        <v>249</v>
      </c>
      <c r="D45" s="2"/>
      <c r="E45" s="157"/>
      <c r="F45" s="152"/>
      <c r="G45" s="26">
        <f>'Прил.6 Расчет ОБ'!G25</f>
        <v>56321.01</v>
      </c>
      <c r="H45" s="187"/>
      <c r="I45" s="153"/>
      <c r="J45" s="26">
        <f>ROUND(G45*'Прил. 10'!D14,2)</f>
        <v>352569.52</v>
      </c>
    </row>
    <row r="46" spans="1:10" s="12" customFormat="1" ht="14.25" customHeight="1" x14ac:dyDescent="0.2">
      <c r="A46" s="2"/>
      <c r="B46" s="229" t="s">
        <v>153</v>
      </c>
      <c r="C46" s="229"/>
      <c r="D46" s="234"/>
      <c r="E46" s="235"/>
      <c r="F46" s="236"/>
      <c r="G46" s="236"/>
      <c r="H46" s="237"/>
      <c r="I46" s="148"/>
      <c r="J46" s="148"/>
    </row>
    <row r="47" spans="1:10" s="12" customFormat="1" ht="14.25" customHeight="1" x14ac:dyDescent="0.2">
      <c r="A47" s="184"/>
      <c r="B47" s="225" t="s">
        <v>250</v>
      </c>
      <c r="C47" s="225"/>
      <c r="D47" s="222"/>
      <c r="E47" s="226"/>
      <c r="F47" s="227"/>
      <c r="G47" s="227"/>
      <c r="H47" s="228"/>
      <c r="I47" s="159"/>
      <c r="J47" s="159"/>
    </row>
    <row r="48" spans="1:10" s="12" customFormat="1" ht="25.5" customHeight="1" x14ac:dyDescent="0.2">
      <c r="A48" s="2">
        <v>20</v>
      </c>
      <c r="B48" s="2" t="s">
        <v>154</v>
      </c>
      <c r="C48" s="8" t="s">
        <v>155</v>
      </c>
      <c r="D48" s="2" t="s">
        <v>156</v>
      </c>
      <c r="E48" s="157">
        <v>1.5112243272097454</v>
      </c>
      <c r="F48" s="152">
        <v>8018.05</v>
      </c>
      <c r="G48" s="26">
        <f>ROUND(E48*F48,2)</f>
        <v>12117.07</v>
      </c>
      <c r="H48" s="151">
        <f t="shared" ref="H48:H65" si="3">G48/$G$65</f>
        <v>0.74199104986503761</v>
      </c>
      <c r="I48" s="26">
        <f>ROUND(F48*'Прил. 10'!$D$13,2)</f>
        <v>64465.120000000003</v>
      </c>
      <c r="J48" s="26">
        <f>ROUND(I48*E48,2)</f>
        <v>97421.26</v>
      </c>
    </row>
    <row r="49" spans="1:10" s="12" customFormat="1" ht="25.5" customHeight="1" x14ac:dyDescent="0.2">
      <c r="A49" s="2">
        <v>21</v>
      </c>
      <c r="B49" s="2" t="s">
        <v>157</v>
      </c>
      <c r="C49" s="8" t="s">
        <v>158</v>
      </c>
      <c r="D49" s="2" t="s">
        <v>152</v>
      </c>
      <c r="E49" s="157">
        <v>22.233887224277495</v>
      </c>
      <c r="F49" s="152">
        <v>83</v>
      </c>
      <c r="G49" s="26">
        <f>ROUND(E49*F49,2)</f>
        <v>1845.41</v>
      </c>
      <c r="H49" s="151">
        <f t="shared" si="3"/>
        <v>0.11300402682591082</v>
      </c>
      <c r="I49" s="26">
        <f>ROUND(F49*'Прил. 10'!$D$13,2)</f>
        <v>667.32</v>
      </c>
      <c r="J49" s="26">
        <f>ROUND(I49*E49,2)</f>
        <v>14837.12</v>
      </c>
    </row>
    <row r="50" spans="1:10" s="12" customFormat="1" ht="25.5" customHeight="1" x14ac:dyDescent="0.2">
      <c r="A50" s="2">
        <v>22</v>
      </c>
      <c r="B50" s="2" t="s">
        <v>159</v>
      </c>
      <c r="C50" s="8" t="s">
        <v>160</v>
      </c>
      <c r="D50" s="2" t="s">
        <v>161</v>
      </c>
      <c r="E50" s="157">
        <v>8.9843145380293574E-3</v>
      </c>
      <c r="F50" s="152">
        <v>65750</v>
      </c>
      <c r="G50" s="26">
        <f>ROUND(E50*F50,2)</f>
        <v>590.72</v>
      </c>
      <c r="H50" s="151">
        <f t="shared" si="3"/>
        <v>3.6172849787636373E-2</v>
      </c>
      <c r="I50" s="26">
        <f>ROUND(F50*'Прил. 10'!$D$13,2)</f>
        <v>528630</v>
      </c>
      <c r="J50" s="26">
        <f>ROUND(I50*E50,2)</f>
        <v>4749.38</v>
      </c>
    </row>
    <row r="51" spans="1:10" s="12" customFormat="1" ht="14.25" customHeight="1" x14ac:dyDescent="0.2">
      <c r="A51" s="160"/>
      <c r="B51" s="161"/>
      <c r="C51" s="162" t="s">
        <v>251</v>
      </c>
      <c r="D51" s="160"/>
      <c r="E51" s="163"/>
      <c r="F51" s="156"/>
      <c r="G51" s="156">
        <f>SUM(G48:G50)</f>
        <v>14553.199999999999</v>
      </c>
      <c r="H51" s="151">
        <f t="shared" si="3"/>
        <v>0.89116792647858478</v>
      </c>
      <c r="I51" s="26"/>
      <c r="J51" s="156">
        <f>SUM(J48:J50)</f>
        <v>117007.76</v>
      </c>
    </row>
    <row r="52" spans="1:10" s="12" customFormat="1" ht="25.5" customHeight="1" outlineLevel="1" x14ac:dyDescent="0.2">
      <c r="A52" s="2">
        <v>23</v>
      </c>
      <c r="B52" s="2" t="s">
        <v>162</v>
      </c>
      <c r="C52" s="8" t="s">
        <v>163</v>
      </c>
      <c r="D52" s="2" t="s">
        <v>161</v>
      </c>
      <c r="E52" s="157">
        <v>8.0283095906082541E-3</v>
      </c>
      <c r="F52" s="152">
        <v>68050</v>
      </c>
      <c r="G52" s="26">
        <f t="shared" ref="G52:G63" si="4">ROUND(E52*F52,2)</f>
        <v>546.33000000000004</v>
      </c>
      <c r="H52" s="151">
        <f t="shared" si="3"/>
        <v>3.3454619827463741E-2</v>
      </c>
      <c r="I52" s="26">
        <f>ROUND(F52*'Прил. 10'!$D$13,2)</f>
        <v>547122</v>
      </c>
      <c r="J52" s="26">
        <f t="shared" ref="J52:J63" si="5">ROUND(I52*E52,2)</f>
        <v>4392.46</v>
      </c>
    </row>
    <row r="53" spans="1:10" s="12" customFormat="1" ht="25.5" customHeight="1" outlineLevel="1" x14ac:dyDescent="0.2">
      <c r="A53" s="2">
        <v>24</v>
      </c>
      <c r="B53" s="2" t="s">
        <v>164</v>
      </c>
      <c r="C53" s="8" t="s">
        <v>165</v>
      </c>
      <c r="D53" s="2" t="s">
        <v>156</v>
      </c>
      <c r="E53" s="157">
        <v>9.445066167071306E-2</v>
      </c>
      <c r="F53" s="152">
        <v>5545.45</v>
      </c>
      <c r="G53" s="26">
        <f t="shared" si="4"/>
        <v>523.77</v>
      </c>
      <c r="H53" s="151">
        <f t="shared" si="3"/>
        <v>3.2073154004046422E-2</v>
      </c>
      <c r="I53" s="26">
        <f>ROUND(F53*'Прил. 10'!$D$13,2)</f>
        <v>44585.42</v>
      </c>
      <c r="J53" s="26">
        <f t="shared" si="5"/>
        <v>4211.12</v>
      </c>
    </row>
    <row r="54" spans="1:10" s="12" customFormat="1" ht="25.5" customHeight="1" outlineLevel="1" x14ac:dyDescent="0.2">
      <c r="A54" s="2">
        <v>25</v>
      </c>
      <c r="B54" s="2" t="s">
        <v>166</v>
      </c>
      <c r="C54" s="8" t="s">
        <v>167</v>
      </c>
      <c r="D54" s="2" t="s">
        <v>168</v>
      </c>
      <c r="E54" s="157">
        <v>403.70467618524589</v>
      </c>
      <c r="F54" s="152">
        <v>1</v>
      </c>
      <c r="G54" s="26">
        <f t="shared" si="4"/>
        <v>403.7</v>
      </c>
      <c r="H54" s="151">
        <f t="shared" si="3"/>
        <v>2.4720645075956126E-2</v>
      </c>
      <c r="I54" s="26">
        <f>ROUND(F54*'Прил. 10'!$D$13,2)</f>
        <v>8.0399999999999991</v>
      </c>
      <c r="J54" s="26">
        <f t="shared" si="5"/>
        <v>3245.79</v>
      </c>
    </row>
    <row r="55" spans="1:10" s="12" customFormat="1" ht="14.25" customHeight="1" outlineLevel="1" x14ac:dyDescent="0.2">
      <c r="A55" s="2">
        <v>26</v>
      </c>
      <c r="B55" s="2" t="s">
        <v>169</v>
      </c>
      <c r="C55" s="8" t="s">
        <v>170</v>
      </c>
      <c r="D55" s="2" t="s">
        <v>156</v>
      </c>
      <c r="E55" s="157">
        <v>9.4456722076140365E-2</v>
      </c>
      <c r="F55" s="152">
        <v>1819.3</v>
      </c>
      <c r="G55" s="26">
        <f t="shared" si="4"/>
        <v>171.85</v>
      </c>
      <c r="H55" s="151">
        <f t="shared" si="3"/>
        <v>1.0523266921731634E-2</v>
      </c>
      <c r="I55" s="26">
        <f>ROUND(F55*'Прил. 10'!$D$13,2)</f>
        <v>14627.17</v>
      </c>
      <c r="J55" s="26">
        <f t="shared" si="5"/>
        <v>1381.63</v>
      </c>
    </row>
    <row r="56" spans="1:10" s="12" customFormat="1" ht="14.25" customHeight="1" outlineLevel="1" x14ac:dyDescent="0.2">
      <c r="A56" s="2">
        <v>27</v>
      </c>
      <c r="B56" s="2" t="s">
        <v>171</v>
      </c>
      <c r="C56" s="8" t="s">
        <v>172</v>
      </c>
      <c r="D56" s="2" t="s">
        <v>152</v>
      </c>
      <c r="E56" s="157">
        <v>0.20779333854464951</v>
      </c>
      <c r="F56" s="152">
        <v>164</v>
      </c>
      <c r="G56" s="26">
        <f t="shared" si="4"/>
        <v>34.08</v>
      </c>
      <c r="H56" s="151">
        <f t="shared" si="3"/>
        <v>2.0868951800559446E-3</v>
      </c>
      <c r="I56" s="26">
        <f>ROUND(F56*'Прил. 10'!$D$13,2)</f>
        <v>1318.56</v>
      </c>
      <c r="J56" s="26">
        <f t="shared" si="5"/>
        <v>273.99</v>
      </c>
    </row>
    <row r="57" spans="1:10" s="12" customFormat="1" ht="38.25" customHeight="1" outlineLevel="1" x14ac:dyDescent="0.2">
      <c r="A57" s="2">
        <v>28</v>
      </c>
      <c r="B57" s="2" t="s">
        <v>173</v>
      </c>
      <c r="C57" s="8" t="s">
        <v>174</v>
      </c>
      <c r="D57" s="2" t="s">
        <v>175</v>
      </c>
      <c r="E57" s="157">
        <v>0.28328274588380575</v>
      </c>
      <c r="F57" s="152">
        <v>91.29</v>
      </c>
      <c r="G57" s="26">
        <f t="shared" si="4"/>
        <v>25.86</v>
      </c>
      <c r="H57" s="151">
        <f t="shared" si="3"/>
        <v>1.5835419412044227E-3</v>
      </c>
      <c r="I57" s="26">
        <f>ROUND(F57*'Прил. 10'!$D$13,2)</f>
        <v>733.97</v>
      </c>
      <c r="J57" s="26">
        <f t="shared" si="5"/>
        <v>207.92</v>
      </c>
    </row>
    <row r="58" spans="1:10" s="12" customFormat="1" ht="14.25" customHeight="1" outlineLevel="1" x14ac:dyDescent="0.2">
      <c r="A58" s="2">
        <v>29</v>
      </c>
      <c r="B58" s="2" t="s">
        <v>176</v>
      </c>
      <c r="C58" s="8" t="s">
        <v>177</v>
      </c>
      <c r="D58" s="2" t="s">
        <v>175</v>
      </c>
      <c r="E58" s="157">
        <v>2.8336079041564761</v>
      </c>
      <c r="F58" s="152">
        <v>9.0399999999999991</v>
      </c>
      <c r="G58" s="26">
        <f t="shared" si="4"/>
        <v>25.62</v>
      </c>
      <c r="H58" s="151">
        <f t="shared" si="3"/>
        <v>1.5688454962744514E-3</v>
      </c>
      <c r="I58" s="26">
        <f>ROUND(F58*'Прил. 10'!$D$13,2)</f>
        <v>72.680000000000007</v>
      </c>
      <c r="J58" s="26">
        <f t="shared" si="5"/>
        <v>205.95</v>
      </c>
    </row>
    <row r="59" spans="1:10" s="12" customFormat="1" ht="14.25" customHeight="1" outlineLevel="1" x14ac:dyDescent="0.2">
      <c r="A59" s="2">
        <v>30</v>
      </c>
      <c r="B59" s="2" t="s">
        <v>178</v>
      </c>
      <c r="C59" s="8" t="s">
        <v>179</v>
      </c>
      <c r="D59" s="2" t="s">
        <v>175</v>
      </c>
      <c r="E59" s="157">
        <v>0.56997677274131398</v>
      </c>
      <c r="F59" s="152">
        <v>27.74</v>
      </c>
      <c r="G59" s="26">
        <f t="shared" si="4"/>
        <v>15.81</v>
      </c>
      <c r="H59" s="151">
        <f t="shared" si="3"/>
        <v>9.6812830976186867E-4</v>
      </c>
      <c r="I59" s="26">
        <f>ROUND(F59*'Прил. 10'!$D$13,2)</f>
        <v>223.03</v>
      </c>
      <c r="J59" s="26">
        <f t="shared" si="5"/>
        <v>127.12</v>
      </c>
    </row>
    <row r="60" spans="1:10" s="12" customFormat="1" ht="14.25" customHeight="1" outlineLevel="1" x14ac:dyDescent="0.2">
      <c r="A60" s="2">
        <v>31</v>
      </c>
      <c r="B60" s="2" t="s">
        <v>180</v>
      </c>
      <c r="C60" s="8" t="s">
        <v>181</v>
      </c>
      <c r="D60" s="2" t="s">
        <v>182</v>
      </c>
      <c r="E60" s="157">
        <v>1.5412281293654173</v>
      </c>
      <c r="F60" s="152">
        <v>6.9</v>
      </c>
      <c r="G60" s="26">
        <f t="shared" si="4"/>
        <v>10.63</v>
      </c>
      <c r="H60" s="151">
        <f t="shared" si="3"/>
        <v>6.509300400233184E-4</v>
      </c>
      <c r="I60" s="26">
        <f>ROUND(F60*'Прил. 10'!$D$13,2)</f>
        <v>55.48</v>
      </c>
      <c r="J60" s="26">
        <f t="shared" si="5"/>
        <v>85.51</v>
      </c>
    </row>
    <row r="61" spans="1:10" s="12" customFormat="1" ht="14.25" customHeight="1" outlineLevel="1" x14ac:dyDescent="0.2">
      <c r="A61" s="2">
        <v>32</v>
      </c>
      <c r="B61" s="2" t="s">
        <v>183</v>
      </c>
      <c r="C61" s="8" t="s">
        <v>184</v>
      </c>
      <c r="D61" s="2" t="s">
        <v>161</v>
      </c>
      <c r="E61" s="157">
        <v>9.6299053508027332E-4</v>
      </c>
      <c r="F61" s="152">
        <v>7826.9</v>
      </c>
      <c r="G61" s="26">
        <f t="shared" si="4"/>
        <v>7.54</v>
      </c>
      <c r="H61" s="151">
        <f t="shared" si="3"/>
        <v>4.6171331154993607E-4</v>
      </c>
      <c r="I61" s="26">
        <f>ROUND(F61*'Прил. 10'!$D$13,2)</f>
        <v>62928.28</v>
      </c>
      <c r="J61" s="26">
        <f t="shared" si="5"/>
        <v>60.6</v>
      </c>
    </row>
    <row r="62" spans="1:10" s="12" customFormat="1" ht="14.25" customHeight="1" outlineLevel="1" x14ac:dyDescent="0.2">
      <c r="A62" s="2">
        <v>33</v>
      </c>
      <c r="B62" s="2" t="s">
        <v>185</v>
      </c>
      <c r="C62" s="8" t="s">
        <v>186</v>
      </c>
      <c r="D62" s="2" t="s">
        <v>161</v>
      </c>
      <c r="E62" s="157">
        <v>9.8335767460438483E-3</v>
      </c>
      <c r="F62" s="152">
        <v>729.98</v>
      </c>
      <c r="G62" s="26">
        <f t="shared" si="4"/>
        <v>7.18</v>
      </c>
      <c r="H62" s="151">
        <f t="shared" si="3"/>
        <v>4.3966864415497892E-4</v>
      </c>
      <c r="I62" s="26">
        <f>ROUND(F62*'Прил. 10'!$D$13,2)</f>
        <v>5869.04</v>
      </c>
      <c r="J62" s="26">
        <f t="shared" si="5"/>
        <v>57.71</v>
      </c>
    </row>
    <row r="63" spans="1:10" s="12" customFormat="1" ht="14.25" customHeight="1" outlineLevel="1" x14ac:dyDescent="0.2">
      <c r="A63" s="2">
        <v>34</v>
      </c>
      <c r="B63" s="2" t="s">
        <v>187</v>
      </c>
      <c r="C63" s="8" t="s">
        <v>188</v>
      </c>
      <c r="D63" s="2" t="s">
        <v>175</v>
      </c>
      <c r="E63" s="157">
        <v>0.16976909047671984</v>
      </c>
      <c r="F63" s="152">
        <v>28.93</v>
      </c>
      <c r="G63" s="26">
        <f t="shared" si="4"/>
        <v>4.91</v>
      </c>
      <c r="H63" s="151">
        <f t="shared" si="3"/>
        <v>3.0066476919233241E-4</v>
      </c>
      <c r="I63" s="26">
        <f>ROUND(F63*'Прил. 10'!$D$13,2)</f>
        <v>232.6</v>
      </c>
      <c r="J63" s="26">
        <f t="shared" si="5"/>
        <v>39.49</v>
      </c>
    </row>
    <row r="64" spans="1:10" s="12" customFormat="1" ht="14.25" customHeight="1" x14ac:dyDescent="0.2">
      <c r="A64" s="2"/>
      <c r="B64" s="2"/>
      <c r="C64" s="8" t="s">
        <v>252</v>
      </c>
      <c r="D64" s="2"/>
      <c r="E64" s="186"/>
      <c r="F64" s="152"/>
      <c r="G64" s="26">
        <f>SUM(G52:G63)</f>
        <v>1777.2799999999997</v>
      </c>
      <c r="H64" s="151">
        <f t="shared" si="3"/>
        <v>0.10883207352141516</v>
      </c>
      <c r="I64" s="26"/>
      <c r="J64" s="26">
        <f>SUM(J52:J63)</f>
        <v>14289.29</v>
      </c>
    </row>
    <row r="65" spans="1:10" s="12" customFormat="1" ht="14.25" customHeight="1" x14ac:dyDescent="0.2">
      <c r="A65" s="2"/>
      <c r="B65" s="2"/>
      <c r="C65" s="158" t="s">
        <v>253</v>
      </c>
      <c r="D65" s="2"/>
      <c r="E65" s="186"/>
      <c r="F65" s="152"/>
      <c r="G65" s="26">
        <f>G51+G64</f>
        <v>16330.48</v>
      </c>
      <c r="H65" s="187">
        <f t="shared" si="3"/>
        <v>1</v>
      </c>
      <c r="I65" s="26"/>
      <c r="J65" s="26">
        <f>J51+J64</f>
        <v>131297.04999999999</v>
      </c>
    </row>
    <row r="66" spans="1:10" s="12" customFormat="1" ht="14.25" customHeight="1" x14ac:dyDescent="0.2">
      <c r="A66" s="2"/>
      <c r="B66" s="2"/>
      <c r="C66" s="8" t="s">
        <v>254</v>
      </c>
      <c r="D66" s="2"/>
      <c r="E66" s="186"/>
      <c r="F66" s="152"/>
      <c r="G66" s="26">
        <f>G15+G26+G65</f>
        <v>37614.434202868375</v>
      </c>
      <c r="H66" s="187"/>
      <c r="I66" s="26"/>
      <c r="J66" s="26">
        <f>J15+J26+J65</f>
        <v>1081813.6299999999</v>
      </c>
    </row>
    <row r="67" spans="1:10" s="12" customFormat="1" ht="14.25" customHeight="1" x14ac:dyDescent="0.2">
      <c r="A67" s="2"/>
      <c r="B67" s="2"/>
      <c r="C67" s="8" t="s">
        <v>255</v>
      </c>
      <c r="D67" s="164">
        <f>ROUND(G67/(G$17+$G$15),2)</f>
        <v>0.48</v>
      </c>
      <c r="E67" s="186"/>
      <c r="F67" s="152"/>
      <c r="G67" s="26">
        <v>9805.5400000000009</v>
      </c>
      <c r="H67" s="187"/>
      <c r="I67" s="26"/>
      <c r="J67" s="26">
        <f>ROUND(D67*(J15+J17),2)</f>
        <v>451094.55</v>
      </c>
    </row>
    <row r="68" spans="1:10" s="12" customFormat="1" ht="14.25" customHeight="1" x14ac:dyDescent="0.2">
      <c r="A68" s="2"/>
      <c r="B68" s="2"/>
      <c r="C68" s="8" t="s">
        <v>256</v>
      </c>
      <c r="D68" s="164">
        <f>ROUND(G68/(G$15+G$17),2)</f>
        <v>0.25</v>
      </c>
      <c r="E68" s="186"/>
      <c r="F68" s="152"/>
      <c r="G68" s="26">
        <v>5035.4399999999996</v>
      </c>
      <c r="H68" s="187"/>
      <c r="I68" s="26"/>
      <c r="J68" s="26">
        <f>ROUND(D68*(J15+J17),2)</f>
        <v>234945.08</v>
      </c>
    </row>
    <row r="69" spans="1:10" s="12" customFormat="1" ht="14.25" customHeight="1" x14ac:dyDescent="0.2">
      <c r="A69" s="2"/>
      <c r="B69" s="2"/>
      <c r="C69" s="8" t="s">
        <v>257</v>
      </c>
      <c r="D69" s="2"/>
      <c r="E69" s="186"/>
      <c r="F69" s="152"/>
      <c r="G69" s="26">
        <f>G15+G26+G65+G67+G68</f>
        <v>52455.414202868378</v>
      </c>
      <c r="H69" s="187"/>
      <c r="I69" s="26"/>
      <c r="J69" s="26">
        <f>J15+J26+J65+J67+J68</f>
        <v>1767853.26</v>
      </c>
    </row>
    <row r="70" spans="1:10" s="12" customFormat="1" ht="14.25" customHeight="1" x14ac:dyDescent="0.2">
      <c r="A70" s="2"/>
      <c r="B70" s="2"/>
      <c r="C70" s="8" t="s">
        <v>258</v>
      </c>
      <c r="D70" s="2"/>
      <c r="E70" s="186"/>
      <c r="F70" s="152"/>
      <c r="G70" s="26">
        <f>G69+G44</f>
        <v>108776.42420286837</v>
      </c>
      <c r="H70" s="187"/>
      <c r="I70" s="26"/>
      <c r="J70" s="26">
        <f>J69+J44</f>
        <v>2120423.1</v>
      </c>
    </row>
    <row r="71" spans="1:10" s="12" customFormat="1" ht="34.5" customHeight="1" x14ac:dyDescent="0.2">
      <c r="A71" s="2"/>
      <c r="B71" s="2"/>
      <c r="C71" s="8" t="s">
        <v>225</v>
      </c>
      <c r="D71" s="2" t="s">
        <v>427</v>
      </c>
      <c r="E71" s="188">
        <v>1</v>
      </c>
      <c r="F71" s="152"/>
      <c r="G71" s="26">
        <f>G70/E71</f>
        <v>108776.42420286837</v>
      </c>
      <c r="H71" s="187"/>
      <c r="I71" s="26"/>
      <c r="J71" s="26">
        <f>J70/E71</f>
        <v>2120423.1</v>
      </c>
    </row>
    <row r="73" spans="1:10" s="12" customFormat="1" ht="14.25" customHeight="1" x14ac:dyDescent="0.2">
      <c r="A73" s="4" t="s">
        <v>259</v>
      </c>
    </row>
    <row r="74" spans="1:10" s="12" customFormat="1" ht="14.25" customHeight="1" x14ac:dyDescent="0.2">
      <c r="A74" s="165" t="s">
        <v>69</v>
      </c>
    </row>
    <row r="75" spans="1:10" s="12" customFormat="1" ht="14.25" customHeight="1" x14ac:dyDescent="0.2">
      <c r="A75" s="4"/>
    </row>
    <row r="76" spans="1:10" s="12" customFormat="1" ht="14.25" customHeight="1" x14ac:dyDescent="0.2">
      <c r="A76" s="4" t="s">
        <v>260</v>
      </c>
    </row>
    <row r="77" spans="1:10" s="12" customFormat="1" ht="14.25" customHeight="1" x14ac:dyDescent="0.2">
      <c r="A77" s="165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7:H47"/>
    <mergeCell ref="B13:H13"/>
    <mergeCell ref="B16:H16"/>
    <mergeCell ref="B18:H18"/>
    <mergeCell ref="B19:H19"/>
    <mergeCell ref="B28:H28"/>
    <mergeCell ref="B27:H27"/>
    <mergeCell ref="B46:H46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topLeftCell="A5" workbookViewId="0">
      <selection activeCell="E5" sqref="E5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8" t="s">
        <v>261</v>
      </c>
      <c r="B1" s="238"/>
      <c r="C1" s="238"/>
      <c r="D1" s="238"/>
      <c r="E1" s="238"/>
      <c r="F1" s="238"/>
      <c r="G1" s="238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5" t="s">
        <v>262</v>
      </c>
      <c r="B3" s="195"/>
      <c r="C3" s="195"/>
      <c r="D3" s="195"/>
      <c r="E3" s="195"/>
      <c r="F3" s="195"/>
      <c r="G3" s="195"/>
    </row>
    <row r="4" spans="1:7" ht="25.5" customHeight="1" x14ac:dyDescent="0.25">
      <c r="A4" s="198" t="s">
        <v>430</v>
      </c>
      <c r="B4" s="198"/>
      <c r="C4" s="198"/>
      <c r="D4" s="198"/>
      <c r="E4" s="198"/>
      <c r="F4" s="198"/>
      <c r="G4" s="198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3" t="s">
        <v>13</v>
      </c>
      <c r="B6" s="243" t="s">
        <v>86</v>
      </c>
      <c r="C6" s="243" t="s">
        <v>191</v>
      </c>
      <c r="D6" s="243" t="s">
        <v>88</v>
      </c>
      <c r="E6" s="222" t="s">
        <v>233</v>
      </c>
      <c r="F6" s="243" t="s">
        <v>90</v>
      </c>
      <c r="G6" s="243"/>
    </row>
    <row r="7" spans="1:7" x14ac:dyDescent="0.25">
      <c r="A7" s="243"/>
      <c r="B7" s="243"/>
      <c r="C7" s="243"/>
      <c r="D7" s="243"/>
      <c r="E7" s="223"/>
      <c r="F7" s="2" t="s">
        <v>236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39" t="s">
        <v>263</v>
      </c>
      <c r="C9" s="240"/>
      <c r="D9" s="240"/>
      <c r="E9" s="240"/>
      <c r="F9" s="240"/>
      <c r="G9" s="241"/>
    </row>
    <row r="10" spans="1:7" ht="27" customHeight="1" x14ac:dyDescent="0.25">
      <c r="A10" s="2"/>
      <c r="B10" s="158"/>
      <c r="C10" s="8" t="s">
        <v>264</v>
      </c>
      <c r="D10" s="158"/>
      <c r="E10" s="166"/>
      <c r="F10" s="152"/>
      <c r="G10" s="26">
        <v>0</v>
      </c>
    </row>
    <row r="11" spans="1:7" x14ac:dyDescent="0.25">
      <c r="A11" s="2"/>
      <c r="B11" s="230" t="s">
        <v>265</v>
      </c>
      <c r="C11" s="230"/>
      <c r="D11" s="230"/>
      <c r="E11" s="242"/>
      <c r="F11" s="232"/>
      <c r="G11" s="232"/>
    </row>
    <row r="12" spans="1:7" s="113" customFormat="1" ht="25.5" customHeight="1" x14ac:dyDescent="0.25">
      <c r="A12" s="2">
        <v>1</v>
      </c>
      <c r="B12" s="8" t="str">
        <f>'Прил.5 Расчет СМР и ОБ'!B29</f>
        <v>62.4.02.02-0041</v>
      </c>
      <c r="C12" s="8" t="str">
        <f>'Прил.5 Расчет СМР и ОБ'!C29</f>
        <v>Источник резервного питания, марка: "РИП 12" исп. 06</v>
      </c>
      <c r="D12" s="2" t="str">
        <f>'Прил.5 Расчет СМР и ОБ'!D29</f>
        <v>шт</v>
      </c>
      <c r="E12" s="157">
        <f>'Прил.5 Расчет СМР и ОБ'!E29</f>
        <v>12</v>
      </c>
      <c r="F12" s="152">
        <f>'Прил.5 Расчет СМР и ОБ'!F29</f>
        <v>1105.2</v>
      </c>
      <c r="G12" s="26">
        <f t="shared" ref="G12:G24" si="0">ROUND(E12*F12,2)</f>
        <v>13262.4</v>
      </c>
    </row>
    <row r="13" spans="1:7" s="113" customFormat="1" ht="38.25" customHeight="1" x14ac:dyDescent="0.25">
      <c r="A13" s="2">
        <v>2</v>
      </c>
      <c r="B13" s="8" t="str">
        <f>'Прил.5 Расчет СМР и ОБ'!B30</f>
        <v>61.2.02.01-1004</v>
      </c>
      <c r="C13" s="8" t="str">
        <f>'Прил.5 Расчет СМР и ОБ'!C30</f>
        <v>Извещатель пожарный дымовой ДИП-34А (ИП 212-34А) оптико-электронный адресно-аналоговый в комплекте с базой (розеткой)</v>
      </c>
      <c r="D13" s="2" t="str">
        <f>'Прил.5 Расчет СМР и ОБ'!D30</f>
        <v>шт</v>
      </c>
      <c r="E13" s="157">
        <f>'Прил.5 Расчет СМР и ОБ'!E30</f>
        <v>74</v>
      </c>
      <c r="F13" s="152">
        <f>'Прил.5 Расчет СМР и ОБ'!F30</f>
        <v>116.52</v>
      </c>
      <c r="G13" s="26">
        <f t="shared" si="0"/>
        <v>8622.48</v>
      </c>
    </row>
    <row r="14" spans="1:7" s="113" customFormat="1" ht="63.75" customHeight="1" x14ac:dyDescent="0.25">
      <c r="A14" s="2">
        <v>3</v>
      </c>
      <c r="B14" s="8" t="str">
        <f>'Прил.5 Расчет СМР и ОБ'!B31</f>
        <v>61.2.02.02-0001</v>
      </c>
      <c r="C14" s="8" t="str">
        <f>'Прил.5 Расчет СМР и ОБ'!C31</f>
        <v>Извещатель адресный пожарный тепловой интеллектуальный ИП101-24А-A1R максимально-дифференциальный «Leonardo-Т», без базы (прим. марка "С2000-ИП")</v>
      </c>
      <c r="D14" s="2" t="str">
        <f>'Прил.5 Расчет СМР и ОБ'!D31</f>
        <v>10 шт</v>
      </c>
      <c r="E14" s="157">
        <f>'Прил.5 Расчет СМР и ОБ'!E31</f>
        <v>4</v>
      </c>
      <c r="F14" s="152">
        <f>'Прил.5 Расчет СМР и ОБ'!F31</f>
        <v>2188.6</v>
      </c>
      <c r="G14" s="26">
        <f t="shared" si="0"/>
        <v>8754.4</v>
      </c>
    </row>
    <row r="15" spans="1:7" s="113" customFormat="1" ht="15.75" customHeight="1" x14ac:dyDescent="0.25">
      <c r="A15" s="2">
        <v>4</v>
      </c>
      <c r="B15" s="8" t="str">
        <f>'Прил.5 Расчет СМР и ОБ'!B32</f>
        <v>61.2.02.01-0095</v>
      </c>
      <c r="C15" s="8" t="str">
        <f>'Прил.5 Расчет СМР и ОБ'!C32</f>
        <v>Извещатель пожарный дымовой: ИПДЛ</v>
      </c>
      <c r="D15" s="2" t="str">
        <f>'Прил.5 Расчет СМР и ОБ'!D32</f>
        <v>10 шт</v>
      </c>
      <c r="E15" s="157">
        <f>'Прил.5 Расчет СМР и ОБ'!E32</f>
        <v>1.3</v>
      </c>
      <c r="F15" s="152">
        <f>'Прил.5 Расчет СМР и ОБ'!F32</f>
        <v>3463.94</v>
      </c>
      <c r="G15" s="26">
        <f t="shared" si="0"/>
        <v>4503.12</v>
      </c>
    </row>
    <row r="16" spans="1:7" s="113" customFormat="1" ht="38.25" customHeight="1" x14ac:dyDescent="0.25">
      <c r="A16" s="2">
        <v>5</v>
      </c>
      <c r="B16" s="8" t="str">
        <f>'Прил.5 Расчет СМР и ОБ'!B33</f>
        <v>61.2.04.05-0018</v>
      </c>
      <c r="C16" s="8" t="str">
        <f>'Прил.5 Расчет СМР и ОБ'!C33</f>
        <v>Оповещатель охранно-пожарный звуковой, тип СВИРЕЛЬ-2 исп.00 6-15В/600мА</v>
      </c>
      <c r="D16" s="2" t="str">
        <f>'Прил.5 Расчет СМР и ОБ'!D33</f>
        <v>шт</v>
      </c>
      <c r="E16" s="157">
        <f>'Прил.5 Расчет СМР и ОБ'!E33</f>
        <v>21</v>
      </c>
      <c r="F16" s="152">
        <f>'Прил.5 Расчет СМР и ОБ'!F33</f>
        <v>187</v>
      </c>
      <c r="G16" s="26">
        <f t="shared" si="0"/>
        <v>3927</v>
      </c>
    </row>
    <row r="17" spans="1:7" s="113" customFormat="1" ht="15.75" customHeight="1" x14ac:dyDescent="0.25">
      <c r="A17" s="2">
        <v>6</v>
      </c>
      <c r="B17" s="8" t="str">
        <f>'Прил.5 Расчет СМР и ОБ'!B34</f>
        <v>61.2.04.07-0008</v>
      </c>
      <c r="C17" s="8" t="str">
        <f>'Прил.5 Расчет СМР и ОБ'!C34</f>
        <v>Оповещатель световой МОЛНИЯ-12(24)</v>
      </c>
      <c r="D17" s="2" t="str">
        <f>'Прил.5 Расчет СМР и ОБ'!D34</f>
        <v>шт</v>
      </c>
      <c r="E17" s="157">
        <f>'Прил.5 Расчет СМР и ОБ'!E34</f>
        <v>90</v>
      </c>
      <c r="F17" s="152">
        <f>'Прил.5 Расчет СМР и ОБ'!F34</f>
        <v>38.380000000000003</v>
      </c>
      <c r="G17" s="26">
        <f t="shared" si="0"/>
        <v>3454.2</v>
      </c>
    </row>
    <row r="18" spans="1:7" s="113" customFormat="1" ht="25.5" customHeight="1" x14ac:dyDescent="0.25">
      <c r="A18" s="2">
        <v>7</v>
      </c>
      <c r="B18" s="8" t="str">
        <f>'Прил.5 Расчет СМР и ОБ'!B35</f>
        <v>61.2.07.02-0034</v>
      </c>
      <c r="C18" s="8" t="str">
        <f>'Прил.5 Расчет СМР и ОБ'!C35</f>
        <v>Блок контрольно-пусковой, марка "С2000-КПБ"</v>
      </c>
      <c r="D18" s="2" t="str">
        <f>'Прил.5 Расчет СМР и ОБ'!D35</f>
        <v>шт</v>
      </c>
      <c r="E18" s="157">
        <f>'Прил.5 Расчет СМР и ОБ'!E35</f>
        <v>14</v>
      </c>
      <c r="F18" s="152">
        <f>'Прил.5 Расчет СМР и ОБ'!F35</f>
        <v>243.85</v>
      </c>
      <c r="G18" s="26">
        <f t="shared" si="0"/>
        <v>3413.9</v>
      </c>
    </row>
    <row r="19" spans="1:7" s="113" customFormat="1" ht="140.25" customHeight="1" x14ac:dyDescent="0.25">
      <c r="A19" s="2">
        <v>8</v>
      </c>
      <c r="B19" s="8" t="str">
        <f>'Прил.5 Расчет СМР и ОБ'!B36</f>
        <v>61.2.07.02-0042</v>
      </c>
      <c r="C19" s="8" t="str">
        <f>'Прил.5 Расчет СМР и ОБ'!C36</f>
        <v>Блок контроля и индикации для работы в составе интегрированной системе охраны совместно с пультом контроля и управления, ручного управления 60 разделами системы и отображения с помощью встроенных индикаторов и звуковой сигнализации, количество кнопок для управления разделами 60, напряжение питания от 10.2 до 28 В, потребляемый ток, в дежурном режиме 200 мА</v>
      </c>
      <c r="D19" s="2" t="str">
        <f>'Прил.5 Расчет СМР и ОБ'!D36</f>
        <v>шт</v>
      </c>
      <c r="E19" s="157">
        <f>'Прил.5 Расчет СМР и ОБ'!E36</f>
        <v>4</v>
      </c>
      <c r="F19" s="152">
        <f>'Прил.5 Расчет СМР и ОБ'!F36</f>
        <v>726.24</v>
      </c>
      <c r="G19" s="26">
        <f t="shared" si="0"/>
        <v>2904.96</v>
      </c>
    </row>
    <row r="20" spans="1:7" s="113" customFormat="1" ht="25.5" customHeight="1" x14ac:dyDescent="0.25">
      <c r="A20" s="2">
        <v>9</v>
      </c>
      <c r="B20" s="8" t="str">
        <f>'Прил.5 Расчет СМР и ОБ'!B38</f>
        <v>61.2.07.04-0002</v>
      </c>
      <c r="C20" s="8" t="str">
        <f>'Прил.5 Расчет СМР и ОБ'!C38</f>
        <v>Контроллер двухпроводной линии связи, марка "С2000-КДЛ"</v>
      </c>
      <c r="D20" s="2" t="str">
        <f>'Прил.5 Расчет СМР и ОБ'!D38</f>
        <v>шт</v>
      </c>
      <c r="E20" s="157">
        <f>'Прил.5 Расчет СМР и ОБ'!E38</f>
        <v>15</v>
      </c>
      <c r="F20" s="152">
        <f>'Прил.5 Расчет СМР и ОБ'!F38</f>
        <v>175.63</v>
      </c>
      <c r="G20" s="26">
        <f t="shared" si="0"/>
        <v>2634.45</v>
      </c>
    </row>
    <row r="21" spans="1:7" s="113" customFormat="1" ht="25.5" customHeight="1" x14ac:dyDescent="0.25">
      <c r="A21" s="2">
        <v>10</v>
      </c>
      <c r="B21" s="8" t="str">
        <f>'Прил.5 Расчет СМР и ОБ'!B39</f>
        <v>61.2.02.03-0025</v>
      </c>
      <c r="C21" s="8" t="str">
        <f>'Прил.5 Расчет СМР и ОБ'!C39</f>
        <v>Извещатель пожарный ручной: ИПР-513-3 исп. 02</v>
      </c>
      <c r="D21" s="2" t="str">
        <f>'Прил.5 Расчет СМР и ОБ'!D39</f>
        <v>10 шт</v>
      </c>
      <c r="E21" s="157">
        <f>'Прил.5 Расчет СМР и ОБ'!E39</f>
        <v>5.5</v>
      </c>
      <c r="F21" s="152">
        <f>'Прил.5 Расчет СМР и ОБ'!F39</f>
        <v>410.04</v>
      </c>
      <c r="G21" s="26">
        <f t="shared" si="0"/>
        <v>2255.2199999999998</v>
      </c>
    </row>
    <row r="22" spans="1:7" s="113" customFormat="1" ht="51" customHeight="1" x14ac:dyDescent="0.25">
      <c r="A22" s="2">
        <v>11</v>
      </c>
      <c r="B22" s="8" t="str">
        <f>'Прил.5 Расчет СМР и ОБ'!B40</f>
        <v>61.2.07.02-0051</v>
      </c>
      <c r="C22" s="8" t="str">
        <f>'Прил.5 Расчет СМР и ОБ'!C40</f>
        <v>Блоки разветвительно-изолирующие типа БРИЗ, для участка двухпроводной линии с коротким замыканием, размер не более 56х38х20 мм</v>
      </c>
      <c r="D22" s="2" t="str">
        <f>'Прил.5 Расчет СМР и ОБ'!D40</f>
        <v>шт</v>
      </c>
      <c r="E22" s="157">
        <f>'Прил.5 Расчет СМР и ОБ'!E40</f>
        <v>19</v>
      </c>
      <c r="F22" s="152">
        <f>'Прил.5 Расчет СМР и ОБ'!F40</f>
        <v>68.819999999999993</v>
      </c>
      <c r="G22" s="26">
        <f t="shared" si="0"/>
        <v>1307.58</v>
      </c>
    </row>
    <row r="23" spans="1:7" s="113" customFormat="1" ht="25.5" customHeight="1" x14ac:dyDescent="0.25">
      <c r="A23" s="2">
        <v>12</v>
      </c>
      <c r="B23" s="8" t="str">
        <f>'Прил.5 Расчет СМР и ОБ'!B41</f>
        <v>61.2.04.10-0005</v>
      </c>
      <c r="C23" s="8" t="str">
        <f>'Прил.5 Расчет СМР и ОБ'!C41</f>
        <v>Пульт контроля и управления охранно-пожарный, марка "С2000"</v>
      </c>
      <c r="D23" s="2" t="str">
        <f>'Прил.5 Расчет СМР и ОБ'!D41</f>
        <v>шт</v>
      </c>
      <c r="E23" s="157">
        <f>'Прил.5 Расчет СМР и ОБ'!E41</f>
        <v>2</v>
      </c>
      <c r="F23" s="152">
        <f>'Прил.5 Расчет СМР и ОБ'!F41</f>
        <v>367.7</v>
      </c>
      <c r="G23" s="26">
        <f t="shared" si="0"/>
        <v>735.4</v>
      </c>
    </row>
    <row r="24" spans="1:7" s="113" customFormat="1" ht="38.25" customHeight="1" x14ac:dyDescent="0.25">
      <c r="A24" s="2">
        <v>13</v>
      </c>
      <c r="B24" s="8" t="str">
        <f>'Прил.5 Расчет СМР и ОБ'!B42</f>
        <v>61.2.07.06-0005</v>
      </c>
      <c r="C24" s="8" t="str">
        <f>'Прил.5 Расчет СМР и ОБ'!C42</f>
        <v>Расширитель адресный ("адресная метка"), марка "С2000-АР2" (прим. "С2000-АР8")</v>
      </c>
      <c r="D24" s="2" t="str">
        <f>'Прил.5 Расчет СМР и ОБ'!D42</f>
        <v>100 шт</v>
      </c>
      <c r="E24" s="157">
        <f>'Прил.5 Расчет СМР и ОБ'!E42</f>
        <v>0.1</v>
      </c>
      <c r="F24" s="152">
        <f>'Прил.5 Расчет СМР и ОБ'!F42</f>
        <v>5459</v>
      </c>
      <c r="G24" s="26">
        <f t="shared" si="0"/>
        <v>545.9</v>
      </c>
    </row>
    <row r="25" spans="1:7" ht="25.5" customHeight="1" x14ac:dyDescent="0.25">
      <c r="A25" s="2"/>
      <c r="B25" s="8"/>
      <c r="C25" s="8" t="s">
        <v>266</v>
      </c>
      <c r="D25" s="8"/>
      <c r="E25" s="40"/>
      <c r="F25" s="152"/>
      <c r="G25" s="26">
        <f>SUM(G12:G24)</f>
        <v>56321.01</v>
      </c>
    </row>
    <row r="26" spans="1:7" ht="19.5" customHeight="1" x14ac:dyDescent="0.25">
      <c r="A26" s="2"/>
      <c r="B26" s="8"/>
      <c r="C26" s="8" t="s">
        <v>267</v>
      </c>
      <c r="D26" s="8"/>
      <c r="E26" s="40"/>
      <c r="F26" s="152"/>
      <c r="G26" s="26">
        <f>G10+G25</f>
        <v>56321.01</v>
      </c>
    </row>
    <row r="27" spans="1:7" x14ac:dyDescent="0.25">
      <c r="A27" s="24"/>
      <c r="B27" s="167"/>
      <c r="C27" s="24"/>
      <c r="D27" s="24"/>
      <c r="E27" s="24"/>
      <c r="F27" s="24"/>
      <c r="G27" s="24"/>
    </row>
    <row r="28" spans="1:7" x14ac:dyDescent="0.25">
      <c r="A28" s="4" t="s">
        <v>259</v>
      </c>
      <c r="B28" s="12"/>
      <c r="C28" s="12"/>
      <c r="D28" s="24"/>
      <c r="E28" s="24"/>
      <c r="F28" s="24"/>
      <c r="G28" s="24"/>
    </row>
    <row r="29" spans="1:7" x14ac:dyDescent="0.25">
      <c r="A29" s="165" t="s">
        <v>69</v>
      </c>
      <c r="B29" s="12"/>
      <c r="C29" s="12"/>
      <c r="D29" s="24"/>
      <c r="E29" s="24"/>
      <c r="F29" s="24"/>
      <c r="G29" s="24"/>
    </row>
    <row r="30" spans="1:7" x14ac:dyDescent="0.25">
      <c r="A30" s="4"/>
      <c r="B30" s="12"/>
      <c r="C30" s="12"/>
      <c r="D30" s="24"/>
      <c r="E30" s="24"/>
      <c r="F30" s="24"/>
      <c r="G30" s="24"/>
    </row>
    <row r="31" spans="1:7" x14ac:dyDescent="0.25">
      <c r="A31" s="4" t="s">
        <v>260</v>
      </c>
      <c r="B31" s="12"/>
      <c r="C31" s="12"/>
      <c r="D31" s="24"/>
      <c r="E31" s="24"/>
      <c r="F31" s="24"/>
      <c r="G31" s="24"/>
    </row>
    <row r="32" spans="1:7" x14ac:dyDescent="0.25">
      <c r="A32" s="165" t="s">
        <v>71</v>
      </c>
      <c r="B32" s="12"/>
      <c r="C32" s="12"/>
      <c r="D32" s="24"/>
      <c r="E32" s="24"/>
      <c r="F32" s="24"/>
      <c r="G32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Nikolay Ivanov</cp:lastModifiedBy>
  <dcterms:created xsi:type="dcterms:W3CDTF">2020-09-30T08:50:27Z</dcterms:created>
  <dcterms:modified xsi:type="dcterms:W3CDTF">2023-10-07T10:00:15Z</dcterms:modified>
  <cp:category/>
</cp:coreProperties>
</file>