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DD8ABF4-7A9B-4C1B-87ED-5D389BF5BFF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26" i="9"/>
  <c r="G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63" i="8"/>
  <c r="H63" i="8" s="1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J63" i="8" s="1"/>
  <c r="C17" i="7" s="1"/>
  <c r="I52" i="8"/>
  <c r="G52" i="8"/>
  <c r="J51" i="8"/>
  <c r="I51" i="8"/>
  <c r="G51" i="8"/>
  <c r="J50" i="8"/>
  <c r="J64" i="8" s="1"/>
  <c r="G50" i="8"/>
  <c r="G64" i="8" s="1"/>
  <c r="J49" i="8"/>
  <c r="I49" i="8"/>
  <c r="G49" i="8"/>
  <c r="J48" i="8"/>
  <c r="I48" i="8"/>
  <c r="G48" i="8"/>
  <c r="J47" i="8"/>
  <c r="I47" i="8"/>
  <c r="G47" i="8"/>
  <c r="G44" i="8"/>
  <c r="J44" i="8" s="1"/>
  <c r="C26" i="7" s="1"/>
  <c r="G43" i="8"/>
  <c r="H39" i="8" s="1"/>
  <c r="J42" i="8"/>
  <c r="G42" i="8"/>
  <c r="H42" i="8" s="1"/>
  <c r="J41" i="8"/>
  <c r="I41" i="8"/>
  <c r="H41" i="8"/>
  <c r="G41" i="8"/>
  <c r="J40" i="8"/>
  <c r="I40" i="8"/>
  <c r="H40" i="8"/>
  <c r="G40" i="8"/>
  <c r="J39" i="8"/>
  <c r="I39" i="8"/>
  <c r="G39" i="8"/>
  <c r="J38" i="8"/>
  <c r="I38" i="8"/>
  <c r="H38" i="8"/>
  <c r="G38" i="8"/>
  <c r="J37" i="8"/>
  <c r="I37" i="8"/>
  <c r="H37" i="8"/>
  <c r="G37" i="8"/>
  <c r="H36" i="8"/>
  <c r="H43" i="8" s="1"/>
  <c r="G36" i="8"/>
  <c r="J35" i="8"/>
  <c r="I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J36" i="8" s="1"/>
  <c r="J43" i="8" s="1"/>
  <c r="C25" i="7" s="1"/>
  <c r="I30" i="8"/>
  <c r="H30" i="8"/>
  <c r="G30" i="8"/>
  <c r="J29" i="8"/>
  <c r="I29" i="8"/>
  <c r="H29" i="8"/>
  <c r="G29" i="8"/>
  <c r="J28" i="8"/>
  <c r="I28" i="8"/>
  <c r="H28" i="8"/>
  <c r="G28" i="8"/>
  <c r="J24" i="8"/>
  <c r="G24" i="8"/>
  <c r="J23" i="8"/>
  <c r="I23" i="8"/>
  <c r="G23" i="8"/>
  <c r="G22" i="8"/>
  <c r="J21" i="8"/>
  <c r="I21" i="8"/>
  <c r="G21" i="8"/>
  <c r="J20" i="8"/>
  <c r="J22" i="8" s="1"/>
  <c r="C12" i="7" s="1"/>
  <c r="I20" i="8"/>
  <c r="G20" i="8"/>
  <c r="J19" i="8"/>
  <c r="I19" i="8"/>
  <c r="G19" i="8"/>
  <c r="J16" i="8"/>
  <c r="I16" i="8"/>
  <c r="G16" i="8"/>
  <c r="G14" i="8"/>
  <c r="E14" i="8"/>
  <c r="J13" i="8"/>
  <c r="J14" i="8" s="1"/>
  <c r="I13" i="8"/>
  <c r="H13" i="8"/>
  <c r="G13" i="8"/>
  <c r="C23" i="7"/>
  <c r="C21" i="7"/>
  <c r="C16" i="7"/>
  <c r="C15" i="7"/>
  <c r="C13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8" i="7" l="1"/>
  <c r="J66" i="8"/>
  <c r="C22" i="7" s="1"/>
  <c r="J67" i="8"/>
  <c r="C20" i="7" s="1"/>
  <c r="C11" i="7"/>
  <c r="H24" i="8"/>
  <c r="G65" i="8"/>
  <c r="J25" i="8"/>
  <c r="J65" i="8" s="1"/>
  <c r="H48" i="8"/>
  <c r="H62" i="8"/>
  <c r="H59" i="8"/>
  <c r="H60" i="8"/>
  <c r="H57" i="8"/>
  <c r="H54" i="8"/>
  <c r="H51" i="8"/>
  <c r="H53" i="8"/>
  <c r="H49" i="8"/>
  <c r="H61" i="8"/>
  <c r="H58" i="8"/>
  <c r="H55" i="8"/>
  <c r="H52" i="8"/>
  <c r="H56" i="8"/>
  <c r="H64" i="8"/>
  <c r="H47" i="8"/>
  <c r="G25" i="8"/>
  <c r="H50" i="8"/>
  <c r="G68" i="8"/>
  <c r="G69" i="8" s="1"/>
  <c r="G70" i="8" s="1"/>
  <c r="C14" i="7"/>
  <c r="D22" i="7" l="1"/>
  <c r="C19" i="7"/>
  <c r="C24" i="7" s="1"/>
  <c r="D20" i="7" s="1"/>
  <c r="J68" i="8"/>
  <c r="J69" i="8" s="1"/>
  <c r="J70" i="8" s="1"/>
  <c r="D14" i="7"/>
  <c r="H21" i="8"/>
  <c r="H19" i="8"/>
  <c r="H20" i="8"/>
  <c r="H23" i="8"/>
  <c r="H22" i="8"/>
  <c r="D18" i="7" l="1"/>
  <c r="D11" i="7"/>
  <c r="C27" i="7"/>
  <c r="D24" i="7"/>
  <c r="C30" i="7"/>
  <c r="C29" i="7"/>
  <c r="D15" i="7"/>
  <c r="D13" i="7"/>
  <c r="D12" i="7"/>
  <c r="D16" i="7"/>
  <c r="D17" i="7"/>
  <c r="C32" i="7" l="1"/>
  <c r="C34" i="7"/>
  <c r="C33" i="7"/>
  <c r="C36" i="7" l="1"/>
  <c r="C37" i="7"/>
  <c r="C38" i="7" l="1"/>
  <c r="C39" i="7" l="1"/>
  <c r="C40" i="7" l="1"/>
  <c r="E39" i="7"/>
  <c r="E35" i="7" l="1"/>
  <c r="C41" i="7"/>
  <c r="D11" i="10" s="1"/>
  <c r="E31" i="7"/>
  <c r="E40" i="7"/>
  <c r="E15" i="7"/>
  <c r="E12" i="7"/>
  <c r="E25" i="7"/>
  <c r="E26" i="7"/>
  <c r="E13" i="7"/>
  <c r="E16" i="7"/>
  <c r="E17" i="7"/>
  <c r="E20" i="7"/>
  <c r="E11" i="7"/>
  <c r="E22" i="7"/>
  <c r="E18" i="7"/>
  <c r="E14" i="7"/>
  <c r="E24" i="7"/>
  <c r="E30" i="7"/>
  <c r="E27" i="7"/>
  <c r="E29" i="7"/>
  <c r="E33" i="7"/>
  <c r="E32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<sst xmlns="http://schemas.openxmlformats.org/spreadsheetml/2006/main" count="748" uniqueCount="443">
  <si>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</si>
  <si>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</si>
  <si>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</si>
  <si>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</si>
  <si>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</si>
  <si>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</si>
  <si>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</si>
  <si>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</si>
  <si>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</si>
  <si>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</si>
  <si>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</si>
  <si>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</si>
  <si>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</si>
  <si>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</si>
  <si>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</si>
  <si>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</si>
  <si>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</si>
  <si>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</si>
  <si>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</si>
  <si>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</si>
  <si>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</si>
  <si>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</si>
  <si>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</si>
  <si>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</si>
  <si>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</si>
  <si>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</si>
  <si>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</si>
  <si>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</si>
  <si>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</si>
  <si>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</si>
  <si>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</si>
  <si>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</si>
  <si>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</si>
  <si>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</si>
  <si>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</si>
  <si>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</si>
  <si>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</si>
  <si>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</si>
  <si>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</si>
  <si>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</si>
  <si>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</si>
  <si>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</si>
  <si>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</si>
  <si>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</si>
  <si>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</si>
  <si>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</si>
  <si>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</si>
  <si>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ПС 750 кВ 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</si>
  <si>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</si>
  <si>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</si>
  <si>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</si>
  <si>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</si>
  <si>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</si>
  <si>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</si>
  <si>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</si>
  <si>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</si>
  <si>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</si>
  <si>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</si>
  <si>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</si>
  <si>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</si>
  <si>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- 2440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</si>
  <si>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</si>
  <si>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</si>
  <si>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</si>
  <si>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</si>
  <si>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</si>
  <si>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</si>
  <si>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</si>
  <si>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</si>
  <si>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</si>
  <si>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</si>
  <si>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</si>
  <si>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</si>
  <si>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</si>
  <si>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</si>
  <si>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</si>
  <si>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</si>
  <si>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</si>
  <si>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</si>
  <si>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</si>
  <si>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</si>
  <si>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ПС 750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</si>
  <si>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</si>
  <si>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</si>
  <si>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</si>
  <si>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</si>
  <si>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</si>
  <si>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</si>
  <si>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</si>
  <si>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</si>
  <si>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Охранная и пож.сигнализация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</si>
  <si>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</si>
  <si>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</si>
  <si>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</si>
  <si>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</si>
  <si>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750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</si>
  <si>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</si>
  <si>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</si>
  <si>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</si>
  <si>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</si>
  <si>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</si>
  <si>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</si>
  <si>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</si>
  <si>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</si>
  <si>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</si>
  <si>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</si>
  <si>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</si>
  <si>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</si>
  <si>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</si>
  <si>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</si>
  <si>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</si>
  <si>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</si>
  <si>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</si>
  <si>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</si>
  <si>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</si>
  <si>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</si>
  <si>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</si>
  <si>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</si>
  <si>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</si>
  <si>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</si>
  <si>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</si>
  <si>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</si>
  <si>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</si>
  <si>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</si>
  <si>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</si>
  <si>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</si>
  <si>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</si>
  <si>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</si>
  <si>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</si>
  <si>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</si>
  <si>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</si>
  <si>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</si>
  <si>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</si>
  <si>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</si>
  <si>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</si>
  <si>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</si>
  <si>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</si>
  <si>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</si>
  <si>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</si>
  <si>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</si>
  <si>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</si>
  <si>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</si>
  <si>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</si>
  <si>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</si>
  <si>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</si>
  <si>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</si>
  <si>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</si>
  <si>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</si>
  <si>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</si>
  <si>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</si>
  <si>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</si>
  <si>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</si>
  <si>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</si>
  <si>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</si>
  <si>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</si>
  <si>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</si>
  <si>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</si>
  <si>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</si>
  <si>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</si>
  <si>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</si>
  <si>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</si>
  <si>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</si>
  <si>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</si>
  <si>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</si>
  <si>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</si>
  <si>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</si>
  <si>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</si>
  <si>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</si>
  <si>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</si>
  <si>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</si>
  <si>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</si>
  <si>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</si>
  <si>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</si>
  <si>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</si>
  <si>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</si>
  <si>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</si>
  <si>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</si>
  <si>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</si>
  <si>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</si>
  <si>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</si>
  <si>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</si>
  <si>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</si>
  <si>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</si>
  <si>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</si>
  <si>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</si>
  <si>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</si>
  <si>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</si>
  <si>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</si>
  <si>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</si>
  <si>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</si>
  <si>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</si>
  <si>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</si>
  <si>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</si>
  <si>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</si>
  <si>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</si>
  <si>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</si>
  <si>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</si>
  <si>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</si>
  <si>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</si>
  <si>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</si>
  <si>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</si>
  <si>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</si>
  <si>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</si>
  <si>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</si>
  <si>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</si>
  <si>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</si>
  <si>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</si>
  <si>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</si>
  <si>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</si>
  <si>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</si>
  <si>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</si>
  <si>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</si>
  <si>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</si>
  <si>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</si>
  <si>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</si>
  <si>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</si>
  <si>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</si>
  <si>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</si>
  <si>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</si>
  <si>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</si>
  <si>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</si>
  <si>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</si>
  <si>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</si>
  <si>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</si>
  <si>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</si>
  <si>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</si>
  <si>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</si>
  <si>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</si>
  <si>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</si>
  <si>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</si>
  <si>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</si>
  <si>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</si>
  <si>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</si>
  <si>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</si>
  <si>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</si>
  <si>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</si>
  <si>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</si>
  <si>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</si>
  <si>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</si>
  <si>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</si>
  <si>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</si>
  <si>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</si>
  <si>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</si>
  <si>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</si>
  <si>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</si>
  <si>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</si>
  <si>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ПС 750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</si>
  <si>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</si>
  <si>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</si>
  <si>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</si>
  <si>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</si>
  <si>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</si>
  <si>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</si>
  <si>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</si>
  <si>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</si>
  <si>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</si>
  <si>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</si>
  <si>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</si>
  <si>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</si>
  <si>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</si>
  <si>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</si>
  <si>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</si>
  <si>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</si>
  <si>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</si>
  <si>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</si>
  <si>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</si>
  <si>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</si>
  <si>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</si>
  <si>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</si>
  <si>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</si>
  <si>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</si>
  <si>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</si>
  <si>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</si>
  <si>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</si>
  <si>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</si>
  <si>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</si>
  <si>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</si>
  <si>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</si>
  <si>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</si>
  <si>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</si>
  <si>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</si>
  <si>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</si>
  <si>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</si>
  <si>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</si>
  <si>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</si>
  <si>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</si>
  <si>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</si>
  <si>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</si>
  <si>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система пожарной и охранной сигнализации ПС 750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</si>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</sst>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" fontId="16" fillId="0" borderId="0" xfId="0" applyNumberFormat="1" applyFon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311897</xdr:colOff>
      <xdr:row>28</xdr:row>
      <xdr:rowOff>89935</xdr:rowOff>
    </xdr:from>
    <xdr:to>
      <xdr:col>2</xdr:col>
      <xdr:colOff>1256699</xdr:colOff>
      <xdr:row>30</xdr:row>
      <xdr:rowOff>190718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9AB07C-BD42-4555-BCAE-8F652E0D8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132" y="12528464"/>
          <a:ext cx="944802" cy="504195"/>
        </a:xfrm>
        <a:prstGeom prst="rect">
          <a:avLst/>
        </a:prstGeom>
      </xdr:spPr>
    </xdr:pic>
    <xdr:clientData/>
  </xdr:twoCellAnchor>
  <xdr:twoCellAnchor editAs="oneCell">
    <xdr:from>
      <xdr:col>2</xdr:col>
      <xdr:colOff>445248</xdr:colOff>
      <xdr:row>26</xdr:row>
      <xdr:rowOff>250638</xdr:rowOff>
    </xdr:from>
    <xdr:to>
      <xdr:col>2</xdr:col>
      <xdr:colOff>1283447</xdr:colOff>
      <xdr:row>28</xdr:row>
      <xdr:rowOff>10315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0CA3528-805A-49D0-8C09-9DEC1D29C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83" y="12005609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551090</xdr:colOff>
      <xdr:row>18</xdr:row>
      <xdr:rowOff>109764</xdr:rowOff>
    </xdr:from>
    <xdr:to>
      <xdr:col>2</xdr:col>
      <xdr:colOff>1495892</xdr:colOff>
      <xdr:row>21</xdr:row>
      <xdr:rowOff>21656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D28313-1F05-4677-B2BC-FD39607CB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495390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684441</xdr:colOff>
      <xdr:row>15</xdr:row>
      <xdr:rowOff>188686</xdr:rowOff>
    </xdr:from>
    <xdr:to>
      <xdr:col>2</xdr:col>
      <xdr:colOff>1522640</xdr:colOff>
      <xdr:row>18</xdr:row>
      <xdr:rowOff>31825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7C1029-773D-4ABF-B852-EB9C6D60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155" y="4420507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60</xdr:row>
      <xdr:rowOff>91887</xdr:rowOff>
    </xdr:from>
    <xdr:to>
      <xdr:col>2</xdr:col>
      <xdr:colOff>1402002</xdr:colOff>
      <xdr:row>63</xdr:row>
      <xdr:rowOff>10982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889B7D-9D08-41B6-A5B9-7C85981C8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9446687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57</xdr:row>
      <xdr:rowOff>152400</xdr:rowOff>
    </xdr:from>
    <xdr:to>
      <xdr:col>2</xdr:col>
      <xdr:colOff>1428750</xdr:colOff>
      <xdr:row>60</xdr:row>
      <xdr:rowOff>13948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CF5E0F-E9F6-4C56-A776-A734BBA2C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1" y="189357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1EB04BD-2FFA-4F28-BA46-28A801DB0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D010E8F-5431-4AF7-B16F-C43AD2972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630331</xdr:colOff>
      <xdr:row>72</xdr:row>
      <xdr:rowOff>150998</xdr:rowOff>
    </xdr:from>
    <xdr:to>
      <xdr:col>2</xdr:col>
      <xdr:colOff>70183</xdr:colOff>
      <xdr:row>75</xdr:row>
      <xdr:rowOff>103711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C95063-6F76-47A5-B344-21159249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331" y="20820248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763682</xdr:colOff>
      <xdr:row>69</xdr:row>
      <xdr:rowOff>427224</xdr:rowOff>
    </xdr:from>
    <xdr:to>
      <xdr:col>2</xdr:col>
      <xdr:colOff>96931</xdr:colOff>
      <xdr:row>72</xdr:row>
      <xdr:rowOff>73059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15407B-12E8-4008-B399-090922E82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682" y="20286849"/>
          <a:ext cx="833437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28</xdr:row>
      <xdr:rowOff>66674</xdr:rowOff>
    </xdr:from>
    <xdr:to>
      <xdr:col>2</xdr:col>
      <xdr:colOff>106602</xdr:colOff>
      <xdr:row>31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0F0B71-A4CF-4335-89F3-49AE5E98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03917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466726</xdr:colOff>
      <xdr:row>25</xdr:row>
      <xdr:rowOff>161925</xdr:rowOff>
    </xdr:from>
    <xdr:to>
      <xdr:col>2</xdr:col>
      <xdr:colOff>133350</xdr:colOff>
      <xdr:row>27</xdr:row>
      <xdr:rowOff>179235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950165D-0334-4095-89CE-D731F470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98583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13</xdr:row>
      <xdr:rowOff>133349</xdr:rowOff>
    </xdr:from>
    <xdr:to>
      <xdr:col>0</xdr:col>
      <xdr:colOff>1802052</xdr:colOff>
      <xdr:row>16</xdr:row>
      <xdr:rowOff>86062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1274672-C3FE-4130-B08A-CA344477B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4956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990601</xdr:colOff>
      <xdr:row>10</xdr:row>
      <xdr:rowOff>781050</xdr:rowOff>
    </xdr:from>
    <xdr:to>
      <xdr:col>0</xdr:col>
      <xdr:colOff>1828800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72BED57-F04E-4945-9F4B-6D7C322FA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27</xdr:row>
      <xdr:rowOff>88899</xdr:rowOff>
    </xdr:from>
    <xdr:to>
      <xdr:col>1</xdr:col>
      <xdr:colOff>1770302</xdr:colOff>
      <xdr:row>30</xdr:row>
      <xdr:rowOff>41612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DE9C8C-96ED-4013-9D65-9F483B81E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93916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958851</xdr:colOff>
      <xdr:row>24</xdr:row>
      <xdr:rowOff>127000</xdr:rowOff>
    </xdr:from>
    <xdr:to>
      <xdr:col>1</xdr:col>
      <xdr:colOff>1797050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0A86E0D-674C-4B8A-8C6D-943DBA2C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1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5" t="s">
        <v>3</v>
      </c>
      <c r="C6" s="205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8" t="s">
        <v>284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54" t="s">
        <v>285</v>
      </c>
      <c r="B5" s="254"/>
      <c r="C5" s="254"/>
      <c r="D5" s="191" t="str">
        <f>'Прил.5 Расчет СМР и ОБ'!D6:J6</f>
        <v xml:space="preserve">Постоянная часть ПС система пожарной и охранной сигнализации ПС 750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16" t="s">
        <v>5</v>
      </c>
      <c r="B8" s="216" t="s">
        <v>6</v>
      </c>
      <c r="C8" s="216" t="s">
        <v>286</v>
      </c>
      <c r="D8" s="216" t="s">
        <v>287</v>
      </c>
    </row>
    <row r="9" spans="1:4" x14ac:dyDescent="0.25">
      <c r="A9" s="216"/>
      <c r="B9" s="216"/>
      <c r="C9" s="216"/>
      <c r="D9" s="216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288</v>
      </c>
      <c r="B11" s="116" t="s">
        <v>289</v>
      </c>
      <c r="C11" s="192" t="str">
        <f>D5</f>
        <v xml:space="preserve">Постоянная часть ПС система пожарной и охранной сигнализации ПС 750 кВ </v>
      </c>
      <c r="D11" s="176">
        <f>'Прил.4 РМ'!C41/1000</f>
        <v>6043.2501199999997</v>
      </c>
    </row>
    <row r="13" spans="1:4" x14ac:dyDescent="0.25">
      <c r="A13" s="4" t="s">
        <v>290</v>
      </c>
      <c r="B13" s="12"/>
      <c r="C13" s="12"/>
      <c r="D13" s="24"/>
    </row>
    <row r="14" spans="1:4" x14ac:dyDescent="0.25">
      <c r="A14" s="16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0" t="s">
        <v>291</v>
      </c>
      <c r="C4" s="210"/>
      <c r="D4" s="210"/>
    </row>
    <row r="5" spans="2:5" ht="18.75" customHeight="1" x14ac:dyDescent="0.25">
      <c r="B5" s="169"/>
    </row>
    <row r="6" spans="2:5" ht="15.75" customHeight="1" x14ac:dyDescent="0.25">
      <c r="B6" s="211" t="s">
        <v>292</v>
      </c>
      <c r="C6" s="211"/>
      <c r="D6" s="211"/>
    </row>
    <row r="7" spans="2:5" x14ac:dyDescent="0.25">
      <c r="B7" s="255"/>
      <c r="C7" s="255"/>
      <c r="D7" s="255"/>
      <c r="E7" s="255"/>
    </row>
    <row r="8" spans="2:5" x14ac:dyDescent="0.25">
      <c r="B8" s="170"/>
      <c r="C8" s="170"/>
      <c r="D8" s="170"/>
      <c r="E8" s="170"/>
    </row>
    <row r="9" spans="2:5" ht="47.25" customHeight="1" x14ac:dyDescent="0.25">
      <c r="B9" s="116" t="s">
        <v>293</v>
      </c>
      <c r="C9" s="116" t="s">
        <v>294</v>
      </c>
      <c r="D9" s="116" t="s">
        <v>295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296</v>
      </c>
      <c r="C11" s="116" t="s">
        <v>297</v>
      </c>
      <c r="D11" s="116">
        <v>44.29</v>
      </c>
    </row>
    <row r="12" spans="2:5" ht="29.25" customHeight="1" x14ac:dyDescent="0.25">
      <c r="B12" s="116" t="s">
        <v>298</v>
      </c>
      <c r="C12" s="116" t="s">
        <v>297</v>
      </c>
      <c r="D12" s="116">
        <v>13.47</v>
      </c>
    </row>
    <row r="13" spans="2:5" ht="29.25" customHeight="1" x14ac:dyDescent="0.25">
      <c r="B13" s="116" t="s">
        <v>299</v>
      </c>
      <c r="C13" s="116" t="s">
        <v>297</v>
      </c>
      <c r="D13" s="116">
        <v>8.0399999999999991</v>
      </c>
    </row>
    <row r="14" spans="2:5" ht="30.75" customHeight="1" x14ac:dyDescent="0.25">
      <c r="B14" s="116" t="s">
        <v>300</v>
      </c>
      <c r="C14" s="119" t="s">
        <v>301</v>
      </c>
      <c r="D14" s="116">
        <v>6.26</v>
      </c>
    </row>
    <row r="15" spans="2:5" ht="89.45" customHeight="1" x14ac:dyDescent="0.25">
      <c r="B15" s="116" t="s">
        <v>302</v>
      </c>
      <c r="C15" s="116" t="s">
        <v>303</v>
      </c>
      <c r="D15" s="171">
        <v>3.9E-2</v>
      </c>
    </row>
    <row r="16" spans="2:5" ht="78.75" customHeight="1" x14ac:dyDescent="0.25">
      <c r="B16" s="116" t="s">
        <v>304</v>
      </c>
      <c r="C16" s="116" t="s">
        <v>305</v>
      </c>
      <c r="D16" s="171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306</v>
      </c>
      <c r="C18" s="116" t="s">
        <v>307</v>
      </c>
      <c r="D18" s="171">
        <v>2.1399999999999999E-2</v>
      </c>
    </row>
    <row r="19" spans="2:4" ht="31.7" customHeight="1" x14ac:dyDescent="0.25">
      <c r="B19" s="116" t="s">
        <v>234</v>
      </c>
      <c r="C19" s="116" t="s">
        <v>308</v>
      </c>
      <c r="D19" s="171">
        <v>2E-3</v>
      </c>
    </row>
    <row r="20" spans="2:4" ht="24" customHeight="1" x14ac:dyDescent="0.25">
      <c r="B20" s="116" t="s">
        <v>236</v>
      </c>
      <c r="C20" s="116" t="s">
        <v>309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310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4" sqref="H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11" t="s">
        <v>311</v>
      </c>
      <c r="B2" s="211"/>
      <c r="C2" s="211"/>
      <c r="D2" s="211"/>
      <c r="E2" s="211"/>
      <c r="F2" s="211"/>
    </row>
    <row r="4" spans="1:7" ht="18" customHeight="1" x14ac:dyDescent="0.25">
      <c r="A4" s="173" t="s">
        <v>312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313</v>
      </c>
      <c r="C5" s="174" t="s">
        <v>314</v>
      </c>
      <c r="D5" s="174" t="s">
        <v>315</v>
      </c>
      <c r="E5" s="174" t="s">
        <v>316</v>
      </c>
      <c r="F5" s="174" t="s">
        <v>317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318</v>
      </c>
      <c r="B7" s="118" t="s">
        <v>319</v>
      </c>
      <c r="C7" s="116" t="s">
        <v>320</v>
      </c>
      <c r="D7" s="116" t="s">
        <v>321</v>
      </c>
      <c r="E7" s="176">
        <v>47872.94</v>
      </c>
      <c r="F7" s="118" t="s">
        <v>322</v>
      </c>
      <c r="G7" s="113"/>
    </row>
    <row r="8" spans="1:7" ht="31.7" customHeight="1" x14ac:dyDescent="0.25">
      <c r="A8" s="175" t="s">
        <v>323</v>
      </c>
      <c r="B8" s="118" t="s">
        <v>324</v>
      </c>
      <c r="C8" s="116" t="s">
        <v>325</v>
      </c>
      <c r="D8" s="116" t="s">
        <v>326</v>
      </c>
      <c r="E8" s="176">
        <f>1973/12</f>
        <v>164.41666666667001</v>
      </c>
      <c r="F8" s="118" t="s">
        <v>327</v>
      </c>
      <c r="G8" s="177"/>
    </row>
    <row r="9" spans="1:7" ht="15.75" customHeight="1" x14ac:dyDescent="0.25">
      <c r="A9" s="175" t="s">
        <v>328</v>
      </c>
      <c r="B9" s="118" t="s">
        <v>329</v>
      </c>
      <c r="C9" s="116" t="s">
        <v>330</v>
      </c>
      <c r="D9" s="116" t="s">
        <v>321</v>
      </c>
      <c r="E9" s="176">
        <v>1</v>
      </c>
      <c r="F9" s="118"/>
      <c r="G9" s="177"/>
    </row>
    <row r="10" spans="1:7" ht="15.75" customHeight="1" x14ac:dyDescent="0.25">
      <c r="A10" s="175" t="s">
        <v>331</v>
      </c>
      <c r="B10" s="118" t="s">
        <v>332</v>
      </c>
      <c r="C10" s="116"/>
      <c r="D10" s="116"/>
      <c r="E10" s="178">
        <v>4</v>
      </c>
      <c r="F10" s="118" t="s">
        <v>333</v>
      </c>
      <c r="G10" s="177"/>
    </row>
    <row r="11" spans="1:7" ht="78.75" customHeight="1" x14ac:dyDescent="0.25">
      <c r="A11" s="175" t="s">
        <v>334</v>
      </c>
      <c r="B11" s="118" t="s">
        <v>335</v>
      </c>
      <c r="C11" s="116" t="s">
        <v>336</v>
      </c>
      <c r="D11" s="116" t="s">
        <v>321</v>
      </c>
      <c r="E11" s="179">
        <v>1.34</v>
      </c>
      <c r="F11" s="118" t="s">
        <v>337</v>
      </c>
      <c r="G11" s="113"/>
    </row>
    <row r="12" spans="1:7" ht="78.75" customHeight="1" x14ac:dyDescent="0.25">
      <c r="A12" s="175" t="s">
        <v>338</v>
      </c>
      <c r="B12" s="117" t="s">
        <v>339</v>
      </c>
      <c r="C12" s="116" t="s">
        <v>340</v>
      </c>
      <c r="D12" s="116" t="s">
        <v>321</v>
      </c>
      <c r="E12" s="180">
        <v>1.139</v>
      </c>
      <c r="F12" s="181" t="s">
        <v>341</v>
      </c>
      <c r="G12" s="177"/>
    </row>
    <row r="13" spans="1:7" ht="63" customHeight="1" x14ac:dyDescent="0.25">
      <c r="A13" s="175" t="s">
        <v>342</v>
      </c>
      <c r="B13" s="132" t="s">
        <v>343</v>
      </c>
      <c r="C13" s="116" t="s">
        <v>344</v>
      </c>
      <c r="D13" s="116" t="s">
        <v>345</v>
      </c>
      <c r="E13" s="182">
        <f>((E7*E9/E8)*E11)*E12</f>
        <v>444.39870291576</v>
      </c>
      <c r="F13" s="118" t="s">
        <v>346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6" t="s">
        <v>347</v>
      </c>
      <c r="B1" s="256"/>
      <c r="C1" s="256"/>
      <c r="D1" s="256"/>
      <c r="E1" s="256"/>
      <c r="F1" s="256"/>
      <c r="G1" s="256"/>
      <c r="H1" s="256"/>
      <c r="I1" s="256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7"/>
      <c r="B4" s="257"/>
      <c r="C4" s="257"/>
      <c r="D4" s="257"/>
      <c r="E4" s="257"/>
      <c r="F4" s="257"/>
      <c r="G4" s="257"/>
      <c r="H4" s="257"/>
      <c r="I4" s="257"/>
    </row>
    <row r="5" spans="1:13" s="29" customFormat="1" ht="36.75" customHeight="1" x14ac:dyDescent="0.35">
      <c r="A5" s="258" t="s">
        <v>13</v>
      </c>
      <c r="B5" s="258" t="s">
        <v>348</v>
      </c>
      <c r="C5" s="258" t="s">
        <v>349</v>
      </c>
      <c r="D5" s="258" t="s">
        <v>350</v>
      </c>
      <c r="E5" s="253" t="s">
        <v>351</v>
      </c>
      <c r="F5" s="253"/>
      <c r="G5" s="253"/>
      <c r="H5" s="253"/>
      <c r="I5" s="253"/>
    </row>
    <row r="6" spans="1:13" s="24" customFormat="1" ht="31.7" customHeight="1" x14ac:dyDescent="0.2">
      <c r="A6" s="258"/>
      <c r="B6" s="258"/>
      <c r="C6" s="258"/>
      <c r="D6" s="258"/>
      <c r="E6" s="30" t="s">
        <v>86</v>
      </c>
      <c r="F6" s="30" t="s">
        <v>87</v>
      </c>
      <c r="G6" s="30" t="s">
        <v>43</v>
      </c>
      <c r="H6" s="30" t="s">
        <v>352</v>
      </c>
      <c r="I6" s="30" t="s">
        <v>353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354</v>
      </c>
      <c r="C9" s="8" t="s">
        <v>355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356</v>
      </c>
      <c r="C11" s="8" t="s">
        <v>304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357</v>
      </c>
      <c r="C12" s="8" t="s">
        <v>358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359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307</v>
      </c>
      <c r="C14" s="8" t="s">
        <v>360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361</v>
      </c>
      <c r="C16" s="8" t="s">
        <v>362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363</v>
      </c>
    </row>
    <row r="17" spans="1:10" s="24" customFormat="1" ht="81.75" customHeight="1" x14ac:dyDescent="0.2">
      <c r="A17" s="31">
        <v>7</v>
      </c>
      <c r="B17" s="8" t="s">
        <v>361</v>
      </c>
      <c r="C17" s="8" t="s">
        <v>364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365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366</v>
      </c>
      <c r="C20" s="8" t="s">
        <v>236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367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368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369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370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371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0" t="s">
        <v>372</v>
      </c>
      <c r="O2" s="260"/>
    </row>
    <row r="3" spans="1:16" x14ac:dyDescent="0.25">
      <c r="A3" s="261" t="s">
        <v>373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5" spans="1:16" ht="37.5" customHeight="1" x14ac:dyDescent="0.25">
      <c r="A5" s="262" t="s">
        <v>374</v>
      </c>
      <c r="B5" s="265" t="s">
        <v>375</v>
      </c>
      <c r="C5" s="268" t="s">
        <v>376</v>
      </c>
      <c r="D5" s="271" t="s">
        <v>377</v>
      </c>
      <c r="E5" s="272"/>
      <c r="F5" s="272"/>
      <c r="G5" s="272"/>
      <c r="H5" s="272"/>
      <c r="I5" s="271" t="s">
        <v>378</v>
      </c>
      <c r="J5" s="272"/>
      <c r="K5" s="272"/>
      <c r="L5" s="272"/>
      <c r="M5" s="272"/>
      <c r="N5" s="272"/>
      <c r="O5" s="47" t="s">
        <v>379</v>
      </c>
    </row>
    <row r="6" spans="1:16" s="50" customFormat="1" ht="150" customHeight="1" x14ac:dyDescent="0.25">
      <c r="A6" s="263"/>
      <c r="B6" s="266"/>
      <c r="C6" s="269"/>
      <c r="D6" s="268" t="s">
        <v>380</v>
      </c>
      <c r="E6" s="273" t="s">
        <v>381</v>
      </c>
      <c r="F6" s="274"/>
      <c r="G6" s="275"/>
      <c r="H6" s="48" t="s">
        <v>382</v>
      </c>
      <c r="I6" s="276" t="s">
        <v>383</v>
      </c>
      <c r="J6" s="276" t="s">
        <v>380</v>
      </c>
      <c r="K6" s="277" t="s">
        <v>381</v>
      </c>
      <c r="L6" s="277"/>
      <c r="M6" s="277"/>
      <c r="N6" s="48" t="s">
        <v>382</v>
      </c>
      <c r="O6" s="49" t="s">
        <v>384</v>
      </c>
    </row>
    <row r="7" spans="1:16" s="50" customFormat="1" ht="30.75" customHeight="1" x14ac:dyDescent="0.25">
      <c r="A7" s="264"/>
      <c r="B7" s="267"/>
      <c r="C7" s="270"/>
      <c r="D7" s="270"/>
      <c r="E7" s="47" t="s">
        <v>86</v>
      </c>
      <c r="F7" s="47" t="s">
        <v>87</v>
      </c>
      <c r="G7" s="47" t="s">
        <v>43</v>
      </c>
      <c r="H7" s="51" t="s">
        <v>385</v>
      </c>
      <c r="I7" s="276"/>
      <c r="J7" s="276"/>
      <c r="K7" s="47" t="s">
        <v>86</v>
      </c>
      <c r="L7" s="47" t="s">
        <v>87</v>
      </c>
      <c r="M7" s="47" t="s">
        <v>43</v>
      </c>
      <c r="N7" s="51" t="s">
        <v>385</v>
      </c>
      <c r="O7" s="47" t="s">
        <v>386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2" t="s">
        <v>387</v>
      </c>
      <c r="C9" s="53" t="s">
        <v>388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4"/>
      <c r="C10" s="56" t="s">
        <v>389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2" t="s">
        <v>390</v>
      </c>
      <c r="C11" s="56" t="s">
        <v>391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4"/>
      <c r="C12" s="56" t="s">
        <v>392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2" t="s">
        <v>393</v>
      </c>
      <c r="C13" s="53" t="s">
        <v>394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4"/>
      <c r="C14" s="56" t="s">
        <v>395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396</v>
      </c>
      <c r="C15" s="56" t="s">
        <v>397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399</v>
      </c>
    </row>
    <row r="19" spans="1:15" ht="30.75" customHeight="1" x14ac:dyDescent="0.25">
      <c r="L19" s="68"/>
    </row>
    <row r="20" spans="1:15" ht="15" customHeight="1" outlineLevel="1" x14ac:dyDescent="0.25">
      <c r="G20" s="259" t="s">
        <v>400</v>
      </c>
      <c r="H20" s="259"/>
      <c r="I20" s="259"/>
      <c r="J20" s="259"/>
      <c r="K20" s="259"/>
      <c r="L20" s="259"/>
      <c r="M20" s="259"/>
      <c r="N20" s="259"/>
    </row>
    <row r="21" spans="1:15" ht="15.75" customHeight="1" outlineLevel="1" x14ac:dyDescent="0.25">
      <c r="G21" s="69"/>
      <c r="H21" s="69" t="s">
        <v>401</v>
      </c>
      <c r="I21" s="69" t="s">
        <v>402</v>
      </c>
      <c r="J21" s="69" t="s">
        <v>403</v>
      </c>
      <c r="K21" s="70" t="s">
        <v>404</v>
      </c>
      <c r="L21" s="69" t="s">
        <v>405</v>
      </c>
      <c r="M21" s="69" t="s">
        <v>406</v>
      </c>
      <c r="N21" s="69" t="s">
        <v>407</v>
      </c>
      <c r="O21" s="63"/>
    </row>
    <row r="22" spans="1:15" ht="15.75" customHeight="1" outlineLevel="1" x14ac:dyDescent="0.25">
      <c r="G22" s="279" t="s">
        <v>408</v>
      </c>
      <c r="H22" s="278">
        <v>6.09</v>
      </c>
      <c r="I22" s="280">
        <v>6.44</v>
      </c>
      <c r="J22" s="278">
        <v>5.77</v>
      </c>
      <c r="K22" s="280">
        <v>5.77</v>
      </c>
      <c r="L22" s="278">
        <v>5.23</v>
      </c>
      <c r="M22" s="278">
        <v>5.77</v>
      </c>
      <c r="N22" s="71">
        <v>6.29</v>
      </c>
      <c r="O22" t="s">
        <v>409</v>
      </c>
    </row>
    <row r="23" spans="1:15" ht="15.75" customHeight="1" outlineLevel="1" x14ac:dyDescent="0.25">
      <c r="G23" s="279"/>
      <c r="H23" s="278"/>
      <c r="I23" s="280"/>
      <c r="J23" s="278"/>
      <c r="K23" s="280"/>
      <c r="L23" s="278"/>
      <c r="M23" s="278"/>
      <c r="N23" s="71">
        <v>6.56</v>
      </c>
      <c r="O23" t="s">
        <v>410</v>
      </c>
    </row>
    <row r="24" spans="1:15" ht="15.75" customHeight="1" outlineLevel="1" x14ac:dyDescent="0.25">
      <c r="G24" s="72" t="s">
        <v>411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385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412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413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6" t="s">
        <v>414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</row>
    <row r="4" spans="1:18" ht="36.75" customHeight="1" x14ac:dyDescent="0.25">
      <c r="A4" s="262" t="s">
        <v>374</v>
      </c>
      <c r="B4" s="265" t="s">
        <v>375</v>
      </c>
      <c r="C4" s="268" t="s">
        <v>415</v>
      </c>
      <c r="D4" s="268" t="s">
        <v>416</v>
      </c>
      <c r="E4" s="271" t="s">
        <v>417</v>
      </c>
      <c r="F4" s="272"/>
      <c r="G4" s="272"/>
      <c r="H4" s="272"/>
      <c r="I4" s="272"/>
      <c r="J4" s="272"/>
      <c r="K4" s="272"/>
      <c r="L4" s="272"/>
      <c r="M4" s="272"/>
      <c r="N4" s="297" t="s">
        <v>418</v>
      </c>
      <c r="O4" s="298"/>
      <c r="P4" s="298"/>
      <c r="Q4" s="298"/>
      <c r="R4" s="299"/>
    </row>
    <row r="5" spans="1:18" ht="60" customHeight="1" x14ac:dyDescent="0.25">
      <c r="A5" s="263"/>
      <c r="B5" s="266"/>
      <c r="C5" s="269"/>
      <c r="D5" s="269"/>
      <c r="E5" s="276" t="s">
        <v>419</v>
      </c>
      <c r="F5" s="276" t="s">
        <v>420</v>
      </c>
      <c r="G5" s="273" t="s">
        <v>381</v>
      </c>
      <c r="H5" s="274"/>
      <c r="I5" s="274"/>
      <c r="J5" s="275"/>
      <c r="K5" s="276" t="s">
        <v>421</v>
      </c>
      <c r="L5" s="276"/>
      <c r="M5" s="276"/>
      <c r="N5" s="74" t="s">
        <v>422</v>
      </c>
      <c r="O5" s="74" t="s">
        <v>423</v>
      </c>
      <c r="P5" s="74" t="s">
        <v>424</v>
      </c>
      <c r="Q5" s="75" t="s">
        <v>425</v>
      </c>
      <c r="R5" s="74" t="s">
        <v>426</v>
      </c>
    </row>
    <row r="6" spans="1:18" ht="49.7" customHeight="1" x14ac:dyDescent="0.25">
      <c r="A6" s="264"/>
      <c r="B6" s="267"/>
      <c r="C6" s="270"/>
      <c r="D6" s="270"/>
      <c r="E6" s="276"/>
      <c r="F6" s="276"/>
      <c r="G6" s="47" t="s">
        <v>86</v>
      </c>
      <c r="H6" s="47" t="s">
        <v>87</v>
      </c>
      <c r="I6" s="47" t="s">
        <v>43</v>
      </c>
      <c r="J6" s="47" t="s">
        <v>352</v>
      </c>
      <c r="K6" s="47" t="s">
        <v>422</v>
      </c>
      <c r="L6" s="47" t="s">
        <v>423</v>
      </c>
      <c r="M6" s="47" t="s">
        <v>424</v>
      </c>
      <c r="N6" s="47" t="s">
        <v>427</v>
      </c>
      <c r="O6" s="47" t="s">
        <v>428</v>
      </c>
      <c r="P6" s="47" t="s">
        <v>429</v>
      </c>
      <c r="Q6" s="48" t="s">
        <v>430</v>
      </c>
      <c r="R6" s="47" t="s">
        <v>431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2">
        <v>1</v>
      </c>
      <c r="B9" s="262" t="s">
        <v>432</v>
      </c>
      <c r="C9" s="289" t="s">
        <v>388</v>
      </c>
      <c r="D9" s="53" t="s">
        <v>433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64"/>
      <c r="B10" s="263"/>
      <c r="C10" s="290"/>
      <c r="D10" s="53" t="s">
        <v>434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2">
        <v>2</v>
      </c>
      <c r="B11" s="263"/>
      <c r="C11" s="289" t="s">
        <v>435</v>
      </c>
      <c r="D11" s="53" t="s">
        <v>433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4"/>
      <c r="B12" s="264"/>
      <c r="C12" s="290"/>
      <c r="D12" s="53" t="s">
        <v>434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2">
        <v>3</v>
      </c>
      <c r="B13" s="262" t="s">
        <v>390</v>
      </c>
      <c r="C13" s="292" t="s">
        <v>391</v>
      </c>
      <c r="D13" s="53" t="s">
        <v>436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64"/>
      <c r="B14" s="263"/>
      <c r="C14" s="293"/>
      <c r="D14" s="53" t="s">
        <v>434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2">
        <v>4</v>
      </c>
      <c r="B15" s="263"/>
      <c r="C15" s="294" t="s">
        <v>392</v>
      </c>
      <c r="D15" s="56" t="s">
        <v>436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4"/>
      <c r="B16" s="264"/>
      <c r="C16" s="295"/>
      <c r="D16" s="56" t="s">
        <v>434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2">
        <v>5</v>
      </c>
      <c r="B17" s="277" t="s">
        <v>393</v>
      </c>
      <c r="C17" s="289" t="s">
        <v>437</v>
      </c>
      <c r="D17" s="53" t="s">
        <v>438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4"/>
      <c r="B18" s="277"/>
      <c r="C18" s="290"/>
      <c r="D18" s="53" t="s">
        <v>434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2">
        <v>6</v>
      </c>
      <c r="B19" s="277"/>
      <c r="C19" s="289" t="s">
        <v>395</v>
      </c>
      <c r="D19" s="56" t="s">
        <v>436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4"/>
      <c r="B20" s="277"/>
      <c r="C20" s="290"/>
      <c r="D20" s="56" t="s">
        <v>434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2">
        <v>7</v>
      </c>
      <c r="B21" s="262" t="s">
        <v>396</v>
      </c>
      <c r="C21" s="289" t="s">
        <v>397</v>
      </c>
      <c r="D21" s="56" t="s">
        <v>439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4"/>
      <c r="B22" s="264"/>
      <c r="C22" s="290"/>
      <c r="D22" s="79" t="s">
        <v>434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440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1" t="s">
        <v>441</v>
      </c>
      <c r="E26" s="291"/>
      <c r="F26" s="291"/>
      <c r="G26" s="291"/>
      <c r="H26" s="291"/>
      <c r="I26" s="291"/>
      <c r="J26" s="291"/>
      <c r="K26" s="291"/>
      <c r="L26" s="68"/>
      <c r="R26" s="86"/>
    </row>
    <row r="27" spans="1:18" outlineLevel="1" x14ac:dyDescent="0.25">
      <c r="D27" s="87"/>
      <c r="E27" s="87" t="s">
        <v>401</v>
      </c>
      <c r="F27" s="87" t="s">
        <v>402</v>
      </c>
      <c r="G27" s="87" t="s">
        <v>403</v>
      </c>
      <c r="H27" s="88" t="s">
        <v>404</v>
      </c>
      <c r="I27" s="88" t="s">
        <v>405</v>
      </c>
      <c r="J27" s="88" t="s">
        <v>406</v>
      </c>
      <c r="K27" s="59" t="s">
        <v>407</v>
      </c>
    </row>
    <row r="28" spans="1:18" outlineLevel="1" x14ac:dyDescent="0.25">
      <c r="D28" s="285" t="s">
        <v>408</v>
      </c>
      <c r="E28" s="283">
        <v>6.09</v>
      </c>
      <c r="F28" s="287">
        <v>6.63</v>
      </c>
      <c r="G28" s="283">
        <v>5.77</v>
      </c>
      <c r="H28" s="281">
        <v>5.77</v>
      </c>
      <c r="I28" s="281">
        <v>6.35</v>
      </c>
      <c r="J28" s="283">
        <v>5.77</v>
      </c>
      <c r="K28" s="89">
        <v>6.29</v>
      </c>
      <c r="L28" t="s">
        <v>409</v>
      </c>
    </row>
    <row r="29" spans="1:18" outlineLevel="1" x14ac:dyDescent="0.25">
      <c r="D29" s="286"/>
      <c r="E29" s="284"/>
      <c r="F29" s="288"/>
      <c r="G29" s="284"/>
      <c r="H29" s="282"/>
      <c r="I29" s="282"/>
      <c r="J29" s="284"/>
      <c r="K29" s="89">
        <v>6.56</v>
      </c>
      <c r="L29" t="s">
        <v>410</v>
      </c>
    </row>
    <row r="30" spans="1:18" outlineLevel="1" x14ac:dyDescent="0.25">
      <c r="D30" s="90" t="s">
        <v>411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5" t="s">
        <v>385</v>
      </c>
      <c r="E31" s="283">
        <v>11.37</v>
      </c>
      <c r="F31" s="287">
        <v>13.56</v>
      </c>
      <c r="G31" s="283">
        <v>15.91</v>
      </c>
      <c r="H31" s="281">
        <v>15.91</v>
      </c>
      <c r="I31" s="281">
        <v>14.03</v>
      </c>
      <c r="J31" s="283">
        <v>15.91</v>
      </c>
      <c r="K31" s="89">
        <v>8.2899999999999991</v>
      </c>
      <c r="L31" t="s">
        <v>409</v>
      </c>
    </row>
    <row r="32" spans="1:18" outlineLevel="1" x14ac:dyDescent="0.25">
      <c r="D32" s="286"/>
      <c r="E32" s="284"/>
      <c r="F32" s="288"/>
      <c r="G32" s="284"/>
      <c r="H32" s="282"/>
      <c r="I32" s="282"/>
      <c r="J32" s="284"/>
      <c r="K32" s="89">
        <v>11.84</v>
      </c>
      <c r="L32" t="s">
        <v>410</v>
      </c>
    </row>
    <row r="33" spans="4:12" ht="15" customHeight="1" outlineLevel="1" x14ac:dyDescent="0.25">
      <c r="D33" s="91" t="s">
        <v>412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442</v>
      </c>
    </row>
    <row r="34" spans="4:12" outlineLevel="1" x14ac:dyDescent="0.25">
      <c r="D34" s="91" t="s">
        <v>413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442</v>
      </c>
    </row>
    <row r="35" spans="4:12" outlineLevel="1" x14ac:dyDescent="0.25">
      <c r="D35" s="90" t="s">
        <v>352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.200000000000003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23" zoomScale="85" zoomScaleNormal="55" zoomScaleSheetLayoutView="85" workbookViewId="0">
      <selection activeCell="D31" sqref="D31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10" t="s">
        <v>45</v>
      </c>
      <c r="C3" s="210"/>
      <c r="D3" s="210"/>
    </row>
    <row r="4" spans="2:4" x14ac:dyDescent="0.25">
      <c r="B4" s="211" t="s">
        <v>46</v>
      </c>
      <c r="C4" s="211"/>
      <c r="D4" s="211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12" t="s">
        <v>47</v>
      </c>
      <c r="C7" s="213"/>
      <c r="D7" s="213"/>
    </row>
    <row r="8" spans="2:4" ht="31.7" customHeight="1" x14ac:dyDescent="0.25">
      <c r="B8" s="213" t="s">
        <v>48</v>
      </c>
      <c r="C8" s="213"/>
      <c r="D8" s="213"/>
    </row>
    <row r="9" spans="2:4" x14ac:dyDescent="0.25">
      <c r="B9" s="213" t="s">
        <v>49</v>
      </c>
      <c r="C9" s="213"/>
      <c r="D9" s="213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D18+D19</f>
        <v>1103.4150694</v>
      </c>
    </row>
    <row r="18" spans="2:4" x14ac:dyDescent="0.25">
      <c r="B18" s="121" t="s">
        <v>62</v>
      </c>
      <c r="C18" s="117" t="s">
        <v>63</v>
      </c>
      <c r="D18" s="120">
        <f>'Прил.2 Расч стоим'!F12</f>
        <v>588.66177440000001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стоим'!H12</f>
        <v>514.75329499999998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1103.4150694</v>
      </c>
    </row>
    <row r="24" spans="2:4" ht="60.75" customHeight="1" x14ac:dyDescent="0.25">
      <c r="B24" s="116">
        <v>9</v>
      </c>
      <c r="C24" s="119" t="s">
        <v>73</v>
      </c>
      <c r="D24" s="120">
        <f>D23/D15</f>
        <v>1103.4150694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10" t="s">
        <v>79</v>
      </c>
      <c r="C3" s="210"/>
      <c r="D3" s="210"/>
      <c r="E3" s="210"/>
      <c r="F3" s="210"/>
      <c r="G3" s="210"/>
      <c r="H3" s="210"/>
      <c r="I3" s="210"/>
      <c r="J3" s="210"/>
      <c r="K3" s="126"/>
    </row>
    <row r="4" spans="2:12" x14ac:dyDescent="0.25">
      <c r="B4" s="211" t="s">
        <v>80</v>
      </c>
      <c r="C4" s="211"/>
      <c r="D4" s="211"/>
      <c r="E4" s="211"/>
      <c r="F4" s="211"/>
      <c r="G4" s="211"/>
      <c r="H4" s="211"/>
      <c r="I4" s="211"/>
      <c r="J4" s="211"/>
      <c r="K4" s="211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15" t="s">
        <v>81</v>
      </c>
      <c r="C6" s="215"/>
      <c r="D6" s="215"/>
      <c r="E6" s="215"/>
      <c r="F6" s="215"/>
      <c r="G6" s="215"/>
      <c r="H6" s="215"/>
      <c r="I6" s="215"/>
      <c r="J6" s="215"/>
      <c r="K6" s="126"/>
      <c r="L6" s="127"/>
    </row>
    <row r="7" spans="2:12" x14ac:dyDescent="0.25">
      <c r="B7" s="213" t="s">
        <v>49</v>
      </c>
      <c r="C7" s="213"/>
      <c r="D7" s="213"/>
      <c r="E7" s="213"/>
      <c r="F7" s="213"/>
      <c r="G7" s="213"/>
      <c r="H7" s="213"/>
      <c r="I7" s="213"/>
      <c r="J7" s="213"/>
      <c r="K7" s="213"/>
      <c r="L7" s="127"/>
    </row>
    <row r="8" spans="2:12" x14ac:dyDescent="0.25">
      <c r="B8" s="115"/>
    </row>
    <row r="9" spans="2:12" ht="15.75" customHeight="1" x14ac:dyDescent="0.25">
      <c r="B9" s="216" t="s">
        <v>33</v>
      </c>
      <c r="C9" s="216" t="s">
        <v>82</v>
      </c>
      <c r="D9" s="216" t="s">
        <v>51</v>
      </c>
      <c r="E9" s="216"/>
      <c r="F9" s="216"/>
      <c r="G9" s="216"/>
      <c r="H9" s="216"/>
      <c r="I9" s="216"/>
      <c r="J9" s="216"/>
    </row>
    <row r="10" spans="2:12" ht="15.75" customHeight="1" x14ac:dyDescent="0.25">
      <c r="B10" s="216"/>
      <c r="C10" s="216"/>
      <c r="D10" s="216" t="s">
        <v>83</v>
      </c>
      <c r="E10" s="216" t="s">
        <v>84</v>
      </c>
      <c r="F10" s="216" t="s">
        <v>85</v>
      </c>
      <c r="G10" s="216"/>
      <c r="H10" s="216"/>
      <c r="I10" s="216"/>
      <c r="J10" s="216"/>
    </row>
    <row r="11" spans="2:12" ht="31.7" customHeight="1" x14ac:dyDescent="0.25">
      <c r="B11" s="216"/>
      <c r="C11" s="216"/>
      <c r="D11" s="216"/>
      <c r="E11" s="216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63" customHeight="1" x14ac:dyDescent="0.25">
      <c r="B12" s="183">
        <v>1</v>
      </c>
      <c r="C12" s="136" t="s">
        <v>90</v>
      </c>
      <c r="D12" s="188"/>
      <c r="E12" s="118"/>
      <c r="F12" s="217">
        <v>588.66177440000001</v>
      </c>
      <c r="G12" s="218"/>
      <c r="H12" s="128">
        <v>514.75329499999998</v>
      </c>
      <c r="I12" s="129"/>
      <c r="J12" s="130">
        <v>1103.4150694</v>
      </c>
    </row>
    <row r="13" spans="2:12" ht="15.75" customHeight="1" x14ac:dyDescent="0.25">
      <c r="B13" s="214" t="s">
        <v>91</v>
      </c>
      <c r="C13" s="214"/>
      <c r="D13" s="214"/>
      <c r="E13" s="214"/>
      <c r="F13" s="131"/>
      <c r="G13" s="131"/>
      <c r="H13" s="131"/>
      <c r="I13" s="132"/>
      <c r="J13" s="133"/>
    </row>
    <row r="14" spans="2:12" ht="28.5" customHeight="1" x14ac:dyDescent="0.25">
      <c r="B14" s="214" t="s">
        <v>92</v>
      </c>
      <c r="C14" s="214"/>
      <c r="D14" s="214"/>
      <c r="E14" s="214"/>
      <c r="F14" s="219">
        <v>588.66177440000001</v>
      </c>
      <c r="G14" s="220"/>
      <c r="H14" s="200">
        <v>514.75329499999998</v>
      </c>
      <c r="I14" s="201"/>
      <c r="J14" s="202">
        <v>1103.4150694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topLeftCell="A38" zoomScale="55" zoomScaleSheetLayoutView="55" workbookViewId="0">
      <selection activeCell="G89" sqref="G89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4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10.7109375" style="113" customWidth="1"/>
  </cols>
  <sheetData>
    <row r="4" spans="1:13" x14ac:dyDescent="0.25">
      <c r="A4" s="210" t="s">
        <v>93</v>
      </c>
      <c r="B4" s="210"/>
      <c r="C4" s="210"/>
      <c r="D4" s="210"/>
      <c r="E4" s="210"/>
      <c r="F4" s="210"/>
      <c r="G4" s="210"/>
      <c r="H4" s="210"/>
    </row>
    <row r="5" spans="1:13" x14ac:dyDescent="0.25">
      <c r="A5" s="211" t="s">
        <v>94</v>
      </c>
      <c r="B5" s="211"/>
      <c r="C5" s="211"/>
      <c r="D5" s="211"/>
      <c r="E5" s="211"/>
      <c r="F5" s="211"/>
      <c r="G5" s="211"/>
      <c r="H5" s="211"/>
    </row>
    <row r="6" spans="1:13" x14ac:dyDescent="0.25">
      <c r="A6" s="115"/>
    </row>
    <row r="7" spans="1:13" ht="30.75" customHeight="1" x14ac:dyDescent="0.25">
      <c r="A7" s="215" t="s">
        <v>95</v>
      </c>
      <c r="B7" s="215"/>
      <c r="C7" s="215"/>
      <c r="D7" s="215"/>
      <c r="E7" s="215"/>
      <c r="F7" s="215"/>
      <c r="G7" s="215"/>
      <c r="H7" s="215"/>
    </row>
    <row r="8" spans="1:13" x14ac:dyDescent="0.25">
      <c r="A8" s="135"/>
      <c r="B8" s="135"/>
      <c r="C8" s="135"/>
      <c r="D8" s="135"/>
      <c r="E8" s="114"/>
      <c r="F8" s="135"/>
      <c r="G8" s="135"/>
      <c r="H8" s="135"/>
    </row>
    <row r="9" spans="1:13" ht="38.25" customHeight="1" x14ac:dyDescent="0.25">
      <c r="A9" s="216" t="s">
        <v>96</v>
      </c>
      <c r="B9" s="216" t="s">
        <v>97</v>
      </c>
      <c r="C9" s="216" t="s">
        <v>98</v>
      </c>
      <c r="D9" s="216" t="s">
        <v>99</v>
      </c>
      <c r="E9" s="216" t="s">
        <v>100</v>
      </c>
      <c r="F9" s="224" t="s">
        <v>101</v>
      </c>
      <c r="G9" s="216" t="s">
        <v>102</v>
      </c>
      <c r="H9" s="216"/>
    </row>
    <row r="10" spans="1:13" ht="40.700000000000003" customHeight="1" x14ac:dyDescent="0.25">
      <c r="A10" s="216"/>
      <c r="B10" s="216"/>
      <c r="C10" s="216"/>
      <c r="D10" s="216"/>
      <c r="E10" s="216"/>
      <c r="F10" s="225"/>
      <c r="G10" s="116" t="s">
        <v>103</v>
      </c>
      <c r="H10" s="116" t="s">
        <v>104</v>
      </c>
    </row>
    <row r="11" spans="1:13" x14ac:dyDescent="0.25">
      <c r="A11" s="136">
        <v>1</v>
      </c>
      <c r="B11" s="136"/>
      <c r="C11" s="136">
        <v>2</v>
      </c>
      <c r="D11" s="136" t="s">
        <v>105</v>
      </c>
      <c r="E11" s="136">
        <v>4</v>
      </c>
      <c r="F11" s="136">
        <v>5</v>
      </c>
      <c r="G11" s="136">
        <v>6</v>
      </c>
      <c r="H11" s="136">
        <v>7</v>
      </c>
    </row>
    <row r="12" spans="1:13" s="138" customFormat="1" x14ac:dyDescent="0.25">
      <c r="A12" s="221" t="s">
        <v>106</v>
      </c>
      <c r="B12" s="222"/>
      <c r="C12" s="223"/>
      <c r="D12" s="223"/>
      <c r="E12" s="222"/>
      <c r="F12" s="137">
        <f>SUM(F13:F20)</f>
        <v>4234.0821745572002</v>
      </c>
      <c r="G12" s="137"/>
      <c r="H12" s="137">
        <f>SUM(H13:H20)</f>
        <v>40815.22</v>
      </c>
      <c r="I12" s="113"/>
      <c r="J12" s="113"/>
      <c r="K12" s="113"/>
      <c r="L12" s="113"/>
      <c r="M12" s="113"/>
    </row>
    <row r="13" spans="1:13" x14ac:dyDescent="0.25">
      <c r="A13" s="139">
        <v>1</v>
      </c>
      <c r="B13" s="140" t="s">
        <v>107</v>
      </c>
      <c r="C13" s="141" t="s">
        <v>108</v>
      </c>
      <c r="D13" s="142" t="s">
        <v>109</v>
      </c>
      <c r="E13" s="143" t="s">
        <v>110</v>
      </c>
      <c r="F13" s="195">
        <v>3433.9035494953</v>
      </c>
      <c r="G13" s="144">
        <v>9.6199999999999992</v>
      </c>
      <c r="H13" s="144">
        <f t="shared" ref="H13:H20" si="0">ROUND(F13*G13,2)</f>
        <v>33034.15</v>
      </c>
    </row>
    <row r="14" spans="1:13" x14ac:dyDescent="0.25">
      <c r="A14" s="139">
        <v>2</v>
      </c>
      <c r="B14" s="140" t="s">
        <v>107</v>
      </c>
      <c r="C14" s="141" t="s">
        <v>111</v>
      </c>
      <c r="D14" s="142" t="s">
        <v>112</v>
      </c>
      <c r="E14" s="143" t="s">
        <v>110</v>
      </c>
      <c r="F14" s="198">
        <v>320.49715782456002</v>
      </c>
      <c r="G14" s="144">
        <v>9.4</v>
      </c>
      <c r="H14" s="144">
        <f t="shared" si="0"/>
        <v>3012.67</v>
      </c>
    </row>
    <row r="15" spans="1:13" x14ac:dyDescent="0.25">
      <c r="A15" s="139">
        <v>3</v>
      </c>
      <c r="B15" s="140" t="s">
        <v>107</v>
      </c>
      <c r="C15" s="141" t="s">
        <v>113</v>
      </c>
      <c r="D15" s="142" t="s">
        <v>114</v>
      </c>
      <c r="E15" s="143" t="s">
        <v>110</v>
      </c>
      <c r="F15" s="198">
        <v>182.44619990013001</v>
      </c>
      <c r="G15" s="144">
        <v>10.06</v>
      </c>
      <c r="H15" s="144">
        <f t="shared" si="0"/>
        <v>1835.41</v>
      </c>
    </row>
    <row r="16" spans="1:13" x14ac:dyDescent="0.25">
      <c r="A16" s="139">
        <v>4</v>
      </c>
      <c r="B16" s="140" t="s">
        <v>107</v>
      </c>
      <c r="C16" s="141" t="s">
        <v>115</v>
      </c>
      <c r="D16" s="142" t="s">
        <v>116</v>
      </c>
      <c r="E16" s="143" t="s">
        <v>110</v>
      </c>
      <c r="F16" s="198">
        <v>112.88858618819999</v>
      </c>
      <c r="G16" s="144">
        <v>9.92</v>
      </c>
      <c r="H16" s="144">
        <f t="shared" si="0"/>
        <v>1119.8499999999999</v>
      </c>
    </row>
    <row r="17" spans="1:13" x14ac:dyDescent="0.25">
      <c r="A17" s="139">
        <v>5</v>
      </c>
      <c r="B17" s="140" t="s">
        <v>107</v>
      </c>
      <c r="C17" s="141" t="s">
        <v>117</v>
      </c>
      <c r="D17" s="142" t="s">
        <v>118</v>
      </c>
      <c r="E17" s="143" t="s">
        <v>110</v>
      </c>
      <c r="F17" s="198">
        <v>76.019249958385998</v>
      </c>
      <c r="G17" s="144">
        <v>9.07</v>
      </c>
      <c r="H17" s="144">
        <f t="shared" si="0"/>
        <v>689.49</v>
      </c>
    </row>
    <row r="18" spans="1:13" x14ac:dyDescent="0.25">
      <c r="A18" s="139">
        <v>6</v>
      </c>
      <c r="B18" s="140" t="s">
        <v>107</v>
      </c>
      <c r="C18" s="141" t="s">
        <v>119</v>
      </c>
      <c r="D18" s="142" t="s">
        <v>120</v>
      </c>
      <c r="E18" s="143" t="s">
        <v>110</v>
      </c>
      <c r="F18" s="198">
        <v>54.733859970037997</v>
      </c>
      <c r="G18" s="144">
        <v>10.5</v>
      </c>
      <c r="H18" s="144">
        <f t="shared" si="0"/>
        <v>574.71</v>
      </c>
    </row>
    <row r="19" spans="1:13" x14ac:dyDescent="0.25">
      <c r="A19" s="139">
        <v>7</v>
      </c>
      <c r="B19" s="140" t="s">
        <v>107</v>
      </c>
      <c r="C19" s="141" t="s">
        <v>121</v>
      </c>
      <c r="D19" s="142" t="s">
        <v>122</v>
      </c>
      <c r="E19" s="143" t="s">
        <v>110</v>
      </c>
      <c r="F19" s="198">
        <v>41.050394977529002</v>
      </c>
      <c r="G19" s="144">
        <v>10.210000000000001</v>
      </c>
      <c r="H19" s="144">
        <f t="shared" si="0"/>
        <v>419.12</v>
      </c>
    </row>
    <row r="20" spans="1:13" x14ac:dyDescent="0.25">
      <c r="A20" s="139">
        <v>8</v>
      </c>
      <c r="B20" s="140" t="s">
        <v>107</v>
      </c>
      <c r="C20" s="141" t="s">
        <v>123</v>
      </c>
      <c r="D20" s="142" t="s">
        <v>124</v>
      </c>
      <c r="E20" s="143" t="s">
        <v>110</v>
      </c>
      <c r="F20" s="198">
        <v>12.543176243134001</v>
      </c>
      <c r="G20" s="144">
        <v>10.35</v>
      </c>
      <c r="H20" s="144">
        <f t="shared" si="0"/>
        <v>129.82</v>
      </c>
    </row>
    <row r="21" spans="1:13" x14ac:dyDescent="0.25">
      <c r="A21" s="221" t="s">
        <v>125</v>
      </c>
      <c r="B21" s="222"/>
      <c r="C21" s="223"/>
      <c r="D21" s="223"/>
      <c r="E21" s="222"/>
      <c r="F21" s="194">
        <f>F22</f>
        <v>18.570535853321001</v>
      </c>
      <c r="G21" s="137"/>
      <c r="H21" s="137">
        <f>H22</f>
        <v>61.5</v>
      </c>
    </row>
    <row r="22" spans="1:13" x14ac:dyDescent="0.25">
      <c r="A22" s="139">
        <v>9</v>
      </c>
      <c r="B22" s="139" t="s">
        <v>107</v>
      </c>
      <c r="C22" s="142">
        <v>2</v>
      </c>
      <c r="D22" s="142" t="s">
        <v>125</v>
      </c>
      <c r="E22" s="143" t="s">
        <v>110</v>
      </c>
      <c r="F22" s="195">
        <v>18.570535853321001</v>
      </c>
      <c r="G22" s="144"/>
      <c r="H22" s="144">
        <v>61.5</v>
      </c>
      <c r="K22" s="199"/>
    </row>
    <row r="23" spans="1:13" s="138" customFormat="1" x14ac:dyDescent="0.25">
      <c r="A23" s="221" t="s">
        <v>126</v>
      </c>
      <c r="B23" s="222"/>
      <c r="C23" s="223"/>
      <c r="D23" s="223"/>
      <c r="E23" s="222"/>
      <c r="F23" s="194"/>
      <c r="G23" s="137"/>
      <c r="H23" s="137">
        <f>SUM(H24:H27)</f>
        <v>1998.49</v>
      </c>
      <c r="I23" s="113"/>
      <c r="J23" s="113"/>
      <c r="K23" s="113"/>
      <c r="L23" s="113"/>
      <c r="M23" s="113"/>
    </row>
    <row r="24" spans="1:13" ht="31.7" customHeight="1" x14ac:dyDescent="0.25">
      <c r="A24" s="139">
        <v>10</v>
      </c>
      <c r="B24" s="139" t="s">
        <v>107</v>
      </c>
      <c r="C24" s="142" t="s">
        <v>127</v>
      </c>
      <c r="D24" s="142" t="s">
        <v>128</v>
      </c>
      <c r="E24" s="143" t="s">
        <v>129</v>
      </c>
      <c r="F24" s="195">
        <v>9.2556108632368002</v>
      </c>
      <c r="G24" s="144">
        <v>115.4</v>
      </c>
      <c r="H24" s="144">
        <f>ROUND(F24*G24,2)</f>
        <v>1068.0999999999999</v>
      </c>
    </row>
    <row r="25" spans="1:13" s="138" customFormat="1" x14ac:dyDescent="0.25">
      <c r="A25" s="139">
        <v>11</v>
      </c>
      <c r="B25" s="139" t="s">
        <v>107</v>
      </c>
      <c r="C25" s="142" t="s">
        <v>130</v>
      </c>
      <c r="D25" s="142" t="s">
        <v>131</v>
      </c>
      <c r="E25" s="143" t="s">
        <v>129</v>
      </c>
      <c r="F25" s="195">
        <v>9.2558051643030996</v>
      </c>
      <c r="G25" s="144">
        <v>65.709999999999994</v>
      </c>
      <c r="H25" s="144">
        <f>ROUND(F25*G25,2)</f>
        <v>608.20000000000005</v>
      </c>
      <c r="I25" s="113"/>
      <c r="J25" s="113"/>
      <c r="K25" s="113"/>
      <c r="L25" s="113"/>
      <c r="M25" s="113"/>
    </row>
    <row r="26" spans="1:13" s="138" customFormat="1" ht="31.7" customHeight="1" x14ac:dyDescent="0.25">
      <c r="A26" s="139">
        <v>12</v>
      </c>
      <c r="B26" s="139" t="s">
        <v>107</v>
      </c>
      <c r="C26" s="142" t="s">
        <v>132</v>
      </c>
      <c r="D26" s="142" t="s">
        <v>133</v>
      </c>
      <c r="E26" s="143" t="s">
        <v>129</v>
      </c>
      <c r="F26" s="195">
        <v>77.070622875683995</v>
      </c>
      <c r="G26" s="144">
        <v>3.28</v>
      </c>
      <c r="H26" s="144">
        <f>ROUND(F26*G26,2)</f>
        <v>252.79</v>
      </c>
      <c r="I26" s="113"/>
      <c r="J26" s="113"/>
      <c r="K26" s="113"/>
      <c r="L26" s="113"/>
      <c r="M26" s="113"/>
    </row>
    <row r="27" spans="1:13" s="138" customFormat="1" ht="31.7" customHeight="1" x14ac:dyDescent="0.25">
      <c r="A27" s="139">
        <v>13</v>
      </c>
      <c r="B27" s="139" t="s">
        <v>107</v>
      </c>
      <c r="C27" s="142" t="s">
        <v>134</v>
      </c>
      <c r="D27" s="142" t="s">
        <v>135</v>
      </c>
      <c r="E27" s="143" t="s">
        <v>129</v>
      </c>
      <c r="F27" s="195">
        <v>77.114545699293004</v>
      </c>
      <c r="G27" s="144">
        <v>0.9</v>
      </c>
      <c r="H27" s="144">
        <f>ROUND(F27*G27,2)</f>
        <v>69.400000000000006</v>
      </c>
      <c r="I27" s="113"/>
      <c r="J27" s="113"/>
      <c r="K27" s="113"/>
      <c r="L27" s="113"/>
      <c r="M27" s="113"/>
    </row>
    <row r="28" spans="1:13" x14ac:dyDescent="0.25">
      <c r="A28" s="221" t="s">
        <v>43</v>
      </c>
      <c r="B28" s="222"/>
      <c r="C28" s="223"/>
      <c r="D28" s="223"/>
      <c r="E28" s="222"/>
      <c r="F28" s="194"/>
      <c r="G28" s="137"/>
      <c r="H28" s="137">
        <f>SUM(H29:H41)</f>
        <v>106134.7</v>
      </c>
    </row>
    <row r="29" spans="1:13" s="138" customFormat="1" ht="31.7" customHeight="1" x14ac:dyDescent="0.25">
      <c r="A29" s="139">
        <v>14</v>
      </c>
      <c r="B29" s="139" t="s">
        <v>107</v>
      </c>
      <c r="C29" s="142" t="s">
        <v>136</v>
      </c>
      <c r="D29" s="142" t="s">
        <v>137</v>
      </c>
      <c r="E29" s="143" t="s">
        <v>138</v>
      </c>
      <c r="F29" s="195">
        <v>22</v>
      </c>
      <c r="G29" s="144">
        <v>1105.2</v>
      </c>
      <c r="H29" s="144">
        <f t="shared" ref="H29:H41" si="1">ROUND(F29*G29,2)</f>
        <v>24314.400000000001</v>
      </c>
      <c r="I29" s="113"/>
      <c r="J29" s="113"/>
      <c r="K29" s="113"/>
      <c r="L29" s="113"/>
      <c r="M29" s="113"/>
    </row>
    <row r="30" spans="1:13" s="138" customFormat="1" ht="47.25" customHeight="1" x14ac:dyDescent="0.25">
      <c r="A30" s="139">
        <v>15</v>
      </c>
      <c r="B30" s="139" t="s">
        <v>107</v>
      </c>
      <c r="C30" s="142" t="s">
        <v>139</v>
      </c>
      <c r="D30" s="142" t="s">
        <v>140</v>
      </c>
      <c r="E30" s="143" t="s">
        <v>138</v>
      </c>
      <c r="F30" s="195">
        <v>147</v>
      </c>
      <c r="G30" s="144">
        <v>116.52</v>
      </c>
      <c r="H30" s="144">
        <f t="shared" si="1"/>
        <v>17128.439999999999</v>
      </c>
      <c r="I30" s="113"/>
      <c r="J30" s="113"/>
      <c r="K30" s="113"/>
      <c r="L30" s="113"/>
      <c r="M30" s="113"/>
    </row>
    <row r="31" spans="1:13" s="138" customFormat="1" ht="63" customHeight="1" x14ac:dyDescent="0.25">
      <c r="A31" s="139">
        <v>16</v>
      </c>
      <c r="B31" s="139" t="s">
        <v>107</v>
      </c>
      <c r="C31" s="142" t="s">
        <v>141</v>
      </c>
      <c r="D31" s="142" t="s">
        <v>142</v>
      </c>
      <c r="E31" s="143" t="s">
        <v>143</v>
      </c>
      <c r="F31" s="195">
        <v>7</v>
      </c>
      <c r="G31" s="144">
        <v>2188.6</v>
      </c>
      <c r="H31" s="144">
        <f t="shared" si="1"/>
        <v>15320.2</v>
      </c>
      <c r="I31" s="113"/>
      <c r="J31" s="113"/>
      <c r="K31" s="113"/>
      <c r="L31" s="113"/>
      <c r="M31" s="113"/>
    </row>
    <row r="32" spans="1:13" s="138" customFormat="1" x14ac:dyDescent="0.25">
      <c r="A32" s="139">
        <v>17</v>
      </c>
      <c r="B32" s="139" t="s">
        <v>107</v>
      </c>
      <c r="C32" s="142" t="s">
        <v>144</v>
      </c>
      <c r="D32" s="142" t="s">
        <v>145</v>
      </c>
      <c r="E32" s="143" t="s">
        <v>143</v>
      </c>
      <c r="F32" s="195">
        <v>3</v>
      </c>
      <c r="G32" s="144">
        <v>3463.94</v>
      </c>
      <c r="H32" s="144">
        <f t="shared" si="1"/>
        <v>10391.82</v>
      </c>
      <c r="I32" s="113"/>
      <c r="J32" s="113"/>
      <c r="K32" s="113"/>
      <c r="L32" s="113"/>
      <c r="M32" s="113"/>
    </row>
    <row r="33" spans="1:13" s="138" customFormat="1" ht="31.7" customHeight="1" x14ac:dyDescent="0.25">
      <c r="A33" s="139">
        <v>18</v>
      </c>
      <c r="B33" s="139" t="s">
        <v>107</v>
      </c>
      <c r="C33" s="142" t="s">
        <v>146</v>
      </c>
      <c r="D33" s="142" t="s">
        <v>147</v>
      </c>
      <c r="E33" s="143" t="s">
        <v>138</v>
      </c>
      <c r="F33" s="195">
        <v>40</v>
      </c>
      <c r="G33" s="144">
        <v>187</v>
      </c>
      <c r="H33" s="144">
        <f t="shared" si="1"/>
        <v>7480</v>
      </c>
      <c r="I33" s="113"/>
      <c r="J33" s="113"/>
      <c r="K33" s="113"/>
      <c r="L33" s="113"/>
      <c r="M33" s="113"/>
    </row>
    <row r="34" spans="1:13" s="138" customFormat="1" x14ac:dyDescent="0.25">
      <c r="A34" s="139">
        <v>19</v>
      </c>
      <c r="B34" s="139" t="s">
        <v>107</v>
      </c>
      <c r="C34" s="142" t="s">
        <v>148</v>
      </c>
      <c r="D34" s="142" t="s">
        <v>149</v>
      </c>
      <c r="E34" s="143" t="s">
        <v>138</v>
      </c>
      <c r="F34" s="195">
        <v>176</v>
      </c>
      <c r="G34" s="144">
        <v>38.380000000000003</v>
      </c>
      <c r="H34" s="144">
        <f t="shared" si="1"/>
        <v>6754.88</v>
      </c>
      <c r="I34" s="113"/>
      <c r="J34" s="113"/>
      <c r="K34" s="113"/>
      <c r="L34" s="113"/>
      <c r="M34" s="113"/>
    </row>
    <row r="35" spans="1:13" s="138" customFormat="1" x14ac:dyDescent="0.25">
      <c r="A35" s="139">
        <v>20</v>
      </c>
      <c r="B35" s="139" t="s">
        <v>107</v>
      </c>
      <c r="C35" s="142" t="s">
        <v>150</v>
      </c>
      <c r="D35" s="142" t="s">
        <v>151</v>
      </c>
      <c r="E35" s="143" t="s">
        <v>138</v>
      </c>
      <c r="F35" s="195">
        <v>25</v>
      </c>
      <c r="G35" s="144">
        <v>243.85</v>
      </c>
      <c r="H35" s="144">
        <f t="shared" si="1"/>
        <v>6096.25</v>
      </c>
      <c r="I35" s="113"/>
      <c r="J35" s="113"/>
      <c r="K35" s="113"/>
      <c r="L35" s="113"/>
      <c r="M35" s="113"/>
    </row>
    <row r="36" spans="1:13" s="138" customFormat="1" ht="141.75" customHeight="1" x14ac:dyDescent="0.25">
      <c r="A36" s="139">
        <v>21</v>
      </c>
      <c r="B36" s="139" t="s">
        <v>107</v>
      </c>
      <c r="C36" s="142" t="s">
        <v>152</v>
      </c>
      <c r="D36" s="142" t="s">
        <v>153</v>
      </c>
      <c r="E36" s="143" t="s">
        <v>138</v>
      </c>
      <c r="F36" s="195">
        <v>7</v>
      </c>
      <c r="G36" s="144">
        <v>726.24</v>
      </c>
      <c r="H36" s="144">
        <f t="shared" si="1"/>
        <v>5083.68</v>
      </c>
      <c r="I36" s="113"/>
      <c r="J36" s="113"/>
      <c r="K36" s="113"/>
      <c r="L36" s="113"/>
      <c r="M36" s="113"/>
    </row>
    <row r="37" spans="1:13" s="138" customFormat="1" ht="31.7" customHeight="1" x14ac:dyDescent="0.25">
      <c r="A37" s="139">
        <v>22</v>
      </c>
      <c r="B37" s="139" t="s">
        <v>107</v>
      </c>
      <c r="C37" s="142" t="s">
        <v>154</v>
      </c>
      <c r="D37" s="142" t="s">
        <v>155</v>
      </c>
      <c r="E37" s="143" t="s">
        <v>138</v>
      </c>
      <c r="F37" s="195">
        <v>29</v>
      </c>
      <c r="G37" s="144">
        <v>175.63</v>
      </c>
      <c r="H37" s="144">
        <f t="shared" si="1"/>
        <v>5093.2700000000004</v>
      </c>
      <c r="I37" s="113"/>
      <c r="J37" s="113"/>
      <c r="K37" s="113"/>
      <c r="L37" s="113"/>
      <c r="M37" s="113"/>
    </row>
    <row r="38" spans="1:13" s="138" customFormat="1" ht="31.7" customHeight="1" x14ac:dyDescent="0.25">
      <c r="A38" s="139">
        <v>23</v>
      </c>
      <c r="B38" s="139" t="s">
        <v>107</v>
      </c>
      <c r="C38" s="142" t="s">
        <v>156</v>
      </c>
      <c r="D38" s="142" t="s">
        <v>157</v>
      </c>
      <c r="E38" s="143" t="s">
        <v>143</v>
      </c>
      <c r="F38" s="195">
        <v>9</v>
      </c>
      <c r="G38" s="144">
        <v>410.04</v>
      </c>
      <c r="H38" s="144">
        <f t="shared" si="1"/>
        <v>3690.36</v>
      </c>
      <c r="I38" s="113"/>
      <c r="J38" s="113"/>
      <c r="K38" s="113"/>
      <c r="L38" s="113"/>
      <c r="M38" s="113"/>
    </row>
    <row r="39" spans="1:13" s="138" customFormat="1" ht="63" customHeight="1" x14ac:dyDescent="0.25">
      <c r="A39" s="139">
        <v>24</v>
      </c>
      <c r="B39" s="139" t="s">
        <v>107</v>
      </c>
      <c r="C39" s="142" t="s">
        <v>158</v>
      </c>
      <c r="D39" s="142" t="s">
        <v>159</v>
      </c>
      <c r="E39" s="143" t="s">
        <v>138</v>
      </c>
      <c r="F39" s="195">
        <v>37</v>
      </c>
      <c r="G39" s="144">
        <v>68.819999999999993</v>
      </c>
      <c r="H39" s="144">
        <f t="shared" si="1"/>
        <v>2546.34</v>
      </c>
      <c r="I39" s="113"/>
      <c r="J39" s="113"/>
      <c r="K39" s="113"/>
      <c r="L39" s="113"/>
      <c r="M39" s="113"/>
    </row>
    <row r="40" spans="1:13" s="138" customFormat="1" ht="31.7" customHeight="1" x14ac:dyDescent="0.25">
      <c r="A40" s="139">
        <v>25</v>
      </c>
      <c r="B40" s="139" t="s">
        <v>107</v>
      </c>
      <c r="C40" s="142" t="s">
        <v>160</v>
      </c>
      <c r="D40" s="142" t="s">
        <v>161</v>
      </c>
      <c r="E40" s="143" t="s">
        <v>138</v>
      </c>
      <c r="F40" s="195">
        <v>4</v>
      </c>
      <c r="G40" s="144">
        <v>367.7</v>
      </c>
      <c r="H40" s="144">
        <f t="shared" si="1"/>
        <v>1470.8</v>
      </c>
      <c r="I40" s="113"/>
      <c r="J40" s="113"/>
      <c r="K40" s="113"/>
      <c r="L40" s="113"/>
      <c r="M40" s="113"/>
    </row>
    <row r="41" spans="1:13" s="138" customFormat="1" ht="31.7" customHeight="1" x14ac:dyDescent="0.25">
      <c r="A41" s="139">
        <v>26</v>
      </c>
      <c r="B41" s="139" t="s">
        <v>107</v>
      </c>
      <c r="C41" s="142" t="s">
        <v>162</v>
      </c>
      <c r="D41" s="142" t="s">
        <v>163</v>
      </c>
      <c r="E41" s="143" t="s">
        <v>164</v>
      </c>
      <c r="F41" s="195">
        <v>0.14000000000000001</v>
      </c>
      <c r="G41" s="144">
        <v>5459</v>
      </c>
      <c r="H41" s="144">
        <f t="shared" si="1"/>
        <v>764.26</v>
      </c>
      <c r="I41" s="113"/>
      <c r="J41" s="113"/>
      <c r="K41" s="113"/>
      <c r="L41" s="113"/>
      <c r="M41" s="113"/>
    </row>
    <row r="42" spans="1:13" x14ac:dyDescent="0.25">
      <c r="A42" s="221" t="s">
        <v>165</v>
      </c>
      <c r="B42" s="222"/>
      <c r="C42" s="223"/>
      <c r="D42" s="223"/>
      <c r="E42" s="222"/>
      <c r="F42" s="194"/>
      <c r="G42" s="137"/>
      <c r="H42" s="137">
        <f>SUM(H43:H57)</f>
        <v>32209.200000000001</v>
      </c>
    </row>
    <row r="43" spans="1:13" ht="31.7" customHeight="1" x14ac:dyDescent="0.25">
      <c r="A43" s="139">
        <v>27</v>
      </c>
      <c r="B43" s="139" t="s">
        <v>107</v>
      </c>
      <c r="C43" s="142" t="s">
        <v>166</v>
      </c>
      <c r="D43" s="142" t="s">
        <v>167</v>
      </c>
      <c r="E43" s="143" t="s">
        <v>168</v>
      </c>
      <c r="F43" s="195">
        <v>2.968</v>
      </c>
      <c r="G43" s="144">
        <v>8018.05</v>
      </c>
      <c r="H43" s="144">
        <f t="shared" ref="H43:H57" si="2">ROUND(F43*G43,2)</f>
        <v>23797.57</v>
      </c>
    </row>
    <row r="44" spans="1:13" ht="31.7" customHeight="1" x14ac:dyDescent="0.25">
      <c r="A44" s="139">
        <v>28</v>
      </c>
      <c r="B44" s="139" t="s">
        <v>107</v>
      </c>
      <c r="C44" s="142" t="s">
        <v>169</v>
      </c>
      <c r="D44" s="142" t="s">
        <v>170</v>
      </c>
      <c r="E44" s="143" t="s">
        <v>164</v>
      </c>
      <c r="F44" s="195">
        <v>44.466266297000999</v>
      </c>
      <c r="G44" s="144">
        <v>83</v>
      </c>
      <c r="H44" s="144">
        <f t="shared" si="2"/>
        <v>3690.7</v>
      </c>
    </row>
    <row r="45" spans="1:13" ht="31.7" customHeight="1" x14ac:dyDescent="0.25">
      <c r="A45" s="139">
        <v>29</v>
      </c>
      <c r="B45" s="139" t="s">
        <v>107</v>
      </c>
      <c r="C45" s="142" t="s">
        <v>171</v>
      </c>
      <c r="D45" s="142" t="s">
        <v>172</v>
      </c>
      <c r="E45" s="143" t="s">
        <v>173</v>
      </c>
      <c r="F45" s="195">
        <v>1.7967991797675002E-2</v>
      </c>
      <c r="G45" s="144">
        <v>65750</v>
      </c>
      <c r="H45" s="144">
        <f t="shared" si="2"/>
        <v>1181.4000000000001</v>
      </c>
    </row>
    <row r="46" spans="1:13" ht="31.7" customHeight="1" x14ac:dyDescent="0.25">
      <c r="A46" s="139">
        <v>30</v>
      </c>
      <c r="B46" s="139" t="s">
        <v>107</v>
      </c>
      <c r="C46" s="142" t="s">
        <v>174</v>
      </c>
      <c r="D46" s="142" t="s">
        <v>175</v>
      </c>
      <c r="E46" s="143" t="s">
        <v>173</v>
      </c>
      <c r="F46" s="195">
        <v>1.6056089962252999E-2</v>
      </c>
      <c r="G46" s="144">
        <v>68050</v>
      </c>
      <c r="H46" s="144">
        <f t="shared" si="2"/>
        <v>1092.6199999999999</v>
      </c>
    </row>
    <row r="47" spans="1:13" ht="31.7" customHeight="1" x14ac:dyDescent="0.25">
      <c r="A47" s="139">
        <v>31</v>
      </c>
      <c r="B47" s="139" t="s">
        <v>107</v>
      </c>
      <c r="C47" s="142" t="s">
        <v>176</v>
      </c>
      <c r="D47" s="142" t="s">
        <v>177</v>
      </c>
      <c r="E47" s="143" t="s">
        <v>168</v>
      </c>
      <c r="F47" s="195">
        <v>0.18889347404816001</v>
      </c>
      <c r="G47" s="144">
        <v>5545.45</v>
      </c>
      <c r="H47" s="144">
        <f t="shared" si="2"/>
        <v>1047.5</v>
      </c>
    </row>
    <row r="48" spans="1:13" ht="31.7" customHeight="1" x14ac:dyDescent="0.25">
      <c r="A48" s="139">
        <v>32</v>
      </c>
      <c r="B48" s="139" t="s">
        <v>107</v>
      </c>
      <c r="C48" s="142" t="s">
        <v>178</v>
      </c>
      <c r="D48" s="142" t="s">
        <v>179</v>
      </c>
      <c r="E48" s="143" t="s">
        <v>180</v>
      </c>
      <c r="F48" s="195">
        <v>807.38218273825998</v>
      </c>
      <c r="G48" s="144">
        <v>1</v>
      </c>
      <c r="H48" s="144">
        <f t="shared" si="2"/>
        <v>807.38</v>
      </c>
    </row>
    <row r="49" spans="1:10" x14ac:dyDescent="0.25">
      <c r="A49" s="139">
        <v>33</v>
      </c>
      <c r="B49" s="139" t="s">
        <v>107</v>
      </c>
      <c r="C49" s="142" t="s">
        <v>181</v>
      </c>
      <c r="D49" s="142" t="s">
        <v>182</v>
      </c>
      <c r="E49" s="143" t="s">
        <v>168</v>
      </c>
      <c r="F49" s="195">
        <v>0.18207249980451001</v>
      </c>
      <c r="G49" s="144">
        <v>1819.3</v>
      </c>
      <c r="H49" s="144">
        <f t="shared" si="2"/>
        <v>331.24</v>
      </c>
    </row>
    <row r="50" spans="1:10" x14ac:dyDescent="0.25">
      <c r="A50" s="139">
        <v>34</v>
      </c>
      <c r="B50" s="139" t="s">
        <v>107</v>
      </c>
      <c r="C50" s="142" t="s">
        <v>183</v>
      </c>
      <c r="D50" s="142" t="s">
        <v>184</v>
      </c>
      <c r="E50" s="143" t="s">
        <v>164</v>
      </c>
      <c r="F50" s="195">
        <v>0.40055944480069</v>
      </c>
      <c r="G50" s="144">
        <v>164</v>
      </c>
      <c r="H50" s="144">
        <f t="shared" si="2"/>
        <v>65.69</v>
      </c>
    </row>
    <row r="51" spans="1:10" ht="47.25" customHeight="1" x14ac:dyDescent="0.25">
      <c r="A51" s="139">
        <v>35</v>
      </c>
      <c r="B51" s="139" t="s">
        <v>107</v>
      </c>
      <c r="C51" s="142" t="s">
        <v>185</v>
      </c>
      <c r="D51" s="142" t="s">
        <v>186</v>
      </c>
      <c r="E51" s="143" t="s">
        <v>187</v>
      </c>
      <c r="F51" s="195">
        <v>0.56662178642037997</v>
      </c>
      <c r="G51" s="144">
        <v>91.29</v>
      </c>
      <c r="H51" s="144">
        <f t="shared" si="2"/>
        <v>51.73</v>
      </c>
    </row>
    <row r="52" spans="1:10" x14ac:dyDescent="0.25">
      <c r="A52" s="139">
        <v>36</v>
      </c>
      <c r="B52" s="139" t="s">
        <v>107</v>
      </c>
      <c r="C52" s="142" t="s">
        <v>188</v>
      </c>
      <c r="D52" s="142" t="s">
        <v>189</v>
      </c>
      <c r="E52" s="143" t="s">
        <v>187</v>
      </c>
      <c r="F52" s="195">
        <v>5.6677347728898004</v>
      </c>
      <c r="G52" s="144">
        <v>9.0399999999999991</v>
      </c>
      <c r="H52" s="144">
        <f t="shared" si="2"/>
        <v>51.24</v>
      </c>
    </row>
    <row r="53" spans="1:10" x14ac:dyDescent="0.25">
      <c r="A53" s="139">
        <v>37</v>
      </c>
      <c r="B53" s="139" t="s">
        <v>107</v>
      </c>
      <c r="C53" s="142" t="s">
        <v>190</v>
      </c>
      <c r="D53" s="142" t="s">
        <v>191</v>
      </c>
      <c r="E53" s="143" t="s">
        <v>187</v>
      </c>
      <c r="F53" s="195">
        <v>1.1400840725004999</v>
      </c>
      <c r="G53" s="144">
        <v>27.74</v>
      </c>
      <c r="H53" s="144">
        <f t="shared" si="2"/>
        <v>31.63</v>
      </c>
    </row>
    <row r="54" spans="1:10" x14ac:dyDescent="0.25">
      <c r="A54" s="139">
        <v>38</v>
      </c>
      <c r="B54" s="139" t="s">
        <v>107</v>
      </c>
      <c r="C54" s="142" t="s">
        <v>192</v>
      </c>
      <c r="D54" s="142" t="s">
        <v>193</v>
      </c>
      <c r="E54" s="143" t="s">
        <v>194</v>
      </c>
      <c r="F54" s="195">
        <v>3.0818162068875998</v>
      </c>
      <c r="G54" s="144">
        <v>6.9</v>
      </c>
      <c r="H54" s="144">
        <f t="shared" si="2"/>
        <v>21.26</v>
      </c>
    </row>
    <row r="55" spans="1:10" x14ac:dyDescent="0.25">
      <c r="A55" s="139">
        <v>39</v>
      </c>
      <c r="B55" s="139" t="s">
        <v>107</v>
      </c>
      <c r="C55" s="142" t="s">
        <v>195</v>
      </c>
      <c r="D55" s="142" t="s">
        <v>196</v>
      </c>
      <c r="E55" s="143" t="s">
        <v>173</v>
      </c>
      <c r="F55" s="195">
        <v>1.9261265589476E-3</v>
      </c>
      <c r="G55" s="144">
        <v>7826.9</v>
      </c>
      <c r="H55" s="144">
        <f t="shared" si="2"/>
        <v>15.08</v>
      </c>
    </row>
    <row r="56" spans="1:10" x14ac:dyDescent="0.25">
      <c r="A56" s="139">
        <v>40</v>
      </c>
      <c r="B56" s="139" t="s">
        <v>107</v>
      </c>
      <c r="C56" s="142" t="s">
        <v>197</v>
      </c>
      <c r="D56" s="142" t="s">
        <v>198</v>
      </c>
      <c r="E56" s="143" t="s">
        <v>173</v>
      </c>
      <c r="F56" s="195">
        <v>1.9654386513603999E-2</v>
      </c>
      <c r="G56" s="144">
        <v>729.98</v>
      </c>
      <c r="H56" s="144">
        <f t="shared" si="2"/>
        <v>14.35</v>
      </c>
    </row>
    <row r="57" spans="1:10" x14ac:dyDescent="0.25">
      <c r="A57" s="139">
        <v>41</v>
      </c>
      <c r="B57" s="139" t="s">
        <v>107</v>
      </c>
      <c r="C57" s="142" t="s">
        <v>199</v>
      </c>
      <c r="D57" s="142" t="s">
        <v>200</v>
      </c>
      <c r="E57" s="143" t="s">
        <v>187</v>
      </c>
      <c r="F57" s="195">
        <v>0.33921839826672001</v>
      </c>
      <c r="G57" s="144">
        <v>28.93</v>
      </c>
      <c r="H57" s="144">
        <f t="shared" si="2"/>
        <v>9.81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7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202</v>
      </c>
      <c r="C5" s="203"/>
      <c r="D5" s="203"/>
      <c r="E5" s="203"/>
    </row>
    <row r="6" spans="2:5" x14ac:dyDescent="0.25">
      <c r="B6" s="146"/>
      <c r="C6" s="4"/>
      <c r="D6" s="4"/>
      <c r="E6" s="4"/>
    </row>
    <row r="7" spans="2:5" ht="25.5" customHeight="1" x14ac:dyDescent="0.25">
      <c r="B7" s="226" t="s">
        <v>47</v>
      </c>
      <c r="C7" s="226"/>
      <c r="D7" s="226"/>
      <c r="E7" s="226"/>
    </row>
    <row r="8" spans="2:5" x14ac:dyDescent="0.25">
      <c r="B8" s="227" t="s">
        <v>203</v>
      </c>
      <c r="C8" s="227"/>
      <c r="D8" s="227"/>
      <c r="E8" s="227"/>
    </row>
    <row r="9" spans="2:5" x14ac:dyDescent="0.25">
      <c r="B9" s="146"/>
      <c r="C9" s="4"/>
      <c r="D9" s="4"/>
      <c r="E9" s="4"/>
    </row>
    <row r="10" spans="2:5" ht="51" customHeight="1" x14ac:dyDescent="0.25">
      <c r="B10" s="2" t="s">
        <v>204</v>
      </c>
      <c r="C10" s="2" t="s">
        <v>205</v>
      </c>
      <c r="D10" s="2" t="s">
        <v>206</v>
      </c>
      <c r="E10" s="2" t="s">
        <v>207</v>
      </c>
    </row>
    <row r="11" spans="2:5" x14ac:dyDescent="0.25">
      <c r="B11" s="105" t="s">
        <v>208</v>
      </c>
      <c r="C11" s="106">
        <f>'Прил.5 Расчет СМР и ОБ'!J14</f>
        <v>1881620.63</v>
      </c>
      <c r="D11" s="107">
        <f t="shared" ref="D11:D18" si="0">C11/$C$24</f>
        <v>0.39377760728034245</v>
      </c>
      <c r="E11" s="107">
        <f t="shared" ref="E11:E18" si="1">C11/$C$40</f>
        <v>0.31135905227103189</v>
      </c>
    </row>
    <row r="12" spans="2:5" x14ac:dyDescent="0.25">
      <c r="B12" s="105" t="s">
        <v>209</v>
      </c>
      <c r="C12" s="106">
        <f>'Прил.5 Расчет СМР и ОБ'!J22</f>
        <v>25984.68</v>
      </c>
      <c r="D12" s="107">
        <f t="shared" si="0"/>
        <v>5.4379639302452642E-3</v>
      </c>
      <c r="E12" s="107">
        <f t="shared" si="1"/>
        <v>4.2997856259505609E-3</v>
      </c>
    </row>
    <row r="13" spans="2:5" x14ac:dyDescent="0.25">
      <c r="B13" s="105" t="s">
        <v>210</v>
      </c>
      <c r="C13" s="106">
        <f>'Прил.5 Расчет СМР и ОБ'!J24</f>
        <v>934.63</v>
      </c>
      <c r="D13" s="107">
        <f t="shared" si="0"/>
        <v>1.9559541345612612E-4</v>
      </c>
      <c r="E13" s="107">
        <f t="shared" si="1"/>
        <v>1.5465684547903504E-4</v>
      </c>
    </row>
    <row r="14" spans="2:5" x14ac:dyDescent="0.25">
      <c r="B14" s="105" t="s">
        <v>211</v>
      </c>
      <c r="C14" s="106">
        <f>C13+C12</f>
        <v>26919.31</v>
      </c>
      <c r="D14" s="107">
        <f t="shared" si="0"/>
        <v>5.6335593437013901E-3</v>
      </c>
      <c r="E14" s="107">
        <f t="shared" si="1"/>
        <v>4.4544424714295953E-3</v>
      </c>
    </row>
    <row r="15" spans="2:5" x14ac:dyDescent="0.25">
      <c r="B15" s="105" t="s">
        <v>212</v>
      </c>
      <c r="C15" s="106">
        <f>'Прил.5 Расчет СМР и ОБ'!J16</f>
        <v>10322.99</v>
      </c>
      <c r="D15" s="107">
        <f t="shared" si="0"/>
        <v>2.1603516869279343E-3</v>
      </c>
      <c r="E15" s="107">
        <f t="shared" si="1"/>
        <v>1.7081851313478318E-3</v>
      </c>
    </row>
    <row r="16" spans="2:5" x14ac:dyDescent="0.25">
      <c r="B16" s="105" t="s">
        <v>213</v>
      </c>
      <c r="C16" s="106">
        <f>'Прил.5 Расчет СМР и ОБ'!J50</f>
        <v>230504.13000000003</v>
      </c>
      <c r="D16" s="107">
        <f t="shared" si="0"/>
        <v>4.8238929427361257E-2</v>
      </c>
      <c r="E16" s="107">
        <f t="shared" si="1"/>
        <v>3.8142411024351251E-2</v>
      </c>
    </row>
    <row r="17" spans="2:6" x14ac:dyDescent="0.25">
      <c r="B17" s="105" t="s">
        <v>214</v>
      </c>
      <c r="C17" s="106">
        <f>'Прил.5 Расчет СМР и ОБ'!J63</f>
        <v>28457.769999999997</v>
      </c>
      <c r="D17" s="107">
        <f t="shared" si="0"/>
        <v>5.9555217457061523E-3</v>
      </c>
      <c r="E17" s="107">
        <f t="shared" si="1"/>
        <v>4.7090174053560432E-3</v>
      </c>
    </row>
    <row r="18" spans="2:6" x14ac:dyDescent="0.25">
      <c r="B18" s="105" t="s">
        <v>215</v>
      </c>
      <c r="C18" s="106">
        <f>C17+C16</f>
        <v>258961.90000000002</v>
      </c>
      <c r="D18" s="107">
        <f t="shared" si="0"/>
        <v>5.4194451173067405E-2</v>
      </c>
      <c r="E18" s="107">
        <f t="shared" si="1"/>
        <v>4.2851428429707294E-2</v>
      </c>
    </row>
    <row r="19" spans="2:6" x14ac:dyDescent="0.25">
      <c r="B19" s="105" t="s">
        <v>216</v>
      </c>
      <c r="C19" s="106">
        <f>C18+C14+C11</f>
        <v>2167501.84</v>
      </c>
      <c r="D19" s="107"/>
      <c r="E19" s="105"/>
    </row>
    <row r="20" spans="2:6" x14ac:dyDescent="0.25">
      <c r="B20" s="105" t="s">
        <v>217</v>
      </c>
      <c r="C20" s="106">
        <f>'Прил.5 Расчет СМР и ОБ'!J67</f>
        <v>889213.5</v>
      </c>
      <c r="D20" s="107">
        <f>C20/$C$24</f>
        <v>0.18609084042163102</v>
      </c>
      <c r="E20" s="107">
        <f>C20/$C$40</f>
        <v>0.14714160134745508</v>
      </c>
    </row>
    <row r="21" spans="2:6" x14ac:dyDescent="0.25">
      <c r="B21" s="105" t="s">
        <v>218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219</v>
      </c>
      <c r="C22" s="106">
        <f>'Прил.5 Расчет СМР и ОБ'!J66</f>
        <v>1721668.69</v>
      </c>
      <c r="D22" s="107">
        <f>C22/$C$24</f>
        <v>0.36030354178125784</v>
      </c>
      <c r="E22" s="107">
        <f>C22/$C$40</f>
        <v>0.2848911853411753</v>
      </c>
    </row>
    <row r="23" spans="2:6" x14ac:dyDescent="0.25">
      <c r="B23" s="105" t="s">
        <v>220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221</v>
      </c>
      <c r="C24" s="106">
        <f>C19+C20+C22</f>
        <v>4778384.0299999993</v>
      </c>
      <c r="D24" s="107">
        <f>C24/$C$24</f>
        <v>1</v>
      </c>
      <c r="E24" s="107">
        <f>C24/$C$40</f>
        <v>0.79069770986079913</v>
      </c>
    </row>
    <row r="25" spans="2:6" ht="25.5" customHeight="1" x14ac:dyDescent="0.25">
      <c r="B25" s="105" t="s">
        <v>222</v>
      </c>
      <c r="C25" s="106">
        <f>'Прил.5 Расчет СМР и ОБ'!J43</f>
        <v>664403.82999999984</v>
      </c>
      <c r="D25" s="107"/>
      <c r="E25" s="107">
        <f>C25/$C$40</f>
        <v>0.10994147467124857</v>
      </c>
    </row>
    <row r="26" spans="2:6" ht="25.5" customHeight="1" x14ac:dyDescent="0.25">
      <c r="B26" s="105" t="s">
        <v>223</v>
      </c>
      <c r="C26" s="106">
        <f>'Прил.5 Расчет СМР и ОБ'!J44</f>
        <v>664403.22</v>
      </c>
      <c r="D26" s="107"/>
      <c r="E26" s="107">
        <f>C26/$C$40</f>
        <v>0.10994137373218635</v>
      </c>
    </row>
    <row r="27" spans="2:6" x14ac:dyDescent="0.25">
      <c r="B27" s="105" t="s">
        <v>224</v>
      </c>
      <c r="C27" s="109">
        <f>C24+C25</f>
        <v>5442787.8599999994</v>
      </c>
      <c r="D27" s="107"/>
      <c r="E27" s="107">
        <f>C27/$C$40</f>
        <v>0.90063918453204772</v>
      </c>
    </row>
    <row r="28" spans="2:6" ht="33" customHeight="1" x14ac:dyDescent="0.25">
      <c r="B28" s="105" t="s">
        <v>225</v>
      </c>
      <c r="C28" s="105"/>
      <c r="D28" s="105"/>
      <c r="E28" s="105"/>
      <c r="F28" s="108"/>
    </row>
    <row r="29" spans="2:6" ht="25.5" customHeight="1" x14ac:dyDescent="0.25">
      <c r="B29" s="105" t="s">
        <v>226</v>
      </c>
      <c r="C29" s="109">
        <f>ROUND(C24*3.9%,2)</f>
        <v>186356.98</v>
      </c>
      <c r="D29" s="105"/>
      <c r="E29" s="107">
        <f t="shared" ref="E29:E38" si="2">C29/$C$40</f>
        <v>3.083721115286223E-2</v>
      </c>
    </row>
    <row r="30" spans="2:6" ht="38.25" customHeight="1" x14ac:dyDescent="0.25">
      <c r="B30" s="105" t="s">
        <v>227</v>
      </c>
      <c r="C30" s="189">
        <f>ROUND((C24+C29)*2.1%,2)</f>
        <v>104259.56</v>
      </c>
      <c r="D30" s="190"/>
      <c r="E30" s="107">
        <f t="shared" si="2"/>
        <v>1.7252233141063503E-2</v>
      </c>
      <c r="F30" s="108"/>
    </row>
    <row r="31" spans="2:6" x14ac:dyDescent="0.25">
      <c r="B31" s="105" t="s">
        <v>228</v>
      </c>
      <c r="C31" s="189">
        <v>23300</v>
      </c>
      <c r="D31" s="190"/>
      <c r="E31" s="107">
        <f t="shared" si="2"/>
        <v>3.8555412298572874E-3</v>
      </c>
    </row>
    <row r="32" spans="2:6" ht="25.5" customHeight="1" x14ac:dyDescent="0.25">
      <c r="B32" s="105" t="s">
        <v>229</v>
      </c>
      <c r="C32" s="109">
        <f>ROUND($C$27*0,2)</f>
        <v>0</v>
      </c>
      <c r="D32" s="190"/>
      <c r="E32" s="107">
        <f t="shared" si="2"/>
        <v>0</v>
      </c>
    </row>
    <row r="33" spans="2:11" ht="25.5" customHeight="1" x14ac:dyDescent="0.25">
      <c r="B33" s="105" t="s">
        <v>230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231</v>
      </c>
      <c r="C34" s="109">
        <f>ROUND($C$27*0,2)</f>
        <v>0</v>
      </c>
      <c r="D34" s="105"/>
      <c r="E34" s="107">
        <f t="shared" si="2"/>
        <v>0</v>
      </c>
      <c r="G34" s="145"/>
    </row>
    <row r="35" spans="2:11" ht="76.7" customHeight="1" x14ac:dyDescent="0.25">
      <c r="B35" s="105" t="s">
        <v>232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233</v>
      </c>
      <c r="C36" s="109">
        <f>ROUND((C27+C32+C33+C34+C35+C29+C31+C30)*1.72%,2)</f>
        <v>99015.32</v>
      </c>
      <c r="D36" s="105"/>
      <c r="E36" s="107">
        <f t="shared" si="2"/>
        <v>1.6384448439807419E-2</v>
      </c>
      <c r="K36" s="108"/>
    </row>
    <row r="37" spans="2:11" x14ac:dyDescent="0.25">
      <c r="B37" s="105" t="s">
        <v>234</v>
      </c>
      <c r="C37" s="109">
        <f>ROUND((C27+C32+C33+C34+C35+C29+C31+C30)*0.2%,2)</f>
        <v>11513.41</v>
      </c>
      <c r="D37" s="105"/>
      <c r="E37" s="107">
        <f t="shared" si="2"/>
        <v>1.9051685386803085E-3</v>
      </c>
      <c r="K37" s="108"/>
    </row>
    <row r="38" spans="2:11" ht="38.25" customHeight="1" x14ac:dyDescent="0.25">
      <c r="B38" s="105" t="s">
        <v>235</v>
      </c>
      <c r="C38" s="106">
        <f>C27+C32+C33+C34+C35+C29+C31+C30+C36+C37</f>
        <v>5867233.1299999999</v>
      </c>
      <c r="D38" s="105"/>
      <c r="E38" s="107">
        <f t="shared" si="2"/>
        <v>0.97087378703431848</v>
      </c>
    </row>
    <row r="39" spans="2:11" ht="13.7" customHeight="1" x14ac:dyDescent="0.25">
      <c r="B39" s="105" t="s">
        <v>236</v>
      </c>
      <c r="C39" s="106">
        <f>ROUND(C38*3%,2)</f>
        <v>176016.99</v>
      </c>
      <c r="D39" s="105"/>
      <c r="E39" s="107">
        <f>C39/$C$38</f>
        <v>2.9999999335291454E-2</v>
      </c>
    </row>
    <row r="40" spans="2:11" x14ac:dyDescent="0.25">
      <c r="B40" s="105" t="s">
        <v>237</v>
      </c>
      <c r="C40" s="106">
        <f>C39+C38</f>
        <v>6043250.1200000001</v>
      </c>
      <c r="D40" s="105"/>
      <c r="E40" s="107">
        <f>C40/$C$40</f>
        <v>1</v>
      </c>
    </row>
    <row r="41" spans="2:11" x14ac:dyDescent="0.25">
      <c r="B41" s="105" t="s">
        <v>238</v>
      </c>
      <c r="C41" s="106">
        <f>C40/'Прил.5 Расчет СМР и ОБ'!E70</f>
        <v>6043250.1200000001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239</v>
      </c>
      <c r="C43" s="4"/>
      <c r="D43" s="4"/>
      <c r="E43" s="4"/>
    </row>
    <row r="44" spans="2:11" x14ac:dyDescent="0.25">
      <c r="B44" s="111" t="s">
        <v>240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241</v>
      </c>
      <c r="C46" s="4"/>
      <c r="D46" s="4"/>
      <c r="E46" s="4"/>
    </row>
    <row r="47" spans="2:11" x14ac:dyDescent="0.25">
      <c r="B47" s="227" t="s">
        <v>242</v>
      </c>
      <c r="C47" s="22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topLeftCell="A33" zoomScale="70" zoomScaleSheetLayoutView="70" workbookViewId="0">
      <selection activeCell="X56" sqref="X5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3" t="s">
        <v>243</v>
      </c>
      <c r="I2" s="243"/>
      <c r="J2" s="24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3" t="s">
        <v>244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4" s="4" customFormat="1" ht="12.75" customHeight="1" x14ac:dyDescent="0.2">
      <c r="A5" s="185"/>
      <c r="B5" s="185"/>
      <c r="C5" s="28"/>
      <c r="D5" s="185"/>
      <c r="E5" s="193"/>
      <c r="F5" s="185"/>
      <c r="G5" s="185"/>
      <c r="H5" s="185"/>
      <c r="I5" s="185"/>
      <c r="J5" s="185"/>
    </row>
    <row r="6" spans="1:14" s="4" customFormat="1" ht="12.75" customHeight="1" x14ac:dyDescent="0.2">
      <c r="A6" s="147" t="s">
        <v>245</v>
      </c>
      <c r="B6" s="148"/>
      <c r="C6" s="148"/>
      <c r="D6" s="247" t="s">
        <v>246</v>
      </c>
      <c r="E6" s="247"/>
      <c r="F6" s="247"/>
      <c r="G6" s="247"/>
      <c r="H6" s="247"/>
      <c r="I6" s="247"/>
      <c r="J6" s="247"/>
    </row>
    <row r="7" spans="1:14" s="4" customFormat="1" ht="12.75" customHeight="1" x14ac:dyDescent="0.2">
      <c r="A7" s="206" t="s">
        <v>49</v>
      </c>
      <c r="B7" s="226"/>
      <c r="C7" s="226"/>
      <c r="D7" s="226"/>
      <c r="E7" s="226"/>
      <c r="F7" s="226"/>
      <c r="G7" s="226"/>
      <c r="H7" s="226"/>
      <c r="I7" s="42"/>
      <c r="J7" s="42"/>
    </row>
    <row r="8" spans="1:14" s="4" customFormat="1" ht="13.7" customHeight="1" x14ac:dyDescent="0.2">
      <c r="A8" s="206"/>
      <c r="B8" s="226"/>
      <c r="C8" s="226"/>
      <c r="D8" s="226"/>
      <c r="E8" s="226"/>
      <c r="F8" s="226"/>
      <c r="G8" s="226"/>
      <c r="H8" s="226"/>
    </row>
    <row r="9" spans="1:14" ht="27" customHeight="1" x14ac:dyDescent="0.25">
      <c r="A9" s="235" t="s">
        <v>13</v>
      </c>
      <c r="B9" s="235" t="s">
        <v>98</v>
      </c>
      <c r="C9" s="235" t="s">
        <v>204</v>
      </c>
      <c r="D9" s="235" t="s">
        <v>100</v>
      </c>
      <c r="E9" s="229" t="s">
        <v>247</v>
      </c>
      <c r="F9" s="244" t="s">
        <v>102</v>
      </c>
      <c r="G9" s="245"/>
      <c r="H9" s="229" t="s">
        <v>248</v>
      </c>
      <c r="I9" s="244" t="s">
        <v>249</v>
      </c>
      <c r="J9" s="245"/>
      <c r="M9" s="12"/>
      <c r="N9" s="12"/>
    </row>
    <row r="10" spans="1:14" ht="28.5" customHeight="1" x14ac:dyDescent="0.25">
      <c r="A10" s="235"/>
      <c r="B10" s="235"/>
      <c r="C10" s="235"/>
      <c r="D10" s="235"/>
      <c r="E10" s="246"/>
      <c r="F10" s="2" t="s">
        <v>250</v>
      </c>
      <c r="G10" s="2" t="s">
        <v>104</v>
      </c>
      <c r="H10" s="246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196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M11" s="12"/>
      <c r="N11" s="12"/>
    </row>
    <row r="12" spans="1:14" x14ac:dyDescent="0.25">
      <c r="A12" s="2"/>
      <c r="B12" s="233" t="s">
        <v>251</v>
      </c>
      <c r="C12" s="234"/>
      <c r="D12" s="235"/>
      <c r="E12" s="236"/>
      <c r="F12" s="237"/>
      <c r="G12" s="237"/>
      <c r="H12" s="238"/>
      <c r="I12" s="149"/>
      <c r="J12" s="149"/>
    </row>
    <row r="13" spans="1:14" ht="25.5" customHeight="1" x14ac:dyDescent="0.25">
      <c r="A13" s="2">
        <v>1</v>
      </c>
      <c r="B13" s="150" t="s">
        <v>108</v>
      </c>
      <c r="C13" s="8" t="s">
        <v>252</v>
      </c>
      <c r="D13" s="2" t="s">
        <v>253</v>
      </c>
      <c r="E13" s="151">
        <v>4234.0821745572002</v>
      </c>
      <c r="F13" s="26">
        <v>9.6199999999999992</v>
      </c>
      <c r="G13" s="26">
        <f>F13*E13</f>
        <v>40731.870519240263</v>
      </c>
      <c r="H13" s="152">
        <f>G13/$G$14</f>
        <v>1</v>
      </c>
      <c r="I13" s="26">
        <f>ФОТр.тек.!E13</f>
        <v>444.39870291576</v>
      </c>
      <c r="J13" s="26">
        <f>ROUND(I13*E13,2)</f>
        <v>1881620.63</v>
      </c>
    </row>
    <row r="14" spans="1:14" s="12" customFormat="1" ht="25.5" customHeight="1" x14ac:dyDescent="0.2">
      <c r="A14" s="2"/>
      <c r="B14" s="2"/>
      <c r="C14" s="159" t="s">
        <v>254</v>
      </c>
      <c r="D14" s="2" t="s">
        <v>253</v>
      </c>
      <c r="E14" s="151">
        <f>SUM(E13:E13)</f>
        <v>4234.0821745572002</v>
      </c>
      <c r="F14" s="26"/>
      <c r="G14" s="26">
        <f>SUM(G13:G13)</f>
        <v>40731.870519240263</v>
      </c>
      <c r="H14" s="186">
        <v>1</v>
      </c>
      <c r="I14" s="149"/>
      <c r="J14" s="26">
        <f>SUM(J13:J13)</f>
        <v>1881620.63</v>
      </c>
    </row>
    <row r="15" spans="1:14" s="12" customFormat="1" ht="14.25" customHeight="1" x14ac:dyDescent="0.2">
      <c r="A15" s="2"/>
      <c r="B15" s="234" t="s">
        <v>125</v>
      </c>
      <c r="C15" s="234"/>
      <c r="D15" s="235"/>
      <c r="E15" s="236"/>
      <c r="F15" s="237"/>
      <c r="G15" s="237"/>
      <c r="H15" s="238"/>
      <c r="I15" s="149"/>
      <c r="J15" s="149"/>
    </row>
    <row r="16" spans="1:14" s="12" customFormat="1" ht="14.25" customHeight="1" x14ac:dyDescent="0.2">
      <c r="A16" s="2">
        <v>2</v>
      </c>
      <c r="B16" s="2">
        <v>2</v>
      </c>
      <c r="C16" s="8" t="s">
        <v>125</v>
      </c>
      <c r="D16" s="2" t="s">
        <v>253</v>
      </c>
      <c r="E16" s="151">
        <v>18.570535853321001</v>
      </c>
      <c r="F16" s="26">
        <v>12.551020408163</v>
      </c>
      <c r="G16" s="26">
        <f>F16*E16</f>
        <v>233.07917448555457</v>
      </c>
      <c r="H16" s="186">
        <v>1</v>
      </c>
      <c r="I16" s="26">
        <f>ROUND(F16*Прил.10!D11,2)</f>
        <v>555.88</v>
      </c>
      <c r="J16" s="26">
        <f>ROUND(I16*E16,2)</f>
        <v>10322.99</v>
      </c>
    </row>
    <row r="17" spans="1:10" s="12" customFormat="1" ht="14.25" customHeight="1" x14ac:dyDescent="0.2">
      <c r="A17" s="2"/>
      <c r="B17" s="233" t="s">
        <v>126</v>
      </c>
      <c r="C17" s="234"/>
      <c r="D17" s="235"/>
      <c r="E17" s="236"/>
      <c r="F17" s="237"/>
      <c r="G17" s="237"/>
      <c r="H17" s="238"/>
      <c r="I17" s="149"/>
      <c r="J17" s="149"/>
    </row>
    <row r="18" spans="1:10" s="12" customFormat="1" ht="14.25" customHeight="1" x14ac:dyDescent="0.2">
      <c r="A18" s="2"/>
      <c r="B18" s="234" t="s">
        <v>255</v>
      </c>
      <c r="C18" s="234"/>
      <c r="D18" s="235"/>
      <c r="E18" s="236"/>
      <c r="F18" s="237"/>
      <c r="G18" s="237"/>
      <c r="H18" s="238"/>
      <c r="I18" s="149"/>
      <c r="J18" s="149"/>
    </row>
    <row r="19" spans="1:10" s="12" customFormat="1" ht="25.5" customHeight="1" x14ac:dyDescent="0.2">
      <c r="A19" s="2">
        <v>3</v>
      </c>
      <c r="B19" s="150" t="s">
        <v>127</v>
      </c>
      <c r="C19" s="8" t="s">
        <v>128</v>
      </c>
      <c r="D19" s="2" t="s">
        <v>129</v>
      </c>
      <c r="E19" s="151">
        <v>9.2556108632368002</v>
      </c>
      <c r="F19" s="153">
        <v>115.4</v>
      </c>
      <c r="G19" s="26">
        <f>ROUND(E19*F19,2)</f>
        <v>1068.0999999999999</v>
      </c>
      <c r="H19" s="152">
        <f>G19/$G$25</f>
        <v>0.53445351240186334</v>
      </c>
      <c r="I19" s="26">
        <f>ROUND(F19*Прил.10!$D$12,2)</f>
        <v>1554.44</v>
      </c>
      <c r="J19" s="26">
        <f>ROUND(I19*E19,2)</f>
        <v>14387.29</v>
      </c>
    </row>
    <row r="20" spans="1:10" s="12" customFormat="1" ht="25.5" customHeight="1" x14ac:dyDescent="0.2">
      <c r="A20" s="2">
        <v>4</v>
      </c>
      <c r="B20" s="150" t="s">
        <v>130</v>
      </c>
      <c r="C20" s="8" t="s">
        <v>131</v>
      </c>
      <c r="D20" s="2" t="s">
        <v>129</v>
      </c>
      <c r="E20" s="151">
        <v>9.2558051643030996</v>
      </c>
      <c r="F20" s="153">
        <v>65.709999999999994</v>
      </c>
      <c r="G20" s="26">
        <f>ROUND(E20*F20,2)</f>
        <v>608.20000000000005</v>
      </c>
      <c r="H20" s="152">
        <f>G20/$G$25</f>
        <v>0.30432976897557656</v>
      </c>
      <c r="I20" s="26">
        <f>ROUND(F20*Прил.10!$D$12,2)</f>
        <v>885.11</v>
      </c>
      <c r="J20" s="26">
        <f>ROUND(I20*E20,2)</f>
        <v>8192.41</v>
      </c>
    </row>
    <row r="21" spans="1:10" s="12" customFormat="1" ht="25.5" customHeight="1" x14ac:dyDescent="0.2">
      <c r="A21" s="2">
        <v>5</v>
      </c>
      <c r="B21" s="150" t="s">
        <v>132</v>
      </c>
      <c r="C21" s="8" t="s">
        <v>133</v>
      </c>
      <c r="D21" s="2" t="s">
        <v>129</v>
      </c>
      <c r="E21" s="151">
        <v>77.070622875683995</v>
      </c>
      <c r="F21" s="153">
        <v>3.28</v>
      </c>
      <c r="G21" s="26">
        <f>ROUND(E21*F21,2)</f>
        <v>252.79</v>
      </c>
      <c r="H21" s="152">
        <f>G21/$G$25</f>
        <v>0.12649050032774745</v>
      </c>
      <c r="I21" s="26">
        <f>ROUND(F21*Прил.10!$D$12,2)</f>
        <v>44.18</v>
      </c>
      <c r="J21" s="26">
        <f>ROUND(I21*E21,2)</f>
        <v>3404.98</v>
      </c>
    </row>
    <row r="22" spans="1:10" s="12" customFormat="1" ht="14.25" customHeight="1" x14ac:dyDescent="0.2">
      <c r="A22" s="2"/>
      <c r="B22" s="2"/>
      <c r="C22" s="8" t="s">
        <v>256</v>
      </c>
      <c r="D22" s="2"/>
      <c r="E22" s="151"/>
      <c r="F22" s="26"/>
      <c r="G22" s="26">
        <f>SUM(G19:G21)</f>
        <v>1929.09</v>
      </c>
      <c r="H22" s="186">
        <f>G22/G25</f>
        <v>0.96527378170518741</v>
      </c>
      <c r="I22" s="154"/>
      <c r="J22" s="26">
        <f>SUM(J19:J21)</f>
        <v>25984.68</v>
      </c>
    </row>
    <row r="23" spans="1:10" s="12" customFormat="1" ht="25.5" customHeight="1" outlineLevel="1" x14ac:dyDescent="0.2">
      <c r="A23" s="2">
        <v>6</v>
      </c>
      <c r="B23" s="150" t="s">
        <v>134</v>
      </c>
      <c r="C23" s="8" t="s">
        <v>135</v>
      </c>
      <c r="D23" s="2" t="s">
        <v>129</v>
      </c>
      <c r="E23" s="151">
        <v>77.114545699293004</v>
      </c>
      <c r="F23" s="153">
        <v>0.9</v>
      </c>
      <c r="G23" s="26">
        <f>ROUND(E23*F23,2)</f>
        <v>69.400000000000006</v>
      </c>
      <c r="H23" s="152">
        <f>G23/$G$25</f>
        <v>3.4726218294812587E-2</v>
      </c>
      <c r="I23" s="26">
        <f>ROUND(F23*Прил.10!$D$12,2)</f>
        <v>12.12</v>
      </c>
      <c r="J23" s="26">
        <f>ROUND(I23*E23,2)</f>
        <v>934.63</v>
      </c>
    </row>
    <row r="24" spans="1:10" s="12" customFormat="1" ht="14.25" customHeight="1" x14ac:dyDescent="0.2">
      <c r="A24" s="2"/>
      <c r="B24" s="2"/>
      <c r="C24" s="8" t="s">
        <v>257</v>
      </c>
      <c r="D24" s="2"/>
      <c r="E24" s="197"/>
      <c r="F24" s="26"/>
      <c r="G24" s="154">
        <f>SUM(G23:G23)</f>
        <v>69.400000000000006</v>
      </c>
      <c r="H24" s="152">
        <f>G24/G25</f>
        <v>3.4726218294812587E-2</v>
      </c>
      <c r="I24" s="26"/>
      <c r="J24" s="26">
        <f>SUM(J23:J23)</f>
        <v>934.63</v>
      </c>
    </row>
    <row r="25" spans="1:10" s="12" customFormat="1" ht="25.5" customHeight="1" x14ac:dyDescent="0.2">
      <c r="A25" s="2"/>
      <c r="B25" s="2"/>
      <c r="C25" s="159" t="s">
        <v>258</v>
      </c>
      <c r="D25" s="2"/>
      <c r="E25" s="197"/>
      <c r="F25" s="26"/>
      <c r="G25" s="26">
        <f>G24+G22</f>
        <v>1998.49</v>
      </c>
      <c r="H25" s="155">
        <v>1</v>
      </c>
      <c r="I25" s="156"/>
      <c r="J25" s="157">
        <f>J24+J22</f>
        <v>26919.31</v>
      </c>
    </row>
    <row r="26" spans="1:10" s="12" customFormat="1" ht="14.25" customHeight="1" x14ac:dyDescent="0.2">
      <c r="A26" s="2"/>
      <c r="B26" s="233" t="s">
        <v>43</v>
      </c>
      <c r="C26" s="233"/>
      <c r="D26" s="239"/>
      <c r="E26" s="240"/>
      <c r="F26" s="241"/>
      <c r="G26" s="241"/>
      <c r="H26" s="242"/>
      <c r="I26" s="149"/>
      <c r="J26" s="149"/>
    </row>
    <row r="27" spans="1:10" x14ac:dyDescent="0.25">
      <c r="A27" s="2"/>
      <c r="B27" s="234" t="s">
        <v>259</v>
      </c>
      <c r="C27" s="234"/>
      <c r="D27" s="235"/>
      <c r="E27" s="236"/>
      <c r="F27" s="237"/>
      <c r="G27" s="237"/>
      <c r="H27" s="238"/>
      <c r="I27" s="149"/>
      <c r="J27" s="149"/>
    </row>
    <row r="28" spans="1:10" s="12" customFormat="1" ht="25.5" customHeight="1" x14ac:dyDescent="0.2">
      <c r="A28" s="2">
        <v>7</v>
      </c>
      <c r="B28" s="2" t="s">
        <v>136</v>
      </c>
      <c r="C28" s="8" t="s">
        <v>137</v>
      </c>
      <c r="D28" s="2" t="s">
        <v>138</v>
      </c>
      <c r="E28" s="158">
        <v>22</v>
      </c>
      <c r="F28" s="153">
        <v>1105.2</v>
      </c>
      <c r="G28" s="26">
        <f t="shared" ref="G28:G35" si="0">ROUND(E28*F28,2)</f>
        <v>24314.400000000001</v>
      </c>
      <c r="H28" s="152">
        <f t="shared" ref="H28:H42" si="1">G28/$G$43</f>
        <v>0.22909001485847708</v>
      </c>
      <c r="I28" s="26">
        <f>ROUND(F28*Прил.10!$D$14,2)</f>
        <v>6918.55</v>
      </c>
      <c r="J28" s="26">
        <f t="shared" ref="J28:J35" si="2">ROUND(I28*E28,2)</f>
        <v>152208.1</v>
      </c>
    </row>
    <row r="29" spans="1:10" s="12" customFormat="1" ht="38.25" customHeight="1" x14ac:dyDescent="0.2">
      <c r="A29" s="2">
        <v>8</v>
      </c>
      <c r="B29" s="2" t="s">
        <v>139</v>
      </c>
      <c r="C29" s="8" t="s">
        <v>140</v>
      </c>
      <c r="D29" s="2" t="s">
        <v>138</v>
      </c>
      <c r="E29" s="158">
        <v>147</v>
      </c>
      <c r="F29" s="153">
        <v>116.52</v>
      </c>
      <c r="G29" s="26">
        <f t="shared" si="0"/>
        <v>17128.439999999999</v>
      </c>
      <c r="H29" s="152">
        <f t="shared" si="1"/>
        <v>0.16138397715356054</v>
      </c>
      <c r="I29" s="26">
        <f>ROUND(F29*Прил.10!$D$14,2)</f>
        <v>729.42</v>
      </c>
      <c r="J29" s="26">
        <f t="shared" si="2"/>
        <v>107224.74</v>
      </c>
    </row>
    <row r="30" spans="1:10" s="12" customFormat="1" ht="63.75" customHeight="1" x14ac:dyDescent="0.2">
      <c r="A30" s="2">
        <v>9</v>
      </c>
      <c r="B30" s="2" t="s">
        <v>141</v>
      </c>
      <c r="C30" s="8" t="s">
        <v>142</v>
      </c>
      <c r="D30" s="2" t="s">
        <v>143</v>
      </c>
      <c r="E30" s="158">
        <v>7</v>
      </c>
      <c r="F30" s="153">
        <v>2188.6</v>
      </c>
      <c r="G30" s="26">
        <f t="shared" si="0"/>
        <v>15320.2</v>
      </c>
      <c r="H30" s="152">
        <f t="shared" si="1"/>
        <v>0.14434675935391539</v>
      </c>
      <c r="I30" s="26">
        <f>ROUND(F30*Прил.10!$D$14,2)</f>
        <v>13700.64</v>
      </c>
      <c r="J30" s="26">
        <f t="shared" si="2"/>
        <v>95904.48</v>
      </c>
    </row>
    <row r="31" spans="1:10" s="12" customFormat="1" ht="14.25" customHeight="1" x14ac:dyDescent="0.2">
      <c r="A31" s="2">
        <v>10</v>
      </c>
      <c r="B31" s="2" t="s">
        <v>144</v>
      </c>
      <c r="C31" s="8" t="s">
        <v>145</v>
      </c>
      <c r="D31" s="2" t="s">
        <v>143</v>
      </c>
      <c r="E31" s="158">
        <v>3</v>
      </c>
      <c r="F31" s="153">
        <v>3463.94</v>
      </c>
      <c r="G31" s="26">
        <f t="shared" si="0"/>
        <v>10391.82</v>
      </c>
      <c r="H31" s="152">
        <f t="shared" si="1"/>
        <v>9.7911616087858172E-2</v>
      </c>
      <c r="I31" s="26">
        <f>ROUND(F31*Прил.10!$D$14,2)</f>
        <v>21684.26</v>
      </c>
      <c r="J31" s="26">
        <f t="shared" si="2"/>
        <v>65052.78</v>
      </c>
    </row>
    <row r="32" spans="1:10" s="12" customFormat="1" ht="38.25" customHeight="1" x14ac:dyDescent="0.2">
      <c r="A32" s="2">
        <v>11</v>
      </c>
      <c r="B32" s="2" t="s">
        <v>146</v>
      </c>
      <c r="C32" s="8" t="s">
        <v>147</v>
      </c>
      <c r="D32" s="2" t="s">
        <v>138</v>
      </c>
      <c r="E32" s="158">
        <v>40</v>
      </c>
      <c r="F32" s="153">
        <v>187</v>
      </c>
      <c r="G32" s="26">
        <f t="shared" si="0"/>
        <v>7480</v>
      </c>
      <c r="H32" s="152">
        <f t="shared" si="1"/>
        <v>7.0476479417193441E-2</v>
      </c>
      <c r="I32" s="26">
        <f>ROUND(F32*Прил.10!$D$14,2)</f>
        <v>1170.6199999999999</v>
      </c>
      <c r="J32" s="26">
        <f t="shared" si="2"/>
        <v>46824.800000000003</v>
      </c>
    </row>
    <row r="33" spans="1:10" s="12" customFormat="1" ht="14.25" customHeight="1" x14ac:dyDescent="0.2">
      <c r="A33" s="2">
        <v>12</v>
      </c>
      <c r="B33" s="2" t="s">
        <v>148</v>
      </c>
      <c r="C33" s="8" t="s">
        <v>149</v>
      </c>
      <c r="D33" s="2" t="s">
        <v>138</v>
      </c>
      <c r="E33" s="158">
        <v>176</v>
      </c>
      <c r="F33" s="153">
        <v>38.380000000000003</v>
      </c>
      <c r="G33" s="26">
        <f t="shared" si="0"/>
        <v>6754.88</v>
      </c>
      <c r="H33" s="152">
        <f t="shared" si="1"/>
        <v>6.3644406588985514E-2</v>
      </c>
      <c r="I33" s="26">
        <f>ROUND(F33*Прил.10!$D$14,2)</f>
        <v>240.26</v>
      </c>
      <c r="J33" s="26">
        <f t="shared" si="2"/>
        <v>42285.760000000002</v>
      </c>
    </row>
    <row r="34" spans="1:10" s="12" customFormat="1" ht="25.5" customHeight="1" x14ac:dyDescent="0.2">
      <c r="A34" s="2">
        <v>13</v>
      </c>
      <c r="B34" s="2" t="s">
        <v>150</v>
      </c>
      <c r="C34" s="8" t="s">
        <v>151</v>
      </c>
      <c r="D34" s="2" t="s">
        <v>138</v>
      </c>
      <c r="E34" s="158">
        <v>25</v>
      </c>
      <c r="F34" s="153">
        <v>243.85</v>
      </c>
      <c r="G34" s="26">
        <f t="shared" si="0"/>
        <v>6096.25</v>
      </c>
      <c r="H34" s="152">
        <f t="shared" si="1"/>
        <v>5.7438801824474001E-2</v>
      </c>
      <c r="I34" s="26">
        <f>ROUND(F34*Прил.10!$D$14,2)</f>
        <v>1526.5</v>
      </c>
      <c r="J34" s="26">
        <f t="shared" si="2"/>
        <v>38162.5</v>
      </c>
    </row>
    <row r="35" spans="1:10" s="12" customFormat="1" ht="140.25" customHeight="1" x14ac:dyDescent="0.2">
      <c r="A35" s="2">
        <v>14</v>
      </c>
      <c r="B35" s="2" t="s">
        <v>152</v>
      </c>
      <c r="C35" s="8" t="s">
        <v>153</v>
      </c>
      <c r="D35" s="2" t="s">
        <v>138</v>
      </c>
      <c r="E35" s="158">
        <v>7</v>
      </c>
      <c r="F35" s="153">
        <v>726.24</v>
      </c>
      <c r="G35" s="26">
        <f t="shared" si="0"/>
        <v>5083.68</v>
      </c>
      <c r="H35" s="152">
        <f t="shared" si="1"/>
        <v>4.7898378192994383E-2</v>
      </c>
      <c r="I35" s="26">
        <f>ROUND(F35*Прил.10!$D$14,2)</f>
        <v>4546.26</v>
      </c>
      <c r="J35" s="26">
        <f t="shared" si="2"/>
        <v>31823.82</v>
      </c>
    </row>
    <row r="36" spans="1:10" x14ac:dyDescent="0.25">
      <c r="A36" s="2"/>
      <c r="B36" s="2"/>
      <c r="C36" s="8" t="s">
        <v>260</v>
      </c>
      <c r="D36" s="2"/>
      <c r="E36" s="151"/>
      <c r="F36" s="153"/>
      <c r="G36" s="26">
        <f>SUM(G28:G35)</f>
        <v>92569.669999999984</v>
      </c>
      <c r="H36" s="152">
        <f t="shared" si="1"/>
        <v>0.87219043347745839</v>
      </c>
      <c r="I36" s="154"/>
      <c r="J36" s="26">
        <f>SUM(J28:J35)</f>
        <v>579486.97999999986</v>
      </c>
    </row>
    <row r="37" spans="1:10" s="12" customFormat="1" ht="25.5" customHeight="1" x14ac:dyDescent="0.2">
      <c r="A37" s="2">
        <v>15</v>
      </c>
      <c r="B37" s="2" t="s">
        <v>154</v>
      </c>
      <c r="C37" s="8" t="s">
        <v>155</v>
      </c>
      <c r="D37" s="2" t="s">
        <v>138</v>
      </c>
      <c r="E37" s="158">
        <v>29</v>
      </c>
      <c r="F37" s="153">
        <v>175.63</v>
      </c>
      <c r="G37" s="26">
        <f>ROUND(E37*F37,2)</f>
        <v>5093.2700000000004</v>
      </c>
      <c r="H37" s="152">
        <f t="shared" si="1"/>
        <v>4.7988735069680336E-2</v>
      </c>
      <c r="I37" s="26">
        <f>ROUND(F37*Прил.10!$D$14,2)</f>
        <v>1099.44</v>
      </c>
      <c r="J37" s="26">
        <f>ROUND(I37*E37,2)</f>
        <v>31883.759999999998</v>
      </c>
    </row>
    <row r="38" spans="1:10" s="12" customFormat="1" ht="25.5" customHeight="1" x14ac:dyDescent="0.2">
      <c r="A38" s="2">
        <v>16</v>
      </c>
      <c r="B38" s="2" t="s">
        <v>156</v>
      </c>
      <c r="C38" s="8" t="s">
        <v>157</v>
      </c>
      <c r="D38" s="2" t="s">
        <v>143</v>
      </c>
      <c r="E38" s="158">
        <v>9</v>
      </c>
      <c r="F38" s="153">
        <v>410.04</v>
      </c>
      <c r="G38" s="26">
        <f>ROUND(E38*F38,2)</f>
        <v>3690.36</v>
      </c>
      <c r="H38" s="152">
        <f t="shared" si="1"/>
        <v>3.477053216337353E-2</v>
      </c>
      <c r="I38" s="26">
        <f>ROUND(F38*Прил.10!$D$14,2)</f>
        <v>2566.85</v>
      </c>
      <c r="J38" s="26">
        <f>ROUND(I38*E38,2)</f>
        <v>23101.65</v>
      </c>
    </row>
    <row r="39" spans="1:10" s="12" customFormat="1" ht="51" customHeight="1" x14ac:dyDescent="0.2">
      <c r="A39" s="2">
        <v>17</v>
      </c>
      <c r="B39" s="2" t="s">
        <v>158</v>
      </c>
      <c r="C39" s="8" t="s">
        <v>159</v>
      </c>
      <c r="D39" s="2" t="s">
        <v>138</v>
      </c>
      <c r="E39" s="158">
        <v>37</v>
      </c>
      <c r="F39" s="153">
        <v>68.819999999999993</v>
      </c>
      <c r="G39" s="26">
        <f>ROUND(E39*F39,2)</f>
        <v>2546.34</v>
      </c>
      <c r="H39" s="152">
        <f t="shared" si="1"/>
        <v>2.3991588048018233E-2</v>
      </c>
      <c r="I39" s="26">
        <f>ROUND(F39*Прил.10!$D$14,2)</f>
        <v>430.81</v>
      </c>
      <c r="J39" s="26">
        <f>ROUND(I39*E39,2)</f>
        <v>15939.97</v>
      </c>
    </row>
    <row r="40" spans="1:10" s="12" customFormat="1" ht="25.5" customHeight="1" x14ac:dyDescent="0.2">
      <c r="A40" s="2">
        <v>18</v>
      </c>
      <c r="B40" s="2" t="s">
        <v>160</v>
      </c>
      <c r="C40" s="8" t="s">
        <v>161</v>
      </c>
      <c r="D40" s="2" t="s">
        <v>138</v>
      </c>
      <c r="E40" s="158">
        <v>4</v>
      </c>
      <c r="F40" s="153">
        <v>367.7</v>
      </c>
      <c r="G40" s="26">
        <f>ROUND(E40*F40,2)</f>
        <v>1470.8</v>
      </c>
      <c r="H40" s="152">
        <f t="shared" si="1"/>
        <v>1.3857861754920871E-2</v>
      </c>
      <c r="I40" s="26">
        <f>ROUND(F40*Прил.10!$D$14,2)</f>
        <v>2301.8000000000002</v>
      </c>
      <c r="J40" s="26">
        <f>ROUND(I40*E40,2)</f>
        <v>9207.2000000000007</v>
      </c>
    </row>
    <row r="41" spans="1:10" s="12" customFormat="1" ht="38.25" customHeight="1" x14ac:dyDescent="0.2">
      <c r="A41" s="2">
        <v>19</v>
      </c>
      <c r="B41" s="2" t="s">
        <v>162</v>
      </c>
      <c r="C41" s="8" t="s">
        <v>163</v>
      </c>
      <c r="D41" s="2" t="s">
        <v>164</v>
      </c>
      <c r="E41" s="158">
        <v>0.14000000000000001</v>
      </c>
      <c r="F41" s="153">
        <v>5459</v>
      </c>
      <c r="G41" s="26">
        <f>ROUND(E41*F41,2)</f>
        <v>764.26</v>
      </c>
      <c r="H41" s="152">
        <f t="shared" si="1"/>
        <v>7.2008494865486985E-3</v>
      </c>
      <c r="I41" s="26">
        <f>ROUND(F41*Прил.10!$D$14,2)</f>
        <v>34173.339999999997</v>
      </c>
      <c r="J41" s="26">
        <f>ROUND(I41*E41,2)</f>
        <v>4784.2700000000004</v>
      </c>
    </row>
    <row r="42" spans="1:10" x14ac:dyDescent="0.25">
      <c r="A42" s="2"/>
      <c r="B42" s="2"/>
      <c r="C42" s="8" t="s">
        <v>261</v>
      </c>
      <c r="D42" s="2"/>
      <c r="E42" s="151"/>
      <c r="F42" s="153"/>
      <c r="G42" s="26">
        <f>SUM(G37:G41)</f>
        <v>13565.03</v>
      </c>
      <c r="H42" s="152">
        <f t="shared" si="1"/>
        <v>0.12780956652254166</v>
      </c>
      <c r="I42" s="154"/>
      <c r="J42" s="26">
        <f>SUM(J37:J41)</f>
        <v>84916.85</v>
      </c>
    </row>
    <row r="43" spans="1:10" x14ac:dyDescent="0.25">
      <c r="A43" s="2"/>
      <c r="B43" s="2"/>
      <c r="C43" s="159" t="s">
        <v>262</v>
      </c>
      <c r="D43" s="2"/>
      <c r="E43" s="197"/>
      <c r="F43" s="153"/>
      <c r="G43" s="26">
        <f>G36+G42</f>
        <v>106134.69999999998</v>
      </c>
      <c r="H43" s="186">
        <f>H36+H42</f>
        <v>1</v>
      </c>
      <c r="I43" s="154"/>
      <c r="J43" s="26">
        <f>J36+J42</f>
        <v>664403.82999999984</v>
      </c>
    </row>
    <row r="44" spans="1:10" ht="25.5" customHeight="1" x14ac:dyDescent="0.25">
      <c r="A44" s="2"/>
      <c r="B44" s="2"/>
      <c r="C44" s="8" t="s">
        <v>263</v>
      </c>
      <c r="D44" s="2"/>
      <c r="E44" s="158"/>
      <c r="F44" s="153"/>
      <c r="G44" s="26">
        <f>'Прил.6 Расчет ОБ'!G25</f>
        <v>106134.69999999998</v>
      </c>
      <c r="H44" s="186"/>
      <c r="I44" s="154"/>
      <c r="J44" s="26">
        <f>ROUND(G44*Прил.10!D14,2)</f>
        <v>664403.22</v>
      </c>
    </row>
    <row r="45" spans="1:10" s="12" customFormat="1" ht="14.25" customHeight="1" x14ac:dyDescent="0.2">
      <c r="A45" s="2"/>
      <c r="B45" s="233" t="s">
        <v>165</v>
      </c>
      <c r="C45" s="233"/>
      <c r="D45" s="239"/>
      <c r="E45" s="240"/>
      <c r="F45" s="241"/>
      <c r="G45" s="241"/>
      <c r="H45" s="242"/>
      <c r="I45" s="149"/>
      <c r="J45" s="149"/>
    </row>
    <row r="46" spans="1:10" s="12" customFormat="1" ht="14.25" customHeight="1" x14ac:dyDescent="0.2">
      <c r="A46" s="184"/>
      <c r="B46" s="228" t="s">
        <v>264</v>
      </c>
      <c r="C46" s="228"/>
      <c r="D46" s="229"/>
      <c r="E46" s="230"/>
      <c r="F46" s="231"/>
      <c r="G46" s="231"/>
      <c r="H46" s="232"/>
      <c r="I46" s="160"/>
      <c r="J46" s="160"/>
    </row>
    <row r="47" spans="1:10" s="12" customFormat="1" ht="25.5" customHeight="1" x14ac:dyDescent="0.2">
      <c r="A47" s="2">
        <v>20</v>
      </c>
      <c r="B47" s="2" t="s">
        <v>166</v>
      </c>
      <c r="C47" s="8" t="s">
        <v>167</v>
      </c>
      <c r="D47" s="2" t="s">
        <v>168</v>
      </c>
      <c r="E47" s="158">
        <v>2.968</v>
      </c>
      <c r="F47" s="153">
        <v>8018.05</v>
      </c>
      <c r="G47" s="26">
        <f>ROUND(E47*F47,2)</f>
        <v>23797.57</v>
      </c>
      <c r="H47" s="152">
        <f t="shared" ref="H47:H64" si="3">G47/$G$64</f>
        <v>0.73884387069532931</v>
      </c>
      <c r="I47" s="26">
        <f>ROUND(F47*Прил.10!$D$13,2)</f>
        <v>64465.120000000003</v>
      </c>
      <c r="J47" s="26">
        <f>ROUND(I47*E47,2)</f>
        <v>191332.48000000001</v>
      </c>
    </row>
    <row r="48" spans="1:10" s="12" customFormat="1" ht="25.5" customHeight="1" x14ac:dyDescent="0.2">
      <c r="A48" s="2">
        <v>21</v>
      </c>
      <c r="B48" s="2" t="s">
        <v>169</v>
      </c>
      <c r="C48" s="8" t="s">
        <v>170</v>
      </c>
      <c r="D48" s="2" t="s">
        <v>164</v>
      </c>
      <c r="E48" s="158">
        <v>44.466266297000999</v>
      </c>
      <c r="F48" s="153">
        <v>83</v>
      </c>
      <c r="G48" s="26">
        <f>ROUND(E48*F48,2)</f>
        <v>3690.7</v>
      </c>
      <c r="H48" s="152">
        <f t="shared" si="3"/>
        <v>0.1145852737727109</v>
      </c>
      <c r="I48" s="26">
        <f>ROUND(F48*Прил.10!$D$13,2)</f>
        <v>667.32</v>
      </c>
      <c r="J48" s="26">
        <f>ROUND(I48*E48,2)</f>
        <v>29673.23</v>
      </c>
    </row>
    <row r="49" spans="1:10" s="12" customFormat="1" ht="25.5" customHeight="1" x14ac:dyDescent="0.2">
      <c r="A49" s="2">
        <v>22</v>
      </c>
      <c r="B49" s="2" t="s">
        <v>171</v>
      </c>
      <c r="C49" s="8" t="s">
        <v>172</v>
      </c>
      <c r="D49" s="2" t="s">
        <v>173</v>
      </c>
      <c r="E49" s="158">
        <v>1.7967991797675002E-2</v>
      </c>
      <c r="F49" s="153">
        <v>65750</v>
      </c>
      <c r="G49" s="26">
        <f>ROUND(E49*F49,2)</f>
        <v>1181.4000000000001</v>
      </c>
      <c r="H49" s="152">
        <f t="shared" si="3"/>
        <v>3.6678961290562945E-2</v>
      </c>
      <c r="I49" s="26">
        <f>ROUND(F49*Прил.10!$D$13,2)</f>
        <v>528630</v>
      </c>
      <c r="J49" s="26">
        <f>ROUND(I49*E49,2)</f>
        <v>9498.42</v>
      </c>
    </row>
    <row r="50" spans="1:10" s="12" customFormat="1" ht="14.25" customHeight="1" x14ac:dyDescent="0.2">
      <c r="A50" s="161"/>
      <c r="B50" s="162"/>
      <c r="C50" s="163" t="s">
        <v>265</v>
      </c>
      <c r="D50" s="161"/>
      <c r="E50" s="164"/>
      <c r="F50" s="157"/>
      <c r="G50" s="157">
        <f>SUM(G47:G49)</f>
        <v>28669.670000000002</v>
      </c>
      <c r="H50" s="152">
        <f t="shared" si="3"/>
        <v>0.89010810575860322</v>
      </c>
      <c r="I50" s="26"/>
      <c r="J50" s="157">
        <f>SUM(J47:J49)</f>
        <v>230504.13000000003</v>
      </c>
    </row>
    <row r="51" spans="1:10" s="12" customFormat="1" ht="25.5" customHeight="1" outlineLevel="1" x14ac:dyDescent="0.2">
      <c r="A51" s="2">
        <v>23</v>
      </c>
      <c r="B51" s="2" t="s">
        <v>174</v>
      </c>
      <c r="C51" s="8" t="s">
        <v>175</v>
      </c>
      <c r="D51" s="2" t="s">
        <v>173</v>
      </c>
      <c r="E51" s="158">
        <v>1.6056089962252999E-2</v>
      </c>
      <c r="F51" s="153">
        <v>68050</v>
      </c>
      <c r="G51" s="26">
        <f t="shared" ref="G51:G62" si="4">ROUND(E51*F51,2)</f>
        <v>1092.6199999999999</v>
      </c>
      <c r="H51" s="152">
        <f t="shared" si="3"/>
        <v>3.3922605963513527E-2</v>
      </c>
      <c r="I51" s="26">
        <f>ROUND(F51*Прил.10!$D$13,2)</f>
        <v>547122</v>
      </c>
      <c r="J51" s="26">
        <f t="shared" ref="J51:J62" si="5">ROUND(I51*E51,2)</f>
        <v>8784.64</v>
      </c>
    </row>
    <row r="52" spans="1:10" s="12" customFormat="1" ht="25.5" customHeight="1" outlineLevel="1" x14ac:dyDescent="0.2">
      <c r="A52" s="2">
        <v>24</v>
      </c>
      <c r="B52" s="2" t="s">
        <v>176</v>
      </c>
      <c r="C52" s="8" t="s">
        <v>177</v>
      </c>
      <c r="D52" s="2" t="s">
        <v>168</v>
      </c>
      <c r="E52" s="158">
        <v>0.18889347404816001</v>
      </c>
      <c r="F52" s="153">
        <v>5545.45</v>
      </c>
      <c r="G52" s="26">
        <f t="shared" si="4"/>
        <v>1047.5</v>
      </c>
      <c r="H52" s="152">
        <f t="shared" si="3"/>
        <v>3.2521763968058816E-2</v>
      </c>
      <c r="I52" s="26">
        <f>ROUND(F52*Прил.10!$D$13,2)</f>
        <v>44585.42</v>
      </c>
      <c r="J52" s="26">
        <f t="shared" si="5"/>
        <v>8421.89</v>
      </c>
    </row>
    <row r="53" spans="1:10" s="12" customFormat="1" ht="25.5" customHeight="1" outlineLevel="1" x14ac:dyDescent="0.2">
      <c r="A53" s="2">
        <v>25</v>
      </c>
      <c r="B53" s="2" t="s">
        <v>178</v>
      </c>
      <c r="C53" s="8" t="s">
        <v>179</v>
      </c>
      <c r="D53" s="2" t="s">
        <v>180</v>
      </c>
      <c r="E53" s="158">
        <v>807.38218273825998</v>
      </c>
      <c r="F53" s="153">
        <v>1</v>
      </c>
      <c r="G53" s="26">
        <f t="shared" si="4"/>
        <v>807.38</v>
      </c>
      <c r="H53" s="152">
        <f t="shared" si="3"/>
        <v>2.5066751114588379E-2</v>
      </c>
      <c r="I53" s="26">
        <f>ROUND(F53*Прил.10!$D$13,2)</f>
        <v>8.0399999999999991</v>
      </c>
      <c r="J53" s="26">
        <f t="shared" si="5"/>
        <v>6491.35</v>
      </c>
    </row>
    <row r="54" spans="1:10" s="12" customFormat="1" ht="14.25" customHeight="1" outlineLevel="1" x14ac:dyDescent="0.2">
      <c r="A54" s="2">
        <v>26</v>
      </c>
      <c r="B54" s="2" t="s">
        <v>181</v>
      </c>
      <c r="C54" s="8" t="s">
        <v>182</v>
      </c>
      <c r="D54" s="2" t="s">
        <v>168</v>
      </c>
      <c r="E54" s="158">
        <v>0.18207249980451001</v>
      </c>
      <c r="F54" s="153">
        <v>1819.3</v>
      </c>
      <c r="G54" s="26">
        <f t="shared" si="4"/>
        <v>331.24</v>
      </c>
      <c r="H54" s="152">
        <f t="shared" si="3"/>
        <v>1.0284018230816041E-2</v>
      </c>
      <c r="I54" s="26">
        <f>ROUND(F54*Прил.10!$D$13,2)</f>
        <v>14627.17</v>
      </c>
      <c r="J54" s="26">
        <f t="shared" si="5"/>
        <v>2663.21</v>
      </c>
    </row>
    <row r="55" spans="1:10" s="12" customFormat="1" ht="14.25" customHeight="1" outlineLevel="1" x14ac:dyDescent="0.2">
      <c r="A55" s="2">
        <v>27</v>
      </c>
      <c r="B55" s="2" t="s">
        <v>183</v>
      </c>
      <c r="C55" s="8" t="s">
        <v>184</v>
      </c>
      <c r="D55" s="2" t="s">
        <v>164</v>
      </c>
      <c r="E55" s="158">
        <v>0.40055944480069</v>
      </c>
      <c r="F55" s="153">
        <v>164</v>
      </c>
      <c r="G55" s="26">
        <f t="shared" si="4"/>
        <v>65.69</v>
      </c>
      <c r="H55" s="152">
        <f t="shared" si="3"/>
        <v>2.0394794034002705E-3</v>
      </c>
      <c r="I55" s="26">
        <f>ROUND(F55*Прил.10!$D$13,2)</f>
        <v>1318.56</v>
      </c>
      <c r="J55" s="26">
        <f t="shared" si="5"/>
        <v>528.16</v>
      </c>
    </row>
    <row r="56" spans="1:10" s="12" customFormat="1" ht="38.25" customHeight="1" outlineLevel="1" x14ac:dyDescent="0.2">
      <c r="A56" s="2">
        <v>28</v>
      </c>
      <c r="B56" s="2" t="s">
        <v>185</v>
      </c>
      <c r="C56" s="8" t="s">
        <v>186</v>
      </c>
      <c r="D56" s="2" t="s">
        <v>187</v>
      </c>
      <c r="E56" s="158">
        <v>0.56662178642037997</v>
      </c>
      <c r="F56" s="153">
        <v>91.29</v>
      </c>
      <c r="G56" s="26">
        <f t="shared" si="4"/>
        <v>51.73</v>
      </c>
      <c r="H56" s="152">
        <f t="shared" si="3"/>
        <v>1.6060628640264271E-3</v>
      </c>
      <c r="I56" s="26">
        <f>ROUND(F56*Прил.10!$D$13,2)</f>
        <v>733.97</v>
      </c>
      <c r="J56" s="26">
        <f t="shared" si="5"/>
        <v>415.88</v>
      </c>
    </row>
    <row r="57" spans="1:10" s="12" customFormat="1" ht="14.25" customHeight="1" outlineLevel="1" x14ac:dyDescent="0.2">
      <c r="A57" s="2">
        <v>29</v>
      </c>
      <c r="B57" s="2" t="s">
        <v>188</v>
      </c>
      <c r="C57" s="8" t="s">
        <v>189</v>
      </c>
      <c r="D57" s="2" t="s">
        <v>187</v>
      </c>
      <c r="E57" s="158">
        <v>5.6677347728898004</v>
      </c>
      <c r="F57" s="153">
        <v>9.0399999999999991</v>
      </c>
      <c r="G57" s="26">
        <f t="shared" si="4"/>
        <v>51.24</v>
      </c>
      <c r="H57" s="152">
        <f t="shared" si="3"/>
        <v>1.5908498193062852E-3</v>
      </c>
      <c r="I57" s="26">
        <f>ROUND(F57*Прил.10!$D$13,2)</f>
        <v>72.680000000000007</v>
      </c>
      <c r="J57" s="26">
        <f t="shared" si="5"/>
        <v>411.93</v>
      </c>
    </row>
    <row r="58" spans="1:10" s="12" customFormat="1" ht="14.25" customHeight="1" outlineLevel="1" x14ac:dyDescent="0.2">
      <c r="A58" s="2">
        <v>30</v>
      </c>
      <c r="B58" s="2" t="s">
        <v>190</v>
      </c>
      <c r="C58" s="8" t="s">
        <v>191</v>
      </c>
      <c r="D58" s="2" t="s">
        <v>187</v>
      </c>
      <c r="E58" s="158">
        <v>1.1400840725004999</v>
      </c>
      <c r="F58" s="153">
        <v>27.74</v>
      </c>
      <c r="G58" s="26">
        <f t="shared" si="4"/>
        <v>31.63</v>
      </c>
      <c r="H58" s="152">
        <f t="shared" si="3"/>
        <v>9.820175602001911E-4</v>
      </c>
      <c r="I58" s="26">
        <f>ROUND(F58*Прил.10!$D$13,2)</f>
        <v>223.03</v>
      </c>
      <c r="J58" s="26">
        <f t="shared" si="5"/>
        <v>254.27</v>
      </c>
    </row>
    <row r="59" spans="1:10" s="12" customFormat="1" ht="14.25" customHeight="1" outlineLevel="1" x14ac:dyDescent="0.2">
      <c r="A59" s="2">
        <v>31</v>
      </c>
      <c r="B59" s="2" t="s">
        <v>192</v>
      </c>
      <c r="C59" s="8" t="s">
        <v>193</v>
      </c>
      <c r="D59" s="2" t="s">
        <v>194</v>
      </c>
      <c r="E59" s="158">
        <v>3.0818162068875998</v>
      </c>
      <c r="F59" s="153">
        <v>6.9</v>
      </c>
      <c r="G59" s="26">
        <f t="shared" si="4"/>
        <v>21.26</v>
      </c>
      <c r="H59" s="152">
        <f t="shared" si="3"/>
        <v>6.6005985867391924E-4</v>
      </c>
      <c r="I59" s="26">
        <f>ROUND(F59*Прил.10!$D$13,2)</f>
        <v>55.48</v>
      </c>
      <c r="J59" s="26">
        <f t="shared" si="5"/>
        <v>170.98</v>
      </c>
    </row>
    <row r="60" spans="1:10" s="12" customFormat="1" ht="14.25" customHeight="1" outlineLevel="1" x14ac:dyDescent="0.2">
      <c r="A60" s="2">
        <v>32</v>
      </c>
      <c r="B60" s="2" t="s">
        <v>195</v>
      </c>
      <c r="C60" s="8" t="s">
        <v>196</v>
      </c>
      <c r="D60" s="2" t="s">
        <v>173</v>
      </c>
      <c r="E60" s="158">
        <v>1.9261265589476E-3</v>
      </c>
      <c r="F60" s="153">
        <v>7826.9</v>
      </c>
      <c r="G60" s="26">
        <f t="shared" si="4"/>
        <v>15.08</v>
      </c>
      <c r="H60" s="152">
        <f t="shared" si="3"/>
        <v>4.6818921301988254E-4</v>
      </c>
      <c r="I60" s="26">
        <f>ROUND(F60*Прил.10!$D$13,2)</f>
        <v>62928.28</v>
      </c>
      <c r="J60" s="26">
        <f t="shared" si="5"/>
        <v>121.21</v>
      </c>
    </row>
    <row r="61" spans="1:10" s="12" customFormat="1" ht="14.25" customHeight="1" outlineLevel="1" x14ac:dyDescent="0.2">
      <c r="A61" s="2">
        <v>33</v>
      </c>
      <c r="B61" s="2" t="s">
        <v>197</v>
      </c>
      <c r="C61" s="8" t="s">
        <v>198</v>
      </c>
      <c r="D61" s="2" t="s">
        <v>173</v>
      </c>
      <c r="E61" s="158">
        <v>1.9654386513603999E-2</v>
      </c>
      <c r="F61" s="153">
        <v>729.98</v>
      </c>
      <c r="G61" s="26">
        <f t="shared" si="4"/>
        <v>14.35</v>
      </c>
      <c r="H61" s="152">
        <f t="shared" si="3"/>
        <v>4.4552488108987493E-4</v>
      </c>
      <c r="I61" s="26">
        <f>ROUND(F61*Прил.10!$D$13,2)</f>
        <v>5869.04</v>
      </c>
      <c r="J61" s="26">
        <f t="shared" si="5"/>
        <v>115.35</v>
      </c>
    </row>
    <row r="62" spans="1:10" s="12" customFormat="1" ht="14.25" customHeight="1" outlineLevel="1" x14ac:dyDescent="0.2">
      <c r="A62" s="2">
        <v>34</v>
      </c>
      <c r="B62" s="2" t="s">
        <v>199</v>
      </c>
      <c r="C62" s="8" t="s">
        <v>200</v>
      </c>
      <c r="D62" s="2" t="s">
        <v>187</v>
      </c>
      <c r="E62" s="158">
        <v>0.33921839826672001</v>
      </c>
      <c r="F62" s="153">
        <v>28.93</v>
      </c>
      <c r="G62" s="26">
        <f t="shared" si="4"/>
        <v>9.81</v>
      </c>
      <c r="H62" s="152">
        <f t="shared" si="3"/>
        <v>3.0457136470325247E-4</v>
      </c>
      <c r="I62" s="26">
        <f>ROUND(F62*Прил.10!$D$13,2)</f>
        <v>232.6</v>
      </c>
      <c r="J62" s="26">
        <f t="shared" si="5"/>
        <v>78.900000000000006</v>
      </c>
    </row>
    <row r="63" spans="1:10" s="12" customFormat="1" ht="14.25" customHeight="1" x14ac:dyDescent="0.2">
      <c r="A63" s="2"/>
      <c r="B63" s="2"/>
      <c r="C63" s="8" t="s">
        <v>266</v>
      </c>
      <c r="D63" s="2"/>
      <c r="E63" s="197"/>
      <c r="F63" s="153"/>
      <c r="G63" s="26">
        <f>SUM(G51:G62)</f>
        <v>3539.5299999999997</v>
      </c>
      <c r="H63" s="152">
        <f t="shared" si="3"/>
        <v>0.10989189424139685</v>
      </c>
      <c r="I63" s="26"/>
      <c r="J63" s="26">
        <f>SUM(J51:J62)</f>
        <v>28457.769999999997</v>
      </c>
    </row>
    <row r="64" spans="1:10" s="12" customFormat="1" ht="14.25" customHeight="1" x14ac:dyDescent="0.2">
      <c r="A64" s="2"/>
      <c r="B64" s="2"/>
      <c r="C64" s="159" t="s">
        <v>267</v>
      </c>
      <c r="D64" s="2"/>
      <c r="E64" s="197"/>
      <c r="F64" s="153"/>
      <c r="G64" s="26">
        <f>G50+G63</f>
        <v>32209.200000000001</v>
      </c>
      <c r="H64" s="186">
        <f t="shared" si="3"/>
        <v>1</v>
      </c>
      <c r="I64" s="26"/>
      <c r="J64" s="26">
        <f>J50+J63</f>
        <v>258961.90000000002</v>
      </c>
    </row>
    <row r="65" spans="1:10" s="12" customFormat="1" ht="14.25" customHeight="1" x14ac:dyDescent="0.2">
      <c r="A65" s="2"/>
      <c r="B65" s="2"/>
      <c r="C65" s="8" t="s">
        <v>268</v>
      </c>
      <c r="D65" s="2"/>
      <c r="E65" s="197"/>
      <c r="F65" s="153"/>
      <c r="G65" s="26">
        <f>G14+G25+G64</f>
        <v>74939.560519240258</v>
      </c>
      <c r="H65" s="186"/>
      <c r="I65" s="26"/>
      <c r="J65" s="26">
        <f>J14+J25+J64</f>
        <v>2167501.84</v>
      </c>
    </row>
    <row r="66" spans="1:10" s="12" customFormat="1" ht="14.25" customHeight="1" x14ac:dyDescent="0.2">
      <c r="A66" s="2"/>
      <c r="B66" s="2"/>
      <c r="C66" s="8" t="s">
        <v>269</v>
      </c>
      <c r="D66" s="165">
        <v>0.91</v>
      </c>
      <c r="E66" s="197"/>
      <c r="F66" s="153"/>
      <c r="G66" s="26">
        <v>9805.5400000000009</v>
      </c>
      <c r="H66" s="186"/>
      <c r="I66" s="26"/>
      <c r="J66" s="26">
        <f>ROUND(D66*(J14+J16),2)</f>
        <v>1721668.69</v>
      </c>
    </row>
    <row r="67" spans="1:10" s="12" customFormat="1" ht="14.25" customHeight="1" x14ac:dyDescent="0.2">
      <c r="A67" s="2"/>
      <c r="B67" s="2"/>
      <c r="C67" s="8" t="s">
        <v>270</v>
      </c>
      <c r="D67" s="165">
        <v>0.47</v>
      </c>
      <c r="E67" s="197"/>
      <c r="F67" s="153"/>
      <c r="G67" s="26">
        <v>5035.4399999999996</v>
      </c>
      <c r="H67" s="186"/>
      <c r="I67" s="26"/>
      <c r="J67" s="26">
        <f>ROUND(D67*(J14+J16),2)</f>
        <v>889213.5</v>
      </c>
    </row>
    <row r="68" spans="1:10" s="12" customFormat="1" ht="14.25" customHeight="1" x14ac:dyDescent="0.2">
      <c r="A68" s="2"/>
      <c r="B68" s="2"/>
      <c r="C68" s="8" t="s">
        <v>271</v>
      </c>
      <c r="D68" s="2"/>
      <c r="E68" s="197"/>
      <c r="F68" s="153"/>
      <c r="G68" s="26">
        <f>G14+G25+G64+G66+G67</f>
        <v>89780.540519240254</v>
      </c>
      <c r="H68" s="186"/>
      <c r="I68" s="26"/>
      <c r="J68" s="26">
        <f>J14+J25+J64+J66+J67</f>
        <v>4778384.0299999993</v>
      </c>
    </row>
    <row r="69" spans="1:10" s="12" customFormat="1" ht="14.25" customHeight="1" x14ac:dyDescent="0.2">
      <c r="A69" s="2"/>
      <c r="B69" s="2"/>
      <c r="C69" s="8" t="s">
        <v>272</v>
      </c>
      <c r="D69" s="2"/>
      <c r="E69" s="197"/>
      <c r="F69" s="153"/>
      <c r="G69" s="26">
        <f>G68+G43</f>
        <v>195915.24051924024</v>
      </c>
      <c r="H69" s="186"/>
      <c r="I69" s="26"/>
      <c r="J69" s="26">
        <f>J68+J43</f>
        <v>5442787.8599999994</v>
      </c>
    </row>
    <row r="70" spans="1:10" s="12" customFormat="1" ht="34.5" customHeight="1" x14ac:dyDescent="0.2">
      <c r="A70" s="2"/>
      <c r="B70" s="2"/>
      <c r="C70" s="8" t="s">
        <v>238</v>
      </c>
      <c r="D70" s="2" t="s">
        <v>273</v>
      </c>
      <c r="E70" s="187">
        <v>1</v>
      </c>
      <c r="F70" s="153"/>
      <c r="G70" s="26">
        <f>G69/E70</f>
        <v>195915.24051924024</v>
      </c>
      <c r="H70" s="186"/>
      <c r="I70" s="26"/>
      <c r="J70" s="26">
        <f>J69/E70</f>
        <v>5442787.8599999994</v>
      </c>
    </row>
    <row r="72" spans="1:10" s="12" customFormat="1" ht="14.25" customHeight="1" x14ac:dyDescent="0.2">
      <c r="A72" s="4" t="s">
        <v>274</v>
      </c>
    </row>
    <row r="73" spans="1:10" s="12" customFormat="1" ht="14.25" customHeight="1" x14ac:dyDescent="0.2">
      <c r="A73" s="166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275</v>
      </c>
    </row>
    <row r="76" spans="1:10" s="12" customFormat="1" ht="14.25" customHeight="1" x14ac:dyDescent="0.2">
      <c r="A76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6:H46"/>
    <mergeCell ref="B12:H12"/>
    <mergeCell ref="B15:H15"/>
    <mergeCell ref="B17:H17"/>
    <mergeCell ref="B18:H18"/>
    <mergeCell ref="B27:H27"/>
    <mergeCell ref="B26:H26"/>
    <mergeCell ref="B45:H4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16" workbookViewId="0">
      <selection activeCell="E30" sqref="E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8" t="s">
        <v>276</v>
      </c>
      <c r="B1" s="248"/>
      <c r="C1" s="248"/>
      <c r="D1" s="248"/>
      <c r="E1" s="248"/>
      <c r="F1" s="248"/>
      <c r="G1" s="248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3" t="s">
        <v>277</v>
      </c>
      <c r="B3" s="203"/>
      <c r="C3" s="203"/>
      <c r="D3" s="203"/>
      <c r="E3" s="203"/>
      <c r="F3" s="203"/>
      <c r="G3" s="203"/>
    </row>
    <row r="4" spans="1:7" ht="25.5" customHeight="1" x14ac:dyDescent="0.25">
      <c r="A4" s="206" t="s">
        <v>47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53" t="s">
        <v>13</v>
      </c>
      <c r="B6" s="253" t="s">
        <v>98</v>
      </c>
      <c r="C6" s="253" t="s">
        <v>204</v>
      </c>
      <c r="D6" s="253" t="s">
        <v>100</v>
      </c>
      <c r="E6" s="229" t="s">
        <v>247</v>
      </c>
      <c r="F6" s="253" t="s">
        <v>102</v>
      </c>
      <c r="G6" s="253"/>
    </row>
    <row r="7" spans="1:7" x14ac:dyDescent="0.25">
      <c r="A7" s="253"/>
      <c r="B7" s="253"/>
      <c r="C7" s="253"/>
      <c r="D7" s="253"/>
      <c r="E7" s="246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9" t="s">
        <v>278</v>
      </c>
      <c r="C9" s="250"/>
      <c r="D9" s="250"/>
      <c r="E9" s="250"/>
      <c r="F9" s="250"/>
      <c r="G9" s="251"/>
    </row>
    <row r="10" spans="1:7" ht="27" customHeight="1" x14ac:dyDescent="0.25">
      <c r="A10" s="2"/>
      <c r="B10" s="159"/>
      <c r="C10" s="8" t="s">
        <v>279</v>
      </c>
      <c r="D10" s="159"/>
      <c r="E10" s="167"/>
      <c r="F10" s="153"/>
      <c r="G10" s="26">
        <v>0</v>
      </c>
    </row>
    <row r="11" spans="1:7" x14ac:dyDescent="0.25">
      <c r="A11" s="2"/>
      <c r="B11" s="234" t="s">
        <v>280</v>
      </c>
      <c r="C11" s="234"/>
      <c r="D11" s="234"/>
      <c r="E11" s="252"/>
      <c r="F11" s="237"/>
      <c r="G11" s="237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8">
        <f>'Прил.5 Расчет СМР и ОБ'!E28</f>
        <v>22</v>
      </c>
      <c r="F12" s="153">
        <f>'Прил.5 Расчет СМР и ОБ'!F28</f>
        <v>1105.2</v>
      </c>
      <c r="G12" s="26">
        <f t="shared" ref="G12:G24" si="0">ROUND(E12*F12,2)</f>
        <v>24314.400000000001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8">
        <f>'Прил.5 Расчет СМР и ОБ'!E29</f>
        <v>147</v>
      </c>
      <c r="F13" s="153">
        <f>'Прил.5 Расчет СМР и ОБ'!F29</f>
        <v>116.52</v>
      </c>
      <c r="G13" s="26">
        <f t="shared" si="0"/>
        <v>17128.439999999999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8">
        <f>'Прил.5 Расчет СМР и ОБ'!E30</f>
        <v>7</v>
      </c>
      <c r="F14" s="153">
        <f>'Прил.5 Расчет СМР и ОБ'!F30</f>
        <v>2188.6</v>
      </c>
      <c r="G14" s="26">
        <f t="shared" si="0"/>
        <v>15320.2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8">
        <f>'Прил.5 Расчет СМР и ОБ'!E31</f>
        <v>3</v>
      </c>
      <c r="F15" s="153">
        <f>'Прил.5 Расчет СМР и ОБ'!F31</f>
        <v>3463.94</v>
      </c>
      <c r="G15" s="26">
        <f t="shared" si="0"/>
        <v>10391.82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8">
        <f>'Прил.5 Расчет СМР и ОБ'!E32</f>
        <v>40</v>
      </c>
      <c r="F16" s="153">
        <f>'Прил.5 Расчет СМР и ОБ'!F32</f>
        <v>187</v>
      </c>
      <c r="G16" s="26">
        <f t="shared" si="0"/>
        <v>7480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8">
        <f>'Прил.5 Расчет СМР и ОБ'!E33</f>
        <v>176</v>
      </c>
      <c r="F17" s="153">
        <f>'Прил.5 Расчет СМР и ОБ'!F33</f>
        <v>38.380000000000003</v>
      </c>
      <c r="G17" s="26">
        <f t="shared" si="0"/>
        <v>6754.88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8">
        <f>'Прил.5 Расчет СМР и ОБ'!E34</f>
        <v>25</v>
      </c>
      <c r="F18" s="153">
        <f>'Прил.5 Расчет СМР и ОБ'!F34</f>
        <v>243.85</v>
      </c>
      <c r="G18" s="26">
        <f t="shared" si="0"/>
        <v>6096.25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8">
        <f>'Прил.5 Расчет СМР и ОБ'!E35</f>
        <v>7</v>
      </c>
      <c r="F19" s="153">
        <f>'Прил.5 Расчет СМР и ОБ'!F35</f>
        <v>726.24</v>
      </c>
      <c r="G19" s="26">
        <f t="shared" si="0"/>
        <v>5083.68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8">
        <f>'Прил.5 Расчет СМР и ОБ'!E37</f>
        <v>29</v>
      </c>
      <c r="F20" s="153">
        <f>'Прил.5 Расчет СМР и ОБ'!F37</f>
        <v>175.63</v>
      </c>
      <c r="G20" s="26">
        <f t="shared" si="0"/>
        <v>5093.2700000000004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8">
        <f>'Прил.5 Расчет СМР и ОБ'!E38</f>
        <v>9</v>
      </c>
      <c r="F21" s="153">
        <f>'Прил.5 Расчет СМР и ОБ'!F38</f>
        <v>410.04</v>
      </c>
      <c r="G21" s="26">
        <f t="shared" si="0"/>
        <v>3690.36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8">
        <f>'Прил.5 Расчет СМР и ОБ'!E39</f>
        <v>37</v>
      </c>
      <c r="F22" s="153">
        <f>'Прил.5 Расчет СМР и ОБ'!F39</f>
        <v>68.819999999999993</v>
      </c>
      <c r="G22" s="26">
        <f t="shared" si="0"/>
        <v>2546.34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8">
        <f>'Прил.5 Расчет СМР и ОБ'!E40</f>
        <v>4</v>
      </c>
      <c r="F23" s="153">
        <f>'Прил.5 Расчет СМР и ОБ'!F40</f>
        <v>367.7</v>
      </c>
      <c r="G23" s="26">
        <f t="shared" si="0"/>
        <v>1470.8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8">
        <f>'Прил.5 Расчет СМР и ОБ'!E41</f>
        <v>0.14000000000000001</v>
      </c>
      <c r="F24" s="153">
        <f>'Прил.5 Расчет СМР и ОБ'!F41</f>
        <v>5459</v>
      </c>
      <c r="G24" s="26">
        <f t="shared" si="0"/>
        <v>764.26</v>
      </c>
    </row>
    <row r="25" spans="1:7" ht="25.5" customHeight="1" x14ac:dyDescent="0.25">
      <c r="A25" s="2"/>
      <c r="B25" s="8"/>
      <c r="C25" s="8" t="s">
        <v>281</v>
      </c>
      <c r="D25" s="8"/>
      <c r="E25" s="40"/>
      <c r="F25" s="153"/>
      <c r="G25" s="26">
        <f>SUM(G12:G24)</f>
        <v>106134.69999999998</v>
      </c>
    </row>
    <row r="26" spans="1:7" ht="19.5" customHeight="1" x14ac:dyDescent="0.25">
      <c r="A26" s="2"/>
      <c r="B26" s="8"/>
      <c r="C26" s="8" t="s">
        <v>282</v>
      </c>
      <c r="D26" s="8"/>
      <c r="E26" s="40"/>
      <c r="F26" s="153"/>
      <c r="G26" s="26">
        <f>G10+G25</f>
        <v>106134.69999999998</v>
      </c>
    </row>
    <row r="27" spans="1:7" x14ac:dyDescent="0.25">
      <c r="A27" s="24"/>
      <c r="B27" s="168"/>
      <c r="C27" s="24"/>
      <c r="D27" s="24"/>
      <c r="E27" s="24"/>
      <c r="F27" s="24"/>
      <c r="G27" s="24"/>
    </row>
    <row r="28" spans="1:7" x14ac:dyDescent="0.25">
      <c r="A28" s="4" t="s">
        <v>274</v>
      </c>
      <c r="B28" s="12"/>
      <c r="C28" s="12"/>
      <c r="D28" s="24"/>
      <c r="E28" s="24"/>
      <c r="F28" s="24"/>
      <c r="G28" s="24"/>
    </row>
    <row r="29" spans="1:7" x14ac:dyDescent="0.25">
      <c r="A29" s="166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275</v>
      </c>
      <c r="B31" s="12"/>
      <c r="C31" s="12"/>
      <c r="D31" s="24"/>
      <c r="E31" s="24"/>
      <c r="F31" s="24"/>
      <c r="G31" s="24"/>
    </row>
    <row r="32" spans="1:7" x14ac:dyDescent="0.25">
      <c r="A32" s="166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2023-11-25T11:09:58Z</cp:lastPrinted>
  <dcterms:created xsi:type="dcterms:W3CDTF">2020-09-30T08:50:27Z</dcterms:created>
  <dcterms:modified xsi:type="dcterms:W3CDTF">2023-11-25T11:10:12Z</dcterms:modified>
  <cp:category/>
</cp:coreProperties>
</file>