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9212290B-DE8F-45E4-9F0C-4D73E760F5B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Прил.3!$A$1:$H$38</definedName>
    <definedName name="_xlnm.Print_Area" localSheetId="6">'Прил.4 РМ'!$A$1:$E$48</definedName>
    <definedName name="_xlnm.Print_Area" localSheetId="7">'Прил.5 Расчет СМР и ОБ'!$A$1:$J$58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2" i="9"/>
  <c r="G12" i="9" s="1"/>
  <c r="G13" i="9" s="1"/>
  <c r="E12" i="9"/>
  <c r="D12" i="9"/>
  <c r="C12" i="9"/>
  <c r="B12" i="9"/>
  <c r="H43" i="8"/>
  <c r="G43" i="8"/>
  <c r="H34" i="8" s="1"/>
  <c r="G42" i="8"/>
  <c r="H42" i="8" s="1"/>
  <c r="J41" i="8"/>
  <c r="I41" i="8"/>
  <c r="H41" i="8"/>
  <c r="G41" i="8"/>
  <c r="J40" i="8"/>
  <c r="I40" i="8"/>
  <c r="G40" i="8"/>
  <c r="J39" i="8"/>
  <c r="I39" i="8"/>
  <c r="H39" i="8"/>
  <c r="G39" i="8"/>
  <c r="J38" i="8"/>
  <c r="I38" i="8"/>
  <c r="H38" i="8"/>
  <c r="G38" i="8"/>
  <c r="J37" i="8"/>
  <c r="J42" i="8" s="1"/>
  <c r="I37" i="8"/>
  <c r="H37" i="8"/>
  <c r="G37" i="8"/>
  <c r="J36" i="8"/>
  <c r="I36" i="8"/>
  <c r="H36" i="8"/>
  <c r="G36" i="8"/>
  <c r="J35" i="8"/>
  <c r="H35" i="8"/>
  <c r="G35" i="8"/>
  <c r="J34" i="8"/>
  <c r="I34" i="8"/>
  <c r="G34" i="8"/>
  <c r="J31" i="8"/>
  <c r="C26" i="7" s="1"/>
  <c r="J30" i="8"/>
  <c r="J28" i="8"/>
  <c r="J27" i="8"/>
  <c r="G27" i="8"/>
  <c r="G28" i="8" s="1"/>
  <c r="F27" i="8"/>
  <c r="G24" i="8"/>
  <c r="H23" i="8" s="1"/>
  <c r="G23" i="8"/>
  <c r="J22" i="8"/>
  <c r="J23" i="8" s="1"/>
  <c r="I22" i="8"/>
  <c r="H22" i="8"/>
  <c r="G22" i="8"/>
  <c r="H21" i="8"/>
  <c r="G21" i="8"/>
  <c r="J20" i="8"/>
  <c r="I20" i="8"/>
  <c r="H20" i="8"/>
  <c r="G20" i="8"/>
  <c r="J19" i="8"/>
  <c r="J21" i="8" s="1"/>
  <c r="C12" i="7" s="1"/>
  <c r="I19" i="8"/>
  <c r="H19" i="8"/>
  <c r="G19" i="8"/>
  <c r="G16" i="8"/>
  <c r="F16" i="8" s="1"/>
  <c r="I16" i="8" s="1"/>
  <c r="J16" i="8" s="1"/>
  <c r="C15" i="7" s="1"/>
  <c r="I13" i="8"/>
  <c r="G13" i="8"/>
  <c r="G14" i="8" s="1"/>
  <c r="C33" i="7"/>
  <c r="C25" i="7"/>
  <c r="C23" i="7"/>
  <c r="C21" i="7"/>
  <c r="C16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4" i="8" l="1"/>
  <c r="C13" i="7"/>
  <c r="C14" i="7" s="1"/>
  <c r="H28" i="8"/>
  <c r="G30" i="8"/>
  <c r="G31" i="8"/>
  <c r="G14" i="9"/>
  <c r="C17" i="7"/>
  <c r="C18" i="7" s="1"/>
  <c r="J43" i="8"/>
  <c r="H40" i="8"/>
  <c r="H27" i="8"/>
  <c r="G44" i="8"/>
  <c r="G47" i="8"/>
  <c r="G48" i="8" s="1"/>
  <c r="G49" i="8" s="1"/>
  <c r="H13" i="8"/>
  <c r="E13" i="8"/>
  <c r="H30" i="8" l="1"/>
  <c r="H29" i="8"/>
  <c r="E14" i="8"/>
  <c r="J13" i="8"/>
  <c r="J14" i="8" s="1"/>
  <c r="J45" i="8" l="1"/>
  <c r="C11" i="7"/>
  <c r="J44" i="8"/>
  <c r="J46" i="8"/>
  <c r="J47" i="8" l="1"/>
  <c r="J48" i="8" s="1"/>
  <c r="J49" i="8" s="1"/>
  <c r="C19" i="7"/>
  <c r="C20" i="7"/>
  <c r="C22" i="7"/>
  <c r="C24" i="7" l="1"/>
  <c r="D24" i="7" s="1"/>
  <c r="C29" i="7"/>
  <c r="C30" i="7" s="1"/>
  <c r="C27" i="7"/>
  <c r="D16" i="7"/>
  <c r="D14" i="7"/>
  <c r="D12" i="7"/>
  <c r="D13" i="7"/>
  <c r="D17" i="7"/>
  <c r="D15" i="7"/>
  <c r="D11" i="7"/>
  <c r="D22" i="7"/>
  <c r="D20" i="7"/>
  <c r="D18" i="7" l="1"/>
  <c r="C35" i="7"/>
  <c r="C32" i="7"/>
  <c r="C37" i="7" s="1"/>
  <c r="C34" i="7"/>
  <c r="C36" i="7" l="1"/>
  <c r="C38" i="7" s="1"/>
  <c r="C39" i="7" l="1"/>
  <c r="C40" i="7" l="1"/>
  <c r="E39" i="7"/>
  <c r="C41" i="7" l="1"/>
  <c r="D11" i="10" s="1"/>
  <c r="E18" i="7"/>
  <c r="E16" i="7"/>
  <c r="E14" i="7"/>
  <c r="E12" i="7"/>
  <c r="E25" i="7"/>
  <c r="E40" i="7"/>
  <c r="E31" i="7"/>
  <c r="E26" i="7"/>
  <c r="E33" i="7"/>
  <c r="E17" i="7"/>
  <c r="E13" i="7"/>
  <c r="E15" i="7"/>
  <c r="E11" i="7"/>
  <c r="E22" i="7"/>
  <c r="E20" i="7"/>
  <c r="E24" i="7"/>
  <c r="E30" i="7"/>
  <c r="E29" i="7"/>
  <c r="E27" i="7"/>
  <c r="E32" i="7"/>
  <c r="E34" i="7"/>
  <c r="E37" i="7"/>
  <c r="E35" i="7"/>
  <c r="E38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<sst xmlns="http://schemas.openxmlformats.org/spreadsheetml/2006/main" count="562" uniqueCount="386">
  <si>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</si>
  <si>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</si>
  <si>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</si>
  <si>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</si>
  <si>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</si>
  <si>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</si>
  <si>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</si>
  <si>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</si>
  <si>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</si>
  <si>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</si>
  <si>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</si>
  <si>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</si>
  <si>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</si>
  <si>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</si>
  <si>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</si>
  <si>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</si>
  <si>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</si>
  <si>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</si>
  <si>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</si>
  <si>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</si>
  <si>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</si>
  <si>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</si>
  <si>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</si>
  <si>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</si>
  <si>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</si>
  <si>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</si>
  <si>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</si>
  <si>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</si>
  <si>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</si>
  <si>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</si>
  <si>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</si>
  <si>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</si>
  <si>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</si>
  <si>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</si>
  <si>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</si>
  <si>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</si>
  <si>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</si>
  <si>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</si>
  <si>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</si>
  <si>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</si>
  <si>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</si>
  <si>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</si>
  <si>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</si>
  <si>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</si>
  <si>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</si>
  <si>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</si>
  <si>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</si>
  <si>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</si>
  <si>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противотаранное устройство ПС 500 кВ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</si>
  <si>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</si>
  <si>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</si>
  <si>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</si>
  <si>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</si>
  <si>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</si>
  <si>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</si>
  <si>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</si>
  <si>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</si>
  <si>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</si>
  <si>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</si>
  <si>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</si>
  <si>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</si>
  <si>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Противотаранное дорожное заградительное устройство 4,0 м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</si>
  <si>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</si>
  <si>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</si>
  <si>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</si>
  <si>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</si>
  <si>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</si>
  <si>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</si>
  <si>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</si>
  <si>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</si>
  <si>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</si>
  <si>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</si>
  <si>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</si>
  <si>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</si>
  <si>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</si>
  <si>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</si>
  <si>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</si>
  <si>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</si>
  <si>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</si>
  <si>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</si>
  <si>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</si>
  <si>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</si>
  <si>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</si>
  <si>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</si>
  <si>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</si>
  <si>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</si>
  <si>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</si>
  <si>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</si>
  <si>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</si>
  <si>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Противотаранное устройство ПС 500 кВ</t>
  </si>
  <si>
    <t>Всего по объекту:</t>
  </si>
  <si>
    <t>Всего по объекту в сопоставимом уровне цен 4 кв. 2018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</si>
  <si>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</si>
  <si>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</si>
  <si>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</si>
  <si>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</si>
  <si>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</si>
  <si>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противотаранное устройство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</si>
  <si>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</si>
  <si>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</si>
  <si>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</si>
  <si>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</si>
  <si>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</si>
  <si>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</si>
  <si>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</si>
  <si>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</si>
  <si>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</si>
  <si>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</si>
  <si>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</si>
  <si>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1-2-6</t>
  </si>
  <si>
    <t>Затраты труда рабочих (средний разряд работы 2,6)</t>
  </si>
  <si>
    <t>чел.-ч</t>
  </si>
  <si>
    <t>Затраты труда машинистов</t>
  </si>
  <si>
    <t>Затраты труда машинистов(справочно)</t>
  </si>
  <si>
    <t>Машины и механизмы</t>
  </si>
  <si>
    <t>91.05.13-001</t>
  </si>
  <si>
    <t>Автомобили бортовые, грузоподъемность до 6 т, с краном-манипулятором-4,0 т</t>
  </si>
  <si>
    <t>маш.-ч</t>
  </si>
  <si>
    <t>91.07.03-003</t>
  </si>
  <si>
    <t>Бетоносмесители гравитационные передвижные 330 л</t>
  </si>
  <si>
    <t>91.17.04-042</t>
  </si>
  <si>
    <t>Аппараты для газовой сварки и резки</t>
  </si>
  <si>
    <t>Прайс из СД ОП</t>
  </si>
  <si>
    <t>Противотаранное дорожное заградительное устройство 4,0 м (врезное) ПЗП-М-В-4000 (Сатурн Конверсия)</t>
  </si>
  <si>
    <t>компл.</t>
  </si>
  <si>
    <t>Материалы</t>
  </si>
  <si>
    <t>04.1.02.01-0001</t>
  </si>
  <si>
    <t>Смеси бетонные мелкозернистого бетона (БСМ), класс В3,5 (М50)</t>
  </si>
  <si>
    <t>м3</t>
  </si>
  <si>
    <t>01.7.15.02-0051</t>
  </si>
  <si>
    <t>Болты анкерные</t>
  </si>
  <si>
    <t>т</t>
  </si>
  <si>
    <t>11.1.03.06-0087</t>
  </si>
  <si>
    <t>Доска обрезная, хвойных пород, ширина 75-150 мм, толщина 25 мм, длина 4-6,5 м, сорт III</t>
  </si>
  <si>
    <t>01.7.15.06-0111</t>
  </si>
  <si>
    <t>Гвозди строительные</t>
  </si>
  <si>
    <t>14.4.03.03-0002</t>
  </si>
  <si>
    <t>Лак битумный БТ-123</t>
  </si>
  <si>
    <t>01.3.02.08-0001</t>
  </si>
  <si>
    <t>Кислород газообразный технический</t>
  </si>
  <si>
    <t>01.3.02.09-0022</t>
  </si>
  <si>
    <t>Пропан-бутан смесь техническая</t>
  </si>
  <si>
    <t>кг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</si>
  <si>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</si>
  <si>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</si>
  <si>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</si>
  <si>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</si>
  <si>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</si>
  <si>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</si>
  <si>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</si>
  <si>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</si>
  <si>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</si>
  <si>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</si>
  <si>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</si>
  <si>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</si>
  <si>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</si>
  <si>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</si>
  <si>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</si>
  <si>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</si>
  <si>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</si>
  <si>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</si>
  <si>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</si>
  <si>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</si>
  <si>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</si>
  <si>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</si>
  <si>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</si>
  <si>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</si>
  <si>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</si>
  <si>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</si>
  <si>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</si>
  <si>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</si>
  <si>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</si>
  <si>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</si>
  <si>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</si>
  <si>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</si>
  <si>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</si>
  <si>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</si>
  <si>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</si>
  <si>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</si>
  <si>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</si>
  <si>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</si>
  <si>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</si>
  <si>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</si>
  <si>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</si>
  <si>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</si>
  <si>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</si>
  <si>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</si>
  <si>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противотаранное устройство 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</si>
  <si>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</si>
  <si>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</si>
  <si>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</si>
  <si>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</si>
  <si>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</si>
  <si>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(2,6)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</si>
  <si>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</si>
  <si>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</si>
  <si>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</si>
  <si>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</si>
  <si>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</si>
  <si>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</si>
  <si>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</si>
  <si>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БЦ.92_4.14</t>
  </si>
  <si>
    <t>Противотаранное дорожное заградительное устройство 4,0 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</si>
  <si>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</si>
  <si>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</si>
  <si>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</si>
  <si>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</si>
  <si>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</si>
  <si>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</si>
  <si>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</si>
  <si>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</si>
  <si>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</si>
  <si>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</si>
  <si>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</si>
  <si>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</si>
  <si>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</si>
  <si>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</si>
  <si>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</si>
  <si>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</si>
  <si>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</si>
  <si>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</si>
  <si>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</si>
  <si>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</si>
  <si>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</si>
  <si>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</si>
  <si>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</si>
  <si>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</si>
  <si>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</si>
  <si>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</si>
  <si>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</si>
  <si>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З1-05</t>
  </si>
  <si>
    <t>УНЦ постоянной части ПС 500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</si>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</sst>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170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16" fillId="0" borderId="0" xfId="0" applyFont="1"/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334309</xdr:colOff>
      <xdr:row>27</xdr:row>
      <xdr:rowOff>75266</xdr:rowOff>
    </xdr:from>
    <xdr:to>
      <xdr:col>2</xdr:col>
      <xdr:colOff>1279111</xdr:colOff>
      <xdr:row>30</xdr:row>
      <xdr:rowOff>23310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B5E6D6-4F02-44C3-BD97-76893690B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544" y="10373472"/>
          <a:ext cx="944802" cy="519544"/>
        </a:xfrm>
        <a:prstGeom prst="rect">
          <a:avLst/>
        </a:prstGeom>
      </xdr:spPr>
    </xdr:pic>
    <xdr:clientData/>
  </xdr:twoCellAnchor>
  <xdr:oneCellAnchor>
    <xdr:from>
      <xdr:col>2</xdr:col>
      <xdr:colOff>458134</xdr:colOff>
      <xdr:row>24</xdr:row>
      <xdr:rowOff>534148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4B93AC7-E163-47CC-84FE-18A51955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369" y="9868648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823232</xdr:colOff>
      <xdr:row>18</xdr:row>
      <xdr:rowOff>112485</xdr:rowOff>
    </xdr:from>
    <xdr:to>
      <xdr:col>2</xdr:col>
      <xdr:colOff>1768034</xdr:colOff>
      <xdr:row>21</xdr:row>
      <xdr:rowOff>65198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480834-10AB-46E6-89C3-FD354147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946" y="5378449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947057</xdr:colOff>
      <xdr:row>15</xdr:row>
      <xdr:rowOff>179161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14736FF-F3F1-4DBC-BC1A-BFFD35742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771" y="4873625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32</xdr:row>
      <xdr:rowOff>63312</xdr:rowOff>
    </xdr:from>
    <xdr:to>
      <xdr:col>2</xdr:col>
      <xdr:colOff>1402002</xdr:colOff>
      <xdr:row>34</xdr:row>
      <xdr:rowOff>172908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F2E144-48B7-43C7-91EA-8E8FE680D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7607112"/>
          <a:ext cx="944802" cy="490596"/>
        </a:xfrm>
        <a:prstGeom prst="rect">
          <a:avLst/>
        </a:prstGeom>
      </xdr:spPr>
    </xdr:pic>
    <xdr:clientData/>
  </xdr:twoCellAnchor>
  <xdr:oneCellAnchor>
    <xdr:from>
      <xdr:col>2</xdr:col>
      <xdr:colOff>581025</xdr:colOff>
      <xdr:row>29</xdr:row>
      <xdr:rowOff>152400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124A0A9-8A78-4BBD-8619-AECD105E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71247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DF9D585-C5DC-4162-A266-83C762FA0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904875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3397CA7-DA1C-4BC3-9AF4-201CE893F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51</xdr:row>
      <xdr:rowOff>70036</xdr:rowOff>
    </xdr:from>
    <xdr:to>
      <xdr:col>2</xdr:col>
      <xdr:colOff>289258</xdr:colOff>
      <xdr:row>54</xdr:row>
      <xdr:rowOff>22749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B929DAE-3B94-42D2-9703-A350EAD8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119191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973231</xdr:colOff>
      <xdr:row>48</xdr:row>
      <xdr:rowOff>403412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3189326-B9D6-4616-87A0-4DB8C34F4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231" y="114143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16</xdr:row>
      <xdr:rowOff>76199</xdr:rowOff>
    </xdr:from>
    <xdr:to>
      <xdr:col>2</xdr:col>
      <xdr:colOff>278052</xdr:colOff>
      <xdr:row>19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DF4E11C-3DFA-4CC9-95A0-5AFA4760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2767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628650</xdr:colOff>
      <xdr:row>13</xdr:row>
      <xdr:rowOff>200025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A6163DF-FFE8-4B1F-8317-B209CCFBD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771900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94A5B7-B715-4E45-84BF-7D97DB612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324224"/>
          <a:ext cx="944802" cy="524213"/>
        </a:xfrm>
        <a:prstGeom prst="rect">
          <a:avLst/>
        </a:prstGeom>
      </xdr:spPr>
    </xdr:pic>
    <xdr:clientData/>
  </xdr:twoCellAnchor>
  <xdr:oneCellAnchor>
    <xdr:from>
      <xdr:col>0</xdr:col>
      <xdr:colOff>942975</xdr:colOff>
      <xdr:row>10</xdr:row>
      <xdr:rowOff>504825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90D1B52-2F72-458C-A0A5-8C4D0798A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28194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29CDF53-07FE-47B5-B00F-09C00E631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933450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258BB57-246B-41F3-9049-C431C9B6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9" t="s">
        <v>0</v>
      </c>
      <c r="B2" s="229"/>
      <c r="C2" s="229"/>
    </row>
    <row r="3" spans="1:3" x14ac:dyDescent="0.25">
      <c r="A3" s="1"/>
      <c r="B3" s="1"/>
      <c r="C3" s="1"/>
    </row>
    <row r="4" spans="1:3" x14ac:dyDescent="0.25">
      <c r="A4" s="230" t="s">
        <v>1</v>
      </c>
      <c r="B4" s="230"/>
      <c r="C4" s="2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31" t="s">
        <v>3</v>
      </c>
      <c r="C6" s="231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90" customWidth="1"/>
    <col min="2" max="2" width="29.5703125" style="190" customWidth="1"/>
    <col min="3" max="3" width="39.140625" style="190" customWidth="1"/>
    <col min="4" max="4" width="48.140625" style="190" customWidth="1"/>
    <col min="5" max="5" width="8.85546875" style="190"/>
  </cols>
  <sheetData>
    <row r="1" spans="1:5" x14ac:dyDescent="0.25">
      <c r="B1" s="191"/>
      <c r="C1" s="191"/>
      <c r="D1" s="192" t="s">
        <v>225</v>
      </c>
    </row>
    <row r="2" spans="1:5" x14ac:dyDescent="0.25">
      <c r="A2" s="192"/>
      <c r="B2" s="192"/>
      <c r="C2" s="192"/>
      <c r="D2" s="192"/>
    </row>
    <row r="3" spans="1:5" ht="24.75" customHeight="1" x14ac:dyDescent="0.25">
      <c r="A3" s="229" t="s">
        <v>226</v>
      </c>
      <c r="B3" s="229"/>
      <c r="C3" s="229"/>
      <c r="D3" s="229"/>
    </row>
    <row r="4" spans="1:5" ht="24.75" customHeight="1" x14ac:dyDescent="0.25">
      <c r="A4" s="193"/>
      <c r="B4" s="193"/>
      <c r="C4" s="193"/>
      <c r="D4" s="193"/>
    </row>
    <row r="5" spans="1:5" ht="24.6" customHeight="1" x14ac:dyDescent="0.25">
      <c r="A5" s="232" t="s">
        <v>227</v>
      </c>
      <c r="B5" s="232"/>
      <c r="C5" s="232"/>
      <c r="D5" s="194" t="str">
        <f>'Прил.5 Расчет СМР и ОБ'!D6:J6</f>
        <v>Постоянная часть ПС, противотаранное устройство ПС 500 кВ</v>
      </c>
    </row>
    <row r="6" spans="1:5" ht="19.899999999999999" customHeight="1" x14ac:dyDescent="0.25">
      <c r="A6" s="232" t="s">
        <v>50</v>
      </c>
      <c r="B6" s="232"/>
      <c r="C6" s="232"/>
      <c r="D6" s="194"/>
    </row>
    <row r="7" spans="1:5" x14ac:dyDescent="0.25">
      <c r="A7" s="191"/>
      <c r="B7" s="191"/>
      <c r="C7" s="191"/>
      <c r="D7" s="191"/>
    </row>
    <row r="8" spans="1:5" ht="14.45" customHeight="1" x14ac:dyDescent="0.25">
      <c r="A8" s="245" t="s">
        <v>5</v>
      </c>
      <c r="B8" s="245" t="s">
        <v>6</v>
      </c>
      <c r="C8" s="245" t="s">
        <v>228</v>
      </c>
      <c r="D8" s="245" t="s">
        <v>229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195">
        <v>1</v>
      </c>
      <c r="B10" s="195">
        <v>2</v>
      </c>
      <c r="C10" s="195">
        <v>3</v>
      </c>
      <c r="D10" s="195">
        <v>4</v>
      </c>
    </row>
    <row r="11" spans="1:5" ht="41.45" customHeight="1" x14ac:dyDescent="0.25">
      <c r="A11" s="195" t="s">
        <v>230</v>
      </c>
      <c r="B11" s="218" t="s">
        <v>231</v>
      </c>
      <c r="C11" s="219" t="str">
        <f>D5</f>
        <v>Постоянная часть ПС, противотаранное устройство ПС 500 кВ</v>
      </c>
      <c r="D11" s="196">
        <f>'Прил.4 РМ'!C41/1000</f>
        <v>926.6952</v>
      </c>
      <c r="E11" s="197"/>
    </row>
    <row r="12" spans="1:5" x14ac:dyDescent="0.25">
      <c r="A12" s="198"/>
      <c r="B12" s="199"/>
      <c r="C12" s="198"/>
      <c r="D12" s="198"/>
    </row>
    <row r="13" spans="1:5" x14ac:dyDescent="0.25">
      <c r="A13" s="191" t="s">
        <v>232</v>
      </c>
      <c r="B13" s="200"/>
      <c r="C13" s="200"/>
      <c r="D13" s="198"/>
    </row>
    <row r="14" spans="1:5" x14ac:dyDescent="0.25">
      <c r="A14" s="201" t="s">
        <v>76</v>
      </c>
      <c r="B14" s="200"/>
      <c r="C14" s="200"/>
      <c r="D14" s="198"/>
    </row>
    <row r="15" spans="1:5" x14ac:dyDescent="0.25">
      <c r="A15" s="191"/>
      <c r="B15" s="200"/>
      <c r="C15" s="200"/>
      <c r="D15" s="198"/>
    </row>
    <row r="16" spans="1:5" x14ac:dyDescent="0.25">
      <c r="A16" s="191" t="s">
        <v>93</v>
      </c>
      <c r="B16" s="200"/>
      <c r="C16" s="200"/>
      <c r="D16" s="198"/>
    </row>
    <row r="17" spans="1:4" x14ac:dyDescent="0.25">
      <c r="A17" s="201" t="s">
        <v>78</v>
      </c>
      <c r="B17" s="200"/>
      <c r="C17" s="200"/>
      <c r="D17" s="19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4" zoomScale="60" zoomScaleNormal="85" workbookViewId="0">
      <selection activeCell="O38" sqref="O38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7" t="s">
        <v>233</v>
      </c>
      <c r="C4" s="237"/>
      <c r="D4" s="237"/>
    </row>
    <row r="5" spans="2:5" ht="18.75" customHeight="1" x14ac:dyDescent="0.25">
      <c r="B5" s="126"/>
    </row>
    <row r="6" spans="2:5" ht="15.75" customHeight="1" x14ac:dyDescent="0.25">
      <c r="B6" s="244" t="s">
        <v>234</v>
      </c>
      <c r="C6" s="244"/>
      <c r="D6" s="244"/>
    </row>
    <row r="7" spans="2:5" x14ac:dyDescent="0.25">
      <c r="B7" s="280"/>
      <c r="C7" s="280"/>
      <c r="D7" s="280"/>
      <c r="E7" s="280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235</v>
      </c>
      <c r="C9" s="117" t="s">
        <v>236</v>
      </c>
      <c r="D9" s="117" t="s">
        <v>237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238</v>
      </c>
      <c r="C11" s="117" t="s">
        <v>239</v>
      </c>
      <c r="D11" s="117">
        <v>44.29</v>
      </c>
    </row>
    <row r="12" spans="2:5" ht="29.25" customHeight="1" x14ac:dyDescent="0.25">
      <c r="B12" s="117" t="s">
        <v>240</v>
      </c>
      <c r="C12" s="117" t="s">
        <v>239</v>
      </c>
      <c r="D12" s="117">
        <v>13.47</v>
      </c>
    </row>
    <row r="13" spans="2:5" ht="29.25" customHeight="1" x14ac:dyDescent="0.25">
      <c r="B13" s="117" t="s">
        <v>241</v>
      </c>
      <c r="C13" s="117" t="s">
        <v>239</v>
      </c>
      <c r="D13" s="117">
        <v>8.0399999999999991</v>
      </c>
    </row>
    <row r="14" spans="2:5" ht="30.75" customHeight="1" x14ac:dyDescent="0.25">
      <c r="B14" s="117" t="s">
        <v>242</v>
      </c>
      <c r="C14" s="111" t="s">
        <v>243</v>
      </c>
      <c r="D14" s="117">
        <v>6.26</v>
      </c>
    </row>
    <row r="15" spans="2:5" ht="89.45" customHeight="1" x14ac:dyDescent="0.25">
      <c r="B15" s="117" t="s">
        <v>244</v>
      </c>
      <c r="C15" s="117" t="s">
        <v>245</v>
      </c>
      <c r="D15" s="128">
        <v>3.9E-2</v>
      </c>
    </row>
    <row r="16" spans="2:5" ht="78.75" customHeight="1" x14ac:dyDescent="0.25">
      <c r="B16" s="117" t="s">
        <v>246</v>
      </c>
      <c r="C16" s="117" t="s">
        <v>247</v>
      </c>
      <c r="D16" s="128">
        <v>2.1000000000000001E-2</v>
      </c>
    </row>
    <row r="17" spans="2:4" ht="31.7" customHeight="1" x14ac:dyDescent="0.25">
      <c r="B17" s="117" t="s">
        <v>248</v>
      </c>
      <c r="C17" s="117" t="s">
        <v>249</v>
      </c>
      <c r="D17" s="128">
        <v>2.1399999999999999E-2</v>
      </c>
    </row>
    <row r="18" spans="2:4" ht="31.7" customHeight="1" x14ac:dyDescent="0.25">
      <c r="B18" s="117" t="s">
        <v>175</v>
      </c>
      <c r="C18" s="117" t="s">
        <v>250</v>
      </c>
      <c r="D18" s="128">
        <v>2E-3</v>
      </c>
    </row>
    <row r="19" spans="2:4" ht="24" customHeight="1" x14ac:dyDescent="0.25">
      <c r="B19" s="117" t="s">
        <v>177</v>
      </c>
      <c r="C19" s="117" t="s">
        <v>251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252</v>
      </c>
      <c r="C26" s="12"/>
    </row>
    <row r="27" spans="2:4" x14ac:dyDescent="0.25">
      <c r="B27" s="27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27" t="s">
        <v>78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19" sqref="D19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4" t="s">
        <v>253</v>
      </c>
      <c r="B2" s="244"/>
      <c r="C2" s="244"/>
      <c r="D2" s="244"/>
      <c r="E2" s="244"/>
      <c r="F2" s="244"/>
    </row>
    <row r="4" spans="1:7" ht="18" customHeight="1" x14ac:dyDescent="0.25">
      <c r="A4" s="112" t="s">
        <v>254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255</v>
      </c>
      <c r="C5" s="114" t="s">
        <v>256</v>
      </c>
      <c r="D5" s="114" t="s">
        <v>257</v>
      </c>
      <c r="E5" s="114" t="s">
        <v>258</v>
      </c>
      <c r="F5" s="114" t="s">
        <v>259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260</v>
      </c>
      <c r="B7" s="116" t="s">
        <v>261</v>
      </c>
      <c r="C7" s="117" t="s">
        <v>262</v>
      </c>
      <c r="D7" s="117" t="s">
        <v>263</v>
      </c>
      <c r="E7" s="118">
        <v>47872.94</v>
      </c>
      <c r="F7" s="116" t="s">
        <v>264</v>
      </c>
      <c r="G7" s="113"/>
    </row>
    <row r="8" spans="1:7" ht="31.7" customHeight="1" x14ac:dyDescent="0.25">
      <c r="A8" s="115" t="s">
        <v>265</v>
      </c>
      <c r="B8" s="116" t="s">
        <v>266</v>
      </c>
      <c r="C8" s="117" t="s">
        <v>267</v>
      </c>
      <c r="D8" s="117" t="s">
        <v>268</v>
      </c>
      <c r="E8" s="118">
        <f>1973/12</f>
        <v>164.41666666667001</v>
      </c>
      <c r="F8" s="116" t="s">
        <v>269</v>
      </c>
      <c r="G8" s="119"/>
    </row>
    <row r="9" spans="1:7" ht="15.75" customHeight="1" x14ac:dyDescent="0.25">
      <c r="A9" s="115" t="s">
        <v>270</v>
      </c>
      <c r="B9" s="116" t="s">
        <v>271</v>
      </c>
      <c r="C9" s="117" t="s">
        <v>272</v>
      </c>
      <c r="D9" s="117" t="s">
        <v>263</v>
      </c>
      <c r="E9" s="118">
        <v>1</v>
      </c>
      <c r="F9" s="116"/>
      <c r="G9" s="119"/>
    </row>
    <row r="10" spans="1:7" ht="15.75" customHeight="1" x14ac:dyDescent="0.25">
      <c r="A10" s="115" t="s">
        <v>273</v>
      </c>
      <c r="B10" s="116" t="s">
        <v>274</v>
      </c>
      <c r="C10" s="117"/>
      <c r="D10" s="117"/>
      <c r="E10" s="120">
        <v>2.6</v>
      </c>
      <c r="F10" s="116" t="s">
        <v>275</v>
      </c>
      <c r="G10" s="119"/>
    </row>
    <row r="11" spans="1:7" ht="78.75" customHeight="1" x14ac:dyDescent="0.25">
      <c r="A11" s="115" t="s">
        <v>276</v>
      </c>
      <c r="B11" s="116" t="s">
        <v>277</v>
      </c>
      <c r="C11" s="117" t="s">
        <v>278</v>
      </c>
      <c r="D11" s="117" t="s">
        <v>263</v>
      </c>
      <c r="E11" s="167">
        <v>1.1459999999999999</v>
      </c>
      <c r="F11" s="116" t="s">
        <v>279</v>
      </c>
      <c r="G11" s="113"/>
    </row>
    <row r="12" spans="1:7" ht="78.75" customHeight="1" x14ac:dyDescent="0.25">
      <c r="A12" s="115" t="s">
        <v>280</v>
      </c>
      <c r="B12" s="121" t="s">
        <v>281</v>
      </c>
      <c r="C12" s="117" t="s">
        <v>282</v>
      </c>
      <c r="D12" s="117" t="s">
        <v>263</v>
      </c>
      <c r="E12" s="122">
        <v>1.139</v>
      </c>
      <c r="F12" s="123" t="s">
        <v>283</v>
      </c>
      <c r="G12" s="119"/>
    </row>
    <row r="13" spans="1:7" ht="63" customHeight="1" x14ac:dyDescent="0.25">
      <c r="A13" s="115" t="s">
        <v>284</v>
      </c>
      <c r="B13" s="124" t="s">
        <v>285</v>
      </c>
      <c r="C13" s="117" t="s">
        <v>286</v>
      </c>
      <c r="D13" s="117" t="s">
        <v>287</v>
      </c>
      <c r="E13" s="125">
        <f>((E7*E9/E8)*E11)*E12</f>
        <v>380.06038323989998</v>
      </c>
      <c r="F13" s="116" t="s">
        <v>288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1" t="s">
        <v>289</v>
      </c>
      <c r="B1" s="281"/>
      <c r="C1" s="281"/>
      <c r="D1" s="281"/>
      <c r="E1" s="281"/>
      <c r="F1" s="281"/>
      <c r="G1" s="281"/>
      <c r="H1" s="281"/>
      <c r="I1" s="281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2" t="e">
        <f>#REF!</f>
        <v>#REF!</v>
      </c>
      <c r="B3" s="232"/>
      <c r="C3" s="232"/>
      <c r="D3" s="232"/>
      <c r="E3" s="232"/>
      <c r="F3" s="232"/>
      <c r="G3" s="232"/>
      <c r="H3" s="232"/>
      <c r="I3" s="232"/>
    </row>
    <row r="4" spans="1:13" s="4" customFormat="1" ht="15.75" customHeight="1" x14ac:dyDescent="0.2">
      <c r="A4" s="282"/>
      <c r="B4" s="282"/>
      <c r="C4" s="282"/>
      <c r="D4" s="282"/>
      <c r="E4" s="282"/>
      <c r="F4" s="282"/>
      <c r="G4" s="282"/>
      <c r="H4" s="282"/>
      <c r="I4" s="282"/>
    </row>
    <row r="5" spans="1:13" s="30" customFormat="1" ht="36.75" customHeight="1" x14ac:dyDescent="0.35">
      <c r="A5" s="283" t="s">
        <v>13</v>
      </c>
      <c r="B5" s="283" t="s">
        <v>290</v>
      </c>
      <c r="C5" s="283" t="s">
        <v>291</v>
      </c>
      <c r="D5" s="283" t="s">
        <v>292</v>
      </c>
      <c r="E5" s="279" t="s">
        <v>293</v>
      </c>
      <c r="F5" s="279"/>
      <c r="G5" s="279"/>
      <c r="H5" s="279"/>
      <c r="I5" s="279"/>
    </row>
    <row r="6" spans="1:13" s="24" customFormat="1" ht="31.7" customHeight="1" x14ac:dyDescent="0.2">
      <c r="A6" s="283"/>
      <c r="B6" s="283"/>
      <c r="C6" s="283"/>
      <c r="D6" s="283"/>
      <c r="E6" s="31" t="s">
        <v>85</v>
      </c>
      <c r="F6" s="31" t="s">
        <v>86</v>
      </c>
      <c r="G6" s="31" t="s">
        <v>43</v>
      </c>
      <c r="H6" s="31" t="s">
        <v>294</v>
      </c>
      <c r="I6" s="31" t="s">
        <v>295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165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296</v>
      </c>
      <c r="C9" s="8" t="s">
        <v>297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298</v>
      </c>
      <c r="C11" s="8" t="s">
        <v>246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299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300</v>
      </c>
      <c r="C12" s="8" t="s">
        <v>301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302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249</v>
      </c>
      <c r="C14" s="8" t="s">
        <v>303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304</v>
      </c>
      <c r="C16" s="8" t="s">
        <v>305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306</v>
      </c>
    </row>
    <row r="17" spans="1:10" s="24" customFormat="1" ht="81.75" customHeight="1" x14ac:dyDescent="0.2">
      <c r="A17" s="32">
        <v>7</v>
      </c>
      <c r="B17" s="8" t="s">
        <v>304</v>
      </c>
      <c r="C17" s="8" t="s">
        <v>307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308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309</v>
      </c>
      <c r="C20" s="8" t="s">
        <v>177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310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311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312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313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314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8" t="s">
        <v>315</v>
      </c>
      <c r="O2" s="288"/>
    </row>
    <row r="3" spans="1:16" x14ac:dyDescent="0.25">
      <c r="A3" s="289" t="s">
        <v>316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5" spans="1:16" ht="37.5" customHeight="1" x14ac:dyDescent="0.25">
      <c r="A5" s="290" t="s">
        <v>317</v>
      </c>
      <c r="B5" s="293" t="s">
        <v>318</v>
      </c>
      <c r="C5" s="296" t="s">
        <v>319</v>
      </c>
      <c r="D5" s="299" t="s">
        <v>320</v>
      </c>
      <c r="E5" s="300"/>
      <c r="F5" s="300"/>
      <c r="G5" s="300"/>
      <c r="H5" s="300"/>
      <c r="I5" s="299" t="s">
        <v>321</v>
      </c>
      <c r="J5" s="300"/>
      <c r="K5" s="300"/>
      <c r="L5" s="300"/>
      <c r="M5" s="300"/>
      <c r="N5" s="300"/>
      <c r="O5" s="48" t="s">
        <v>322</v>
      </c>
    </row>
    <row r="6" spans="1:16" s="51" customFormat="1" ht="150" customHeight="1" x14ac:dyDescent="0.25">
      <c r="A6" s="291"/>
      <c r="B6" s="294"/>
      <c r="C6" s="297"/>
      <c r="D6" s="296" t="s">
        <v>323</v>
      </c>
      <c r="E6" s="301" t="s">
        <v>324</v>
      </c>
      <c r="F6" s="302"/>
      <c r="G6" s="303"/>
      <c r="H6" s="49" t="s">
        <v>325</v>
      </c>
      <c r="I6" s="304" t="s">
        <v>326</v>
      </c>
      <c r="J6" s="304" t="s">
        <v>323</v>
      </c>
      <c r="K6" s="305" t="s">
        <v>324</v>
      </c>
      <c r="L6" s="305"/>
      <c r="M6" s="305"/>
      <c r="N6" s="49" t="s">
        <v>325</v>
      </c>
      <c r="O6" s="50" t="s">
        <v>327</v>
      </c>
    </row>
    <row r="7" spans="1:16" s="51" customFormat="1" ht="30.75" customHeight="1" x14ac:dyDescent="0.25">
      <c r="A7" s="292"/>
      <c r="B7" s="295"/>
      <c r="C7" s="298"/>
      <c r="D7" s="298"/>
      <c r="E7" s="48" t="s">
        <v>85</v>
      </c>
      <c r="F7" s="48" t="s">
        <v>86</v>
      </c>
      <c r="G7" s="48" t="s">
        <v>43</v>
      </c>
      <c r="H7" s="52" t="s">
        <v>328</v>
      </c>
      <c r="I7" s="304"/>
      <c r="J7" s="304"/>
      <c r="K7" s="48" t="s">
        <v>85</v>
      </c>
      <c r="L7" s="48" t="s">
        <v>86</v>
      </c>
      <c r="M7" s="48" t="s">
        <v>43</v>
      </c>
      <c r="N7" s="52" t="s">
        <v>328</v>
      </c>
      <c r="O7" s="48" t="s">
        <v>329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0" t="s">
        <v>330</v>
      </c>
      <c r="C9" s="54" t="s">
        <v>331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2"/>
      <c r="C10" s="57" t="s">
        <v>332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0" t="s">
        <v>333</v>
      </c>
      <c r="C11" s="57" t="s">
        <v>334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2"/>
      <c r="C12" s="57" t="s">
        <v>335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0" t="s">
        <v>336</v>
      </c>
      <c r="C13" s="54" t="s">
        <v>337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2"/>
      <c r="C14" s="57" t="s">
        <v>338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339</v>
      </c>
      <c r="C15" s="57" t="s">
        <v>340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341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342</v>
      </c>
    </row>
    <row r="19" spans="1:15" ht="30.75" customHeight="1" x14ac:dyDescent="0.25">
      <c r="L19" s="69"/>
    </row>
    <row r="20" spans="1:15" ht="15" customHeight="1" outlineLevel="1" x14ac:dyDescent="0.25">
      <c r="G20" s="287" t="s">
        <v>343</v>
      </c>
      <c r="H20" s="287"/>
      <c r="I20" s="287"/>
      <c r="J20" s="287"/>
      <c r="K20" s="287"/>
      <c r="L20" s="287"/>
      <c r="M20" s="287"/>
      <c r="N20" s="287"/>
    </row>
    <row r="21" spans="1:15" ht="15.75" customHeight="1" outlineLevel="1" x14ac:dyDescent="0.25">
      <c r="G21" s="70"/>
      <c r="H21" s="70" t="s">
        <v>344</v>
      </c>
      <c r="I21" s="70" t="s">
        <v>345</v>
      </c>
      <c r="J21" s="70" t="s">
        <v>346</v>
      </c>
      <c r="K21" s="71" t="s">
        <v>347</v>
      </c>
      <c r="L21" s="70" t="s">
        <v>348</v>
      </c>
      <c r="M21" s="70" t="s">
        <v>349</v>
      </c>
      <c r="N21" s="70" t="s">
        <v>350</v>
      </c>
      <c r="O21" s="64"/>
    </row>
    <row r="22" spans="1:15" ht="15.75" customHeight="1" outlineLevel="1" x14ac:dyDescent="0.25">
      <c r="G22" s="285" t="s">
        <v>351</v>
      </c>
      <c r="H22" s="284">
        <v>6.09</v>
      </c>
      <c r="I22" s="286">
        <v>6.44</v>
      </c>
      <c r="J22" s="284">
        <v>5.77</v>
      </c>
      <c r="K22" s="286">
        <v>5.77</v>
      </c>
      <c r="L22" s="284">
        <v>5.23</v>
      </c>
      <c r="M22" s="284">
        <v>5.77</v>
      </c>
      <c r="N22" s="72">
        <v>6.29</v>
      </c>
      <c r="O22" t="s">
        <v>352</v>
      </c>
    </row>
    <row r="23" spans="1:15" ht="15.75" customHeight="1" outlineLevel="1" x14ac:dyDescent="0.25">
      <c r="G23" s="285"/>
      <c r="H23" s="284"/>
      <c r="I23" s="286"/>
      <c r="J23" s="284"/>
      <c r="K23" s="286"/>
      <c r="L23" s="284"/>
      <c r="M23" s="284"/>
      <c r="N23" s="72">
        <v>6.56</v>
      </c>
      <c r="O23" t="s">
        <v>353</v>
      </c>
    </row>
    <row r="24" spans="1:15" ht="15.75" customHeight="1" outlineLevel="1" x14ac:dyDescent="0.25">
      <c r="G24" s="73" t="s">
        <v>354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328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355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356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6" t="s">
        <v>357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</row>
    <row r="4" spans="1:18" ht="36.75" customHeight="1" x14ac:dyDescent="0.25">
      <c r="A4" s="290" t="s">
        <v>317</v>
      </c>
      <c r="B4" s="293" t="s">
        <v>318</v>
      </c>
      <c r="C4" s="296" t="s">
        <v>358</v>
      </c>
      <c r="D4" s="296" t="s">
        <v>359</v>
      </c>
      <c r="E4" s="299" t="s">
        <v>360</v>
      </c>
      <c r="F4" s="300"/>
      <c r="G4" s="300"/>
      <c r="H4" s="300"/>
      <c r="I4" s="300"/>
      <c r="J4" s="300"/>
      <c r="K4" s="300"/>
      <c r="L4" s="300"/>
      <c r="M4" s="300"/>
      <c r="N4" s="307" t="s">
        <v>361</v>
      </c>
      <c r="O4" s="308"/>
      <c r="P4" s="308"/>
      <c r="Q4" s="308"/>
      <c r="R4" s="309"/>
    </row>
    <row r="5" spans="1:18" ht="60" customHeight="1" x14ac:dyDescent="0.25">
      <c r="A5" s="291"/>
      <c r="B5" s="294"/>
      <c r="C5" s="297"/>
      <c r="D5" s="297"/>
      <c r="E5" s="304" t="s">
        <v>362</v>
      </c>
      <c r="F5" s="304" t="s">
        <v>363</v>
      </c>
      <c r="G5" s="301" t="s">
        <v>324</v>
      </c>
      <c r="H5" s="302"/>
      <c r="I5" s="302"/>
      <c r="J5" s="303"/>
      <c r="K5" s="304" t="s">
        <v>364</v>
      </c>
      <c r="L5" s="304"/>
      <c r="M5" s="304"/>
      <c r="N5" s="75" t="s">
        <v>365</v>
      </c>
      <c r="O5" s="75" t="s">
        <v>366</v>
      </c>
      <c r="P5" s="75" t="s">
        <v>367</v>
      </c>
      <c r="Q5" s="76" t="s">
        <v>368</v>
      </c>
      <c r="R5" s="75" t="s">
        <v>369</v>
      </c>
    </row>
    <row r="6" spans="1:18" ht="49.7" customHeight="1" x14ac:dyDescent="0.25">
      <c r="A6" s="292"/>
      <c r="B6" s="295"/>
      <c r="C6" s="298"/>
      <c r="D6" s="298"/>
      <c r="E6" s="304"/>
      <c r="F6" s="304"/>
      <c r="G6" s="48" t="s">
        <v>85</v>
      </c>
      <c r="H6" s="48" t="s">
        <v>86</v>
      </c>
      <c r="I6" s="48" t="s">
        <v>43</v>
      </c>
      <c r="J6" s="48" t="s">
        <v>294</v>
      </c>
      <c r="K6" s="48" t="s">
        <v>365</v>
      </c>
      <c r="L6" s="48" t="s">
        <v>366</v>
      </c>
      <c r="M6" s="48" t="s">
        <v>367</v>
      </c>
      <c r="N6" s="48" t="s">
        <v>370</v>
      </c>
      <c r="O6" s="48" t="s">
        <v>371</v>
      </c>
      <c r="P6" s="48" t="s">
        <v>372</v>
      </c>
      <c r="Q6" s="49" t="s">
        <v>373</v>
      </c>
      <c r="R6" s="48" t="s">
        <v>374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0">
        <v>1</v>
      </c>
      <c r="B9" s="290" t="s">
        <v>375</v>
      </c>
      <c r="C9" s="310" t="s">
        <v>331</v>
      </c>
      <c r="D9" s="54" t="s">
        <v>376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2"/>
      <c r="B10" s="291"/>
      <c r="C10" s="311"/>
      <c r="D10" s="54" t="s">
        <v>377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0">
        <v>2</v>
      </c>
      <c r="B11" s="291"/>
      <c r="C11" s="310" t="s">
        <v>378</v>
      </c>
      <c r="D11" s="54" t="s">
        <v>376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2"/>
      <c r="B12" s="292"/>
      <c r="C12" s="311"/>
      <c r="D12" s="54" t="s">
        <v>377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0">
        <v>3</v>
      </c>
      <c r="B13" s="290" t="s">
        <v>333</v>
      </c>
      <c r="C13" s="312" t="s">
        <v>334</v>
      </c>
      <c r="D13" s="54" t="s">
        <v>379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2"/>
      <c r="B14" s="291"/>
      <c r="C14" s="313"/>
      <c r="D14" s="54" t="s">
        <v>377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0">
        <v>4</v>
      </c>
      <c r="B15" s="291"/>
      <c r="C15" s="314" t="s">
        <v>335</v>
      </c>
      <c r="D15" s="57" t="s">
        <v>379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2"/>
      <c r="B16" s="292"/>
      <c r="C16" s="315"/>
      <c r="D16" s="57" t="s">
        <v>377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0">
        <v>5</v>
      </c>
      <c r="B17" s="305" t="s">
        <v>336</v>
      </c>
      <c r="C17" s="310" t="s">
        <v>380</v>
      </c>
      <c r="D17" s="54" t="s">
        <v>381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2"/>
      <c r="B18" s="305"/>
      <c r="C18" s="311"/>
      <c r="D18" s="54" t="s">
        <v>377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0">
        <v>6</v>
      </c>
      <c r="B19" s="305"/>
      <c r="C19" s="310" t="s">
        <v>338</v>
      </c>
      <c r="D19" s="57" t="s">
        <v>379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2"/>
      <c r="B20" s="305"/>
      <c r="C20" s="311"/>
      <c r="D20" s="57" t="s">
        <v>377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0">
        <v>7</v>
      </c>
      <c r="B21" s="290" t="s">
        <v>339</v>
      </c>
      <c r="C21" s="310" t="s">
        <v>340</v>
      </c>
      <c r="D21" s="57" t="s">
        <v>382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2"/>
      <c r="B22" s="292"/>
      <c r="C22" s="311"/>
      <c r="D22" s="80" t="s">
        <v>377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383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16" t="s">
        <v>384</v>
      </c>
      <c r="E26" s="316"/>
      <c r="F26" s="316"/>
      <c r="G26" s="316"/>
      <c r="H26" s="316"/>
      <c r="I26" s="316"/>
      <c r="J26" s="316"/>
      <c r="K26" s="316"/>
      <c r="L26" s="69"/>
      <c r="R26" s="87"/>
    </row>
    <row r="27" spans="1:18" outlineLevel="1" x14ac:dyDescent="0.25">
      <c r="D27" s="88"/>
      <c r="E27" s="88" t="s">
        <v>344</v>
      </c>
      <c r="F27" s="88" t="s">
        <v>345</v>
      </c>
      <c r="G27" s="88" t="s">
        <v>346</v>
      </c>
      <c r="H27" s="89" t="s">
        <v>347</v>
      </c>
      <c r="I27" s="89" t="s">
        <v>348</v>
      </c>
      <c r="J27" s="89" t="s">
        <v>349</v>
      </c>
      <c r="K27" s="60" t="s">
        <v>350</v>
      </c>
    </row>
    <row r="28" spans="1:18" outlineLevel="1" x14ac:dyDescent="0.25">
      <c r="D28" s="317" t="s">
        <v>351</v>
      </c>
      <c r="E28" s="319">
        <v>6.09</v>
      </c>
      <c r="F28" s="321">
        <v>6.63</v>
      </c>
      <c r="G28" s="319">
        <v>5.77</v>
      </c>
      <c r="H28" s="323">
        <v>5.77</v>
      </c>
      <c r="I28" s="323">
        <v>6.35</v>
      </c>
      <c r="J28" s="319">
        <v>5.77</v>
      </c>
      <c r="K28" s="90">
        <v>6.29</v>
      </c>
      <c r="L28" t="s">
        <v>352</v>
      </c>
    </row>
    <row r="29" spans="1:18" outlineLevel="1" x14ac:dyDescent="0.25">
      <c r="D29" s="318"/>
      <c r="E29" s="320"/>
      <c r="F29" s="322"/>
      <c r="G29" s="320"/>
      <c r="H29" s="324"/>
      <c r="I29" s="324"/>
      <c r="J29" s="320"/>
      <c r="K29" s="90">
        <v>6.56</v>
      </c>
      <c r="L29" t="s">
        <v>353</v>
      </c>
    </row>
    <row r="30" spans="1:18" outlineLevel="1" x14ac:dyDescent="0.25">
      <c r="D30" s="91" t="s">
        <v>354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17" t="s">
        <v>328</v>
      </c>
      <c r="E31" s="319">
        <v>11.37</v>
      </c>
      <c r="F31" s="321">
        <v>13.56</v>
      </c>
      <c r="G31" s="319">
        <v>15.91</v>
      </c>
      <c r="H31" s="323">
        <v>15.91</v>
      </c>
      <c r="I31" s="323">
        <v>14.03</v>
      </c>
      <c r="J31" s="319">
        <v>15.91</v>
      </c>
      <c r="K31" s="90">
        <v>8.2899999999999991</v>
      </c>
      <c r="L31" t="s">
        <v>352</v>
      </c>
    </row>
    <row r="32" spans="1:18" outlineLevel="1" x14ac:dyDescent="0.25">
      <c r="D32" s="318"/>
      <c r="E32" s="320"/>
      <c r="F32" s="322"/>
      <c r="G32" s="320"/>
      <c r="H32" s="324"/>
      <c r="I32" s="324"/>
      <c r="J32" s="320"/>
      <c r="K32" s="90">
        <v>11.84</v>
      </c>
      <c r="L32" t="s">
        <v>353</v>
      </c>
    </row>
    <row r="33" spans="4:12" ht="15" customHeight="1" outlineLevel="1" x14ac:dyDescent="0.25">
      <c r="D33" s="92" t="s">
        <v>355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385</v>
      </c>
    </row>
    <row r="34" spans="4:12" outlineLevel="1" x14ac:dyDescent="0.25">
      <c r="D34" s="92" t="s">
        <v>356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385</v>
      </c>
    </row>
    <row r="35" spans="4:12" outlineLevel="1" x14ac:dyDescent="0.25">
      <c r="D35" s="91" t="s">
        <v>294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9" t="s">
        <v>10</v>
      </c>
      <c r="B2" s="229"/>
      <c r="C2" s="229"/>
      <c r="D2" s="22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2"/>
    </row>
    <row r="5" spans="1:4" x14ac:dyDescent="0.25">
      <c r="A5" s="5"/>
      <c r="B5" s="1"/>
      <c r="C5" s="1"/>
    </row>
    <row r="6" spans="1:4" x14ac:dyDescent="0.25">
      <c r="A6" s="229" t="s">
        <v>12</v>
      </c>
      <c r="B6" s="229"/>
      <c r="C6" s="229"/>
      <c r="D6" s="22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3" t="s">
        <v>5</v>
      </c>
      <c r="B15" s="234" t="s">
        <v>15</v>
      </c>
      <c r="C15" s="234"/>
      <c r="D15" s="234"/>
    </row>
    <row r="16" spans="1:4" x14ac:dyDescent="0.25">
      <c r="A16" s="233"/>
      <c r="B16" s="233" t="s">
        <v>17</v>
      </c>
      <c r="C16" s="234" t="s">
        <v>28</v>
      </c>
      <c r="D16" s="234"/>
    </row>
    <row r="17" spans="1:4" ht="39.200000000000003" customHeight="1" x14ac:dyDescent="0.25">
      <c r="A17" s="233"/>
      <c r="B17" s="23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5" t="s">
        <v>29</v>
      </c>
      <c r="B2" s="235"/>
      <c r="C2" s="235"/>
      <c r="D2" s="235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L32"/>
  <sheetViews>
    <sheetView view="pageBreakPreview" topLeftCell="A9" zoomScale="85" zoomScaleNormal="70" zoomScaleSheetLayoutView="85" workbookViewId="0">
      <selection activeCell="H17" sqref="H17"/>
    </sheetView>
  </sheetViews>
  <sheetFormatPr defaultColWidth="9.140625" defaultRowHeight="15" x14ac:dyDescent="0.25"/>
  <cols>
    <col min="1" max="2" width="9.140625" style="203"/>
    <col min="3" max="3" width="42.42578125" style="203" customWidth="1"/>
    <col min="4" max="4" width="43.85546875" style="203" customWidth="1"/>
    <col min="5" max="5" width="9.140625" style="203"/>
  </cols>
  <sheetData>
    <row r="3" spans="2:12" ht="15.75" customHeight="1" x14ac:dyDescent="0.25">
      <c r="B3" s="237" t="s">
        <v>45</v>
      </c>
      <c r="C3" s="237"/>
      <c r="D3" s="237"/>
    </row>
    <row r="4" spans="2:12" ht="18.75" customHeight="1" x14ac:dyDescent="0.25">
      <c r="B4" s="238" t="s">
        <v>46</v>
      </c>
      <c r="C4" s="238"/>
      <c r="D4" s="238"/>
    </row>
    <row r="5" spans="2:12" ht="91.5" customHeight="1" x14ac:dyDescent="0.25">
      <c r="B5" s="239" t="s">
        <v>47</v>
      </c>
      <c r="C5" s="239"/>
      <c r="D5" s="239"/>
    </row>
    <row r="6" spans="2:12" ht="18.75" customHeight="1" x14ac:dyDescent="0.25">
      <c r="B6" s="204"/>
      <c r="C6" s="204"/>
      <c r="D6" s="204"/>
    </row>
    <row r="7" spans="2:12" ht="36" customHeight="1" x14ac:dyDescent="0.25">
      <c r="B7" s="236" t="s">
        <v>48</v>
      </c>
      <c r="C7" s="236"/>
      <c r="D7" s="236"/>
    </row>
    <row r="8" spans="2:12" ht="15.75" customHeight="1" x14ac:dyDescent="0.25">
      <c r="B8" s="240" t="s">
        <v>49</v>
      </c>
      <c r="C8" s="240"/>
      <c r="D8" s="240"/>
    </row>
    <row r="9" spans="2:12" ht="15.75" customHeight="1" x14ac:dyDescent="0.25">
      <c r="B9" s="236" t="s">
        <v>50</v>
      </c>
      <c r="C9" s="236"/>
      <c r="D9" s="236"/>
    </row>
    <row r="10" spans="2:12" ht="18.75" customHeight="1" x14ac:dyDescent="0.25">
      <c r="B10" s="205"/>
    </row>
    <row r="11" spans="2:12" ht="15.75" customHeight="1" x14ac:dyDescent="0.25">
      <c r="B11" s="206" t="s">
        <v>33</v>
      </c>
      <c r="C11" s="206" t="s">
        <v>51</v>
      </c>
      <c r="D11" s="206" t="s">
        <v>52</v>
      </c>
    </row>
    <row r="12" spans="2:12" ht="15.75" customHeight="1" x14ac:dyDescent="0.25">
      <c r="B12" s="206">
        <v>1</v>
      </c>
      <c r="C12" s="207" t="s">
        <v>53</v>
      </c>
      <c r="D12" s="217" t="s">
        <v>54</v>
      </c>
      <c r="E12" s="208"/>
      <c r="F12" s="208"/>
      <c r="G12" s="208"/>
      <c r="H12" s="208"/>
      <c r="I12" s="208"/>
      <c r="J12" s="208"/>
      <c r="K12" s="208"/>
      <c r="L12" s="208"/>
    </row>
    <row r="13" spans="2:12" ht="31.5" customHeight="1" x14ac:dyDescent="0.25">
      <c r="B13" s="206">
        <v>2</v>
      </c>
      <c r="C13" s="207" t="s">
        <v>55</v>
      </c>
      <c r="D13" s="217" t="s">
        <v>56</v>
      </c>
    </row>
    <row r="14" spans="2:12" ht="15.75" customHeight="1" x14ac:dyDescent="0.25">
      <c r="B14" s="206">
        <v>3</v>
      </c>
      <c r="C14" s="207" t="s">
        <v>57</v>
      </c>
      <c r="D14" s="217" t="s">
        <v>58</v>
      </c>
    </row>
    <row r="15" spans="2:12" ht="15.75" customHeight="1" x14ac:dyDescent="0.25">
      <c r="B15" s="206">
        <v>4</v>
      </c>
      <c r="C15" s="207" t="s">
        <v>59</v>
      </c>
      <c r="D15" s="217">
        <v>1</v>
      </c>
    </row>
    <row r="16" spans="2:12" ht="78.75" customHeight="1" x14ac:dyDescent="0.25">
      <c r="B16" s="206">
        <v>5</v>
      </c>
      <c r="C16" s="209" t="s">
        <v>60</v>
      </c>
      <c r="D16" s="210" t="s">
        <v>61</v>
      </c>
    </row>
    <row r="17" spans="1:7" ht="78.75" customHeight="1" x14ac:dyDescent="0.25">
      <c r="B17" s="206">
        <v>6</v>
      </c>
      <c r="C17" s="209" t="s">
        <v>62</v>
      </c>
      <c r="D17" s="228">
        <v>821.80957780000006</v>
      </c>
    </row>
    <row r="18" spans="1:7" ht="15.75" customHeight="1" x14ac:dyDescent="0.25">
      <c r="B18" s="211" t="s">
        <v>63</v>
      </c>
      <c r="C18" s="207" t="s">
        <v>64</v>
      </c>
      <c r="D18" s="228">
        <v>13.3352912</v>
      </c>
    </row>
    <row r="19" spans="1:7" ht="15.75" customHeight="1" x14ac:dyDescent="0.25">
      <c r="B19" s="211" t="s">
        <v>65</v>
      </c>
      <c r="C19" s="207" t="s">
        <v>66</v>
      </c>
      <c r="D19" s="228">
        <v>808.47428660000003</v>
      </c>
    </row>
    <row r="20" spans="1:7" ht="15.75" customHeight="1" x14ac:dyDescent="0.25">
      <c r="B20" s="211" t="s">
        <v>67</v>
      </c>
      <c r="C20" s="207" t="s">
        <v>68</v>
      </c>
      <c r="D20" s="228"/>
    </row>
    <row r="21" spans="1:7" ht="15.75" customHeight="1" x14ac:dyDescent="0.25">
      <c r="B21" s="211" t="s">
        <v>69</v>
      </c>
      <c r="C21" s="207" t="s">
        <v>70</v>
      </c>
      <c r="D21" s="228"/>
    </row>
    <row r="22" spans="1:7" ht="15.75" customHeight="1" x14ac:dyDescent="0.25">
      <c r="B22" s="206">
        <v>7</v>
      </c>
      <c r="C22" s="207" t="s">
        <v>71</v>
      </c>
      <c r="D22" s="217" t="s">
        <v>72</v>
      </c>
    </row>
    <row r="23" spans="1:7" ht="94.5" customHeight="1" x14ac:dyDescent="0.25">
      <c r="B23" s="206">
        <v>8</v>
      </c>
      <c r="C23" s="209" t="s">
        <v>73</v>
      </c>
      <c r="D23" s="228">
        <v>821.80957780000006</v>
      </c>
    </row>
    <row r="24" spans="1:7" ht="47.25" customHeight="1" x14ac:dyDescent="0.25">
      <c r="B24" s="206">
        <v>9</v>
      </c>
      <c r="C24" s="209" t="s">
        <v>74</v>
      </c>
      <c r="D24" s="228">
        <v>821.80957780000006</v>
      </c>
    </row>
    <row r="25" spans="1:7" ht="45" customHeight="1" x14ac:dyDescent="0.25">
      <c r="A25" s="113"/>
      <c r="B25" s="117">
        <v>10</v>
      </c>
      <c r="C25" s="121" t="s">
        <v>75</v>
      </c>
      <c r="D25" s="121"/>
      <c r="E25" s="113"/>
      <c r="F25" s="113"/>
      <c r="G25" s="113"/>
    </row>
    <row r="26" spans="1:7" ht="15.75" customHeight="1" x14ac:dyDescent="0.25">
      <c r="B26" s="212"/>
      <c r="C26" s="213"/>
      <c r="D26" s="213"/>
    </row>
    <row r="27" spans="1:7" x14ac:dyDescent="0.25">
      <c r="B27" s="214" t="s">
        <v>252</v>
      </c>
      <c r="C27" s="215"/>
    </row>
    <row r="28" spans="1:7" x14ac:dyDescent="0.25">
      <c r="B28" s="216" t="s">
        <v>76</v>
      </c>
      <c r="C28" s="215"/>
    </row>
    <row r="29" spans="1:7" x14ac:dyDescent="0.25">
      <c r="B29" s="214"/>
      <c r="C29" s="215"/>
    </row>
    <row r="30" spans="1:7" x14ac:dyDescent="0.25">
      <c r="B30" s="214" t="s">
        <v>77</v>
      </c>
      <c r="C30" s="215"/>
    </row>
    <row r="31" spans="1:7" x14ac:dyDescent="0.25">
      <c r="B31" s="216" t="s">
        <v>78</v>
      </c>
      <c r="C31" s="215"/>
    </row>
    <row r="32" spans="1:7" ht="15.75" customHeight="1" x14ac:dyDescent="0.25">
      <c r="B32" s="213"/>
      <c r="C32" s="213"/>
      <c r="D32" s="21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1:12" x14ac:dyDescent="0.25">
      <c r="B3" s="237" t="s">
        <v>79</v>
      </c>
      <c r="C3" s="237"/>
      <c r="D3" s="237"/>
      <c r="E3" s="237"/>
      <c r="F3" s="237"/>
      <c r="G3" s="237"/>
      <c r="H3" s="237"/>
      <c r="I3" s="237"/>
      <c r="J3" s="237"/>
      <c r="K3" s="151"/>
    </row>
    <row r="4" spans="1:12" x14ac:dyDescent="0.25">
      <c r="B4" s="244" t="s">
        <v>80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1:12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2" ht="29.25" customHeight="1" x14ac:dyDescent="0.25">
      <c r="B6" s="236" t="s">
        <v>48</v>
      </c>
      <c r="C6" s="236"/>
      <c r="D6" s="236"/>
      <c r="E6" s="236"/>
      <c r="F6" s="236"/>
      <c r="G6" s="236"/>
      <c r="H6" s="236"/>
      <c r="I6" s="236"/>
      <c r="J6" s="236"/>
      <c r="K6" s="236"/>
    </row>
    <row r="7" spans="1:12" x14ac:dyDescent="0.25">
      <c r="B7" s="236" t="s">
        <v>50</v>
      </c>
      <c r="C7" s="236"/>
      <c r="D7" s="236"/>
      <c r="E7" s="236"/>
      <c r="F7" s="236"/>
      <c r="G7" s="236"/>
      <c r="H7" s="236"/>
      <c r="I7" s="236"/>
      <c r="J7" s="236"/>
      <c r="K7" s="236"/>
    </row>
    <row r="8" spans="1:12" ht="18.75" customHeight="1" x14ac:dyDescent="0.25">
      <c r="B8" s="127"/>
    </row>
    <row r="9" spans="1:12" ht="15.75" customHeight="1" x14ac:dyDescent="0.25">
      <c r="A9" s="220"/>
      <c r="B9" s="245" t="s">
        <v>33</v>
      </c>
      <c r="C9" s="245" t="s">
        <v>81</v>
      </c>
      <c r="D9" s="245" t="s">
        <v>52</v>
      </c>
      <c r="E9" s="245"/>
      <c r="F9" s="245"/>
      <c r="G9" s="245"/>
      <c r="H9" s="245"/>
      <c r="I9" s="245"/>
      <c r="J9" s="245"/>
      <c r="K9" s="220"/>
      <c r="L9" s="220"/>
    </row>
    <row r="10" spans="1:12" ht="15.75" customHeight="1" x14ac:dyDescent="0.25">
      <c r="A10" s="220"/>
      <c r="B10" s="245"/>
      <c r="C10" s="245"/>
      <c r="D10" s="245" t="s">
        <v>82</v>
      </c>
      <c r="E10" s="245" t="s">
        <v>83</v>
      </c>
      <c r="F10" s="245" t="s">
        <v>84</v>
      </c>
      <c r="G10" s="245"/>
      <c r="H10" s="245"/>
      <c r="I10" s="245"/>
      <c r="J10" s="245"/>
      <c r="K10" s="220"/>
      <c r="L10" s="220"/>
    </row>
    <row r="11" spans="1:12" ht="83.25" customHeight="1" x14ac:dyDescent="0.25">
      <c r="A11" s="220"/>
      <c r="B11" s="245"/>
      <c r="C11" s="245"/>
      <c r="D11" s="245"/>
      <c r="E11" s="245"/>
      <c r="F11" s="217" t="s">
        <v>85</v>
      </c>
      <c r="G11" s="217" t="s">
        <v>86</v>
      </c>
      <c r="H11" s="217" t="s">
        <v>43</v>
      </c>
      <c r="I11" s="217" t="s">
        <v>87</v>
      </c>
      <c r="J11" s="217" t="s">
        <v>88</v>
      </c>
      <c r="K11" s="220"/>
      <c r="L11" s="220"/>
    </row>
    <row r="12" spans="1:12" ht="49.5" customHeight="1" x14ac:dyDescent="0.25">
      <c r="A12" s="220"/>
      <c r="B12" s="221">
        <v>1</v>
      </c>
      <c r="C12" s="222" t="s">
        <v>89</v>
      </c>
      <c r="D12" s="223"/>
      <c r="E12" s="224"/>
      <c r="F12" s="246">
        <v>13.3352912</v>
      </c>
      <c r="G12" s="247"/>
      <c r="H12" s="225">
        <v>808.47428660000003</v>
      </c>
      <c r="I12" s="225"/>
      <c r="J12" s="226">
        <v>821.80957780000006</v>
      </c>
      <c r="K12" s="220"/>
      <c r="L12" s="220"/>
    </row>
    <row r="13" spans="1:12" ht="15.75" customHeight="1" x14ac:dyDescent="0.25">
      <c r="A13" s="220"/>
      <c r="B13" s="241" t="s">
        <v>90</v>
      </c>
      <c r="C13" s="241"/>
      <c r="D13" s="241"/>
      <c r="E13" s="241"/>
      <c r="F13" s="242">
        <v>13.3352912</v>
      </c>
      <c r="G13" s="243"/>
      <c r="H13" s="227">
        <v>808.47428660000003</v>
      </c>
      <c r="I13" s="227"/>
      <c r="J13" s="227">
        <v>821.80957780000006</v>
      </c>
      <c r="K13" s="220"/>
      <c r="L13" s="220"/>
    </row>
    <row r="14" spans="1:12" ht="28.5" customHeight="1" x14ac:dyDescent="0.25">
      <c r="A14" s="220"/>
      <c r="B14" s="241" t="s">
        <v>91</v>
      </c>
      <c r="C14" s="241"/>
      <c r="D14" s="241"/>
      <c r="E14" s="241"/>
      <c r="F14" s="242">
        <v>13.3352912</v>
      </c>
      <c r="G14" s="243"/>
      <c r="H14" s="227">
        <v>808.47428660000003</v>
      </c>
      <c r="I14" s="227"/>
      <c r="J14" s="227">
        <v>821.80957780000006</v>
      </c>
      <c r="K14" s="220"/>
      <c r="L14" s="220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92</v>
      </c>
      <c r="D18" s="12"/>
      <c r="E18" s="12"/>
    </row>
    <row r="19" spans="3:5" ht="15" customHeight="1" x14ac:dyDescent="0.25">
      <c r="C19" s="27" t="s">
        <v>76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93</v>
      </c>
      <c r="D21" s="12"/>
      <c r="E21" s="12"/>
    </row>
    <row r="22" spans="3:5" ht="15" customHeight="1" x14ac:dyDescent="0.25">
      <c r="C22" s="27" t="s">
        <v>78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36"/>
  <sheetViews>
    <sheetView view="pageBreakPreview" zoomScale="70" zoomScaleSheetLayoutView="70" workbookViewId="0">
      <selection activeCell="D44" sqref="D44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51" customWidth="1"/>
    <col min="9" max="10" width="9.140625" style="113"/>
    <col min="11" max="11" width="15" style="113" customWidth="1"/>
    <col min="12" max="12" width="9.140625" style="113"/>
  </cols>
  <sheetData>
    <row r="2" spans="1:13" s="203" customFormat="1" x14ac:dyDescent="0.25">
      <c r="A2" s="220"/>
      <c r="B2" s="220"/>
      <c r="C2" s="220"/>
      <c r="D2" s="220"/>
      <c r="E2" s="220"/>
      <c r="F2" s="220"/>
      <c r="G2" s="220"/>
      <c r="H2" s="212"/>
      <c r="I2" s="220"/>
      <c r="J2" s="220"/>
      <c r="K2" s="220"/>
      <c r="L2" s="220"/>
    </row>
    <row r="3" spans="1:13" x14ac:dyDescent="0.25">
      <c r="A3" s="237" t="s">
        <v>94</v>
      </c>
      <c r="B3" s="237"/>
      <c r="C3" s="237"/>
      <c r="D3" s="237"/>
      <c r="E3" s="237"/>
      <c r="F3" s="237"/>
      <c r="G3" s="237"/>
      <c r="H3" s="237"/>
    </row>
    <row r="4" spans="1:13" x14ac:dyDescent="0.25">
      <c r="A4" s="244" t="s">
        <v>95</v>
      </c>
      <c r="B4" s="244"/>
      <c r="C4" s="244"/>
      <c r="D4" s="244"/>
      <c r="E4" s="244"/>
      <c r="F4" s="244"/>
      <c r="G4" s="244"/>
      <c r="H4" s="244"/>
    </row>
    <row r="5" spans="1:13" ht="18.75" customHeight="1" x14ac:dyDescent="0.25">
      <c r="A5" s="176"/>
      <c r="B5" s="176"/>
      <c r="C5" s="252" t="s">
        <v>96</v>
      </c>
      <c r="D5" s="252"/>
      <c r="E5" s="252"/>
      <c r="F5" s="252"/>
      <c r="G5" s="252"/>
      <c r="H5" s="252"/>
    </row>
    <row r="6" spans="1:13" x14ac:dyDescent="0.25">
      <c r="A6" s="150"/>
    </row>
    <row r="7" spans="1:13" x14ac:dyDescent="0.25">
      <c r="A7" s="240" t="s">
        <v>97</v>
      </c>
      <c r="B7" s="240"/>
      <c r="C7" s="240"/>
      <c r="D7" s="240"/>
      <c r="E7" s="240"/>
      <c r="F7" s="240"/>
      <c r="G7" s="240"/>
      <c r="H7" s="240"/>
    </row>
    <row r="8" spans="1:13" x14ac:dyDescent="0.25">
      <c r="A8" s="153"/>
      <c r="B8" s="153"/>
      <c r="C8" s="153"/>
      <c r="D8" s="153"/>
      <c r="E8" s="153"/>
      <c r="F8" s="153"/>
      <c r="G8" s="153"/>
    </row>
    <row r="9" spans="1:13" ht="38.25" customHeight="1" x14ac:dyDescent="0.25">
      <c r="A9" s="245" t="s">
        <v>98</v>
      </c>
      <c r="B9" s="245" t="s">
        <v>99</v>
      </c>
      <c r="C9" s="245" t="s">
        <v>100</v>
      </c>
      <c r="D9" s="245" t="s">
        <v>101</v>
      </c>
      <c r="E9" s="245" t="s">
        <v>102</v>
      </c>
      <c r="F9" s="245" t="s">
        <v>103</v>
      </c>
      <c r="G9" s="245" t="s">
        <v>104</v>
      </c>
      <c r="H9" s="245"/>
    </row>
    <row r="10" spans="1:13" ht="40.700000000000003" customHeight="1" x14ac:dyDescent="0.25">
      <c r="A10" s="245"/>
      <c r="B10" s="245"/>
      <c r="C10" s="245"/>
      <c r="D10" s="245"/>
      <c r="E10" s="245"/>
      <c r="F10" s="245"/>
      <c r="G10" s="117" t="s">
        <v>105</v>
      </c>
      <c r="H10" s="121" t="s">
        <v>106</v>
      </c>
    </row>
    <row r="11" spans="1:13" x14ac:dyDescent="0.25">
      <c r="A11" s="159">
        <v>1</v>
      </c>
      <c r="B11" s="159"/>
      <c r="C11" s="159">
        <v>2</v>
      </c>
      <c r="D11" s="159" t="s">
        <v>107</v>
      </c>
      <c r="E11" s="159">
        <v>4</v>
      </c>
      <c r="F11" s="159">
        <v>5</v>
      </c>
      <c r="G11" s="159">
        <v>6</v>
      </c>
      <c r="H11" s="181">
        <v>7</v>
      </c>
    </row>
    <row r="12" spans="1:13" s="155" customFormat="1" x14ac:dyDescent="0.25">
      <c r="A12" s="249" t="s">
        <v>108</v>
      </c>
      <c r="B12" s="250"/>
      <c r="C12" s="251"/>
      <c r="D12" s="251"/>
      <c r="E12" s="250"/>
      <c r="F12" s="175">
        <f>SUM(F13:F13)</f>
        <v>24.95</v>
      </c>
      <c r="G12" s="10"/>
      <c r="H12" s="175">
        <f>SUM(H13:H13)</f>
        <v>205.59</v>
      </c>
    </row>
    <row r="13" spans="1:13" x14ac:dyDescent="0.25">
      <c r="A13" s="170">
        <v>1</v>
      </c>
      <c r="B13" s="158"/>
      <c r="C13" s="143" t="s">
        <v>109</v>
      </c>
      <c r="D13" s="8" t="s">
        <v>110</v>
      </c>
      <c r="E13" s="170" t="s">
        <v>111</v>
      </c>
      <c r="F13" s="143">
        <v>24.95</v>
      </c>
      <c r="G13" s="179">
        <v>8.24</v>
      </c>
      <c r="H13" s="161">
        <f>ROUND(F13*G13,2)</f>
        <v>205.59</v>
      </c>
      <c r="M13" s="177"/>
    </row>
    <row r="14" spans="1:13" x14ac:dyDescent="0.25">
      <c r="A14" s="248" t="s">
        <v>112</v>
      </c>
      <c r="B14" s="248"/>
      <c r="C14" s="248"/>
      <c r="D14" s="248"/>
      <c r="E14" s="248"/>
      <c r="F14" s="157"/>
      <c r="G14" s="156"/>
      <c r="H14" s="175">
        <f>H15</f>
        <v>29.66</v>
      </c>
    </row>
    <row r="15" spans="1:13" x14ac:dyDescent="0.25">
      <c r="A15" s="170">
        <v>2</v>
      </c>
      <c r="B15" s="154"/>
      <c r="C15" s="172">
        <v>2</v>
      </c>
      <c r="D15" s="171" t="s">
        <v>113</v>
      </c>
      <c r="E15" s="170" t="s">
        <v>111</v>
      </c>
      <c r="F15" s="170">
        <v>2.87</v>
      </c>
      <c r="G15" s="169"/>
      <c r="H15" s="182">
        <v>29.66</v>
      </c>
    </row>
    <row r="16" spans="1:13" s="155" customFormat="1" x14ac:dyDescent="0.25">
      <c r="A16" s="249" t="s">
        <v>114</v>
      </c>
      <c r="B16" s="250"/>
      <c r="C16" s="251"/>
      <c r="D16" s="251"/>
      <c r="E16" s="250"/>
      <c r="F16" s="157"/>
      <c r="G16" s="156"/>
      <c r="H16" s="175">
        <f>SUM(H17:H19)</f>
        <v>193.33</v>
      </c>
    </row>
    <row r="17" spans="1:12" ht="25.5" customHeight="1" x14ac:dyDescent="0.25">
      <c r="A17" s="170">
        <v>3</v>
      </c>
      <c r="B17" s="154"/>
      <c r="C17" s="172" t="s">
        <v>115</v>
      </c>
      <c r="D17" s="171" t="s">
        <v>116</v>
      </c>
      <c r="E17" s="170" t="s">
        <v>117</v>
      </c>
      <c r="F17" s="172">
        <v>0.51</v>
      </c>
      <c r="G17" s="184">
        <v>288.02999999999997</v>
      </c>
      <c r="H17" s="185">
        <f>ROUND(F17*G17,2)</f>
        <v>146.9</v>
      </c>
      <c r="I17" s="174"/>
      <c r="J17" s="174"/>
      <c r="L17" s="174"/>
    </row>
    <row r="18" spans="1:12" s="155" customFormat="1" x14ac:dyDescent="0.25">
      <c r="A18" s="170">
        <v>4</v>
      </c>
      <c r="B18" s="154"/>
      <c r="C18" s="172" t="s">
        <v>118</v>
      </c>
      <c r="D18" s="171" t="s">
        <v>119</v>
      </c>
      <c r="E18" s="170" t="s">
        <v>117</v>
      </c>
      <c r="F18" s="172">
        <v>2.36</v>
      </c>
      <c r="G18" s="184">
        <v>19.55</v>
      </c>
      <c r="H18" s="185">
        <f>ROUND(F18*G18,2)</f>
        <v>46.14</v>
      </c>
      <c r="I18" s="174"/>
      <c r="J18" s="174"/>
      <c r="L18" s="174"/>
    </row>
    <row r="19" spans="1:12" x14ac:dyDescent="0.25">
      <c r="A19" s="170">
        <v>5</v>
      </c>
      <c r="B19" s="154"/>
      <c r="C19" s="172" t="s">
        <v>120</v>
      </c>
      <c r="D19" s="171" t="s">
        <v>121</v>
      </c>
      <c r="E19" s="170" t="s">
        <v>117</v>
      </c>
      <c r="F19" s="172">
        <v>0.24</v>
      </c>
      <c r="G19" s="184">
        <v>1.2</v>
      </c>
      <c r="H19" s="185">
        <f>ROUND(F19*G19,2)</f>
        <v>0.28999999999999998</v>
      </c>
      <c r="I19" s="174"/>
      <c r="J19" s="174"/>
      <c r="L19" s="174"/>
    </row>
    <row r="20" spans="1:12" ht="15" customHeight="1" x14ac:dyDescent="0.25">
      <c r="A20" s="248" t="s">
        <v>43</v>
      </c>
      <c r="B20" s="248"/>
      <c r="C20" s="248"/>
      <c r="D20" s="248"/>
      <c r="E20" s="248"/>
      <c r="F20" s="10"/>
      <c r="G20" s="10"/>
      <c r="H20" s="175">
        <f>SUM(H21:H21)</f>
        <v>176522.77</v>
      </c>
    </row>
    <row r="21" spans="1:12" ht="38.25" customHeight="1" x14ac:dyDescent="0.25">
      <c r="A21" s="173">
        <v>6</v>
      </c>
      <c r="B21" s="98"/>
      <c r="C21" s="187" t="s">
        <v>122</v>
      </c>
      <c r="D21" s="171" t="s">
        <v>123</v>
      </c>
      <c r="E21" s="170" t="s">
        <v>124</v>
      </c>
      <c r="F21" s="172">
        <v>1</v>
      </c>
      <c r="G21" s="180">
        <v>176522.77</v>
      </c>
      <c r="H21" s="185">
        <f>ROUND(F21*G21,2)</f>
        <v>176522.77</v>
      </c>
      <c r="I21" s="168"/>
    </row>
    <row r="22" spans="1:12" x14ac:dyDescent="0.25">
      <c r="A22" s="249" t="s">
        <v>125</v>
      </c>
      <c r="B22" s="250"/>
      <c r="C22" s="251"/>
      <c r="D22" s="251"/>
      <c r="E22" s="250"/>
      <c r="F22" s="157"/>
      <c r="G22" s="156"/>
      <c r="H22" s="175">
        <f>SUM(H23:H29)</f>
        <v>1302.01</v>
      </c>
    </row>
    <row r="23" spans="1:12" ht="25.5" customHeight="1" x14ac:dyDescent="0.25">
      <c r="A23" s="173">
        <v>7</v>
      </c>
      <c r="B23" s="154"/>
      <c r="C23" s="172" t="s">
        <v>126</v>
      </c>
      <c r="D23" s="171" t="s">
        <v>127</v>
      </c>
      <c r="E23" s="170" t="s">
        <v>128</v>
      </c>
      <c r="F23" s="172">
        <v>2.996</v>
      </c>
      <c r="G23" s="184">
        <v>413.87</v>
      </c>
      <c r="H23" s="185">
        <f t="shared" ref="H23:H29" si="0">ROUND(F23*G23,2)</f>
        <v>1239.95</v>
      </c>
      <c r="I23" s="168"/>
      <c r="J23" s="174"/>
      <c r="K23" s="174"/>
    </row>
    <row r="24" spans="1:12" x14ac:dyDescent="0.25">
      <c r="A24" s="173">
        <v>8</v>
      </c>
      <c r="B24" s="154"/>
      <c r="C24" s="172" t="s">
        <v>129</v>
      </c>
      <c r="D24" s="171" t="s">
        <v>130</v>
      </c>
      <c r="E24" s="170" t="s">
        <v>131</v>
      </c>
      <c r="F24" s="172">
        <v>2.5000000000000001E-3</v>
      </c>
      <c r="G24" s="184">
        <v>10068</v>
      </c>
      <c r="H24" s="185">
        <f t="shared" si="0"/>
        <v>25.17</v>
      </c>
      <c r="I24" s="168"/>
      <c r="J24" s="174"/>
      <c r="K24" s="174"/>
    </row>
    <row r="25" spans="1:12" ht="25.5" customHeight="1" x14ac:dyDescent="0.25">
      <c r="A25" s="173">
        <v>9</v>
      </c>
      <c r="B25" s="154"/>
      <c r="C25" s="172" t="s">
        <v>132</v>
      </c>
      <c r="D25" s="171" t="s">
        <v>133</v>
      </c>
      <c r="E25" s="170" t="s">
        <v>128</v>
      </c>
      <c r="F25" s="172">
        <v>2.01E-2</v>
      </c>
      <c r="G25" s="184">
        <v>1100</v>
      </c>
      <c r="H25" s="185">
        <f t="shared" si="0"/>
        <v>22.11</v>
      </c>
      <c r="I25" s="168"/>
      <c r="J25" s="174"/>
      <c r="K25" s="174"/>
    </row>
    <row r="26" spans="1:12" x14ac:dyDescent="0.25">
      <c r="A26" s="173">
        <v>10</v>
      </c>
      <c r="B26" s="154"/>
      <c r="C26" s="172" t="s">
        <v>134</v>
      </c>
      <c r="D26" s="171" t="s">
        <v>135</v>
      </c>
      <c r="E26" s="170" t="s">
        <v>131</v>
      </c>
      <c r="F26" s="172">
        <v>6.9999999999999999E-4</v>
      </c>
      <c r="G26" s="184">
        <v>11978</v>
      </c>
      <c r="H26" s="185">
        <f t="shared" si="0"/>
        <v>8.3800000000000008</v>
      </c>
      <c r="I26" s="168"/>
      <c r="J26" s="174"/>
    </row>
    <row r="27" spans="1:12" x14ac:dyDescent="0.25">
      <c r="A27" s="173">
        <v>11</v>
      </c>
      <c r="B27" s="154"/>
      <c r="C27" s="172" t="s">
        <v>136</v>
      </c>
      <c r="D27" s="171" t="s">
        <v>137</v>
      </c>
      <c r="E27" s="170" t="s">
        <v>131</v>
      </c>
      <c r="F27" s="172">
        <v>6.9999999999999999E-4</v>
      </c>
      <c r="G27" s="184">
        <v>7826.9</v>
      </c>
      <c r="H27" s="185">
        <f t="shared" si="0"/>
        <v>5.48</v>
      </c>
      <c r="I27" s="168"/>
      <c r="J27" s="174"/>
    </row>
    <row r="28" spans="1:12" x14ac:dyDescent="0.25">
      <c r="A28" s="173">
        <v>12</v>
      </c>
      <c r="B28" s="154"/>
      <c r="C28" s="172" t="s">
        <v>138</v>
      </c>
      <c r="D28" s="171" t="s">
        <v>139</v>
      </c>
      <c r="E28" s="170" t="s">
        <v>128</v>
      </c>
      <c r="F28" s="172">
        <v>0.1192</v>
      </c>
      <c r="G28" s="184">
        <v>6.22</v>
      </c>
      <c r="H28" s="185">
        <f t="shared" si="0"/>
        <v>0.74</v>
      </c>
      <c r="I28" s="168"/>
      <c r="J28" s="174"/>
    </row>
    <row r="29" spans="1:12" x14ac:dyDescent="0.25">
      <c r="A29" s="173">
        <v>13</v>
      </c>
      <c r="B29" s="154"/>
      <c r="C29" s="172" t="s">
        <v>140</v>
      </c>
      <c r="D29" s="171" t="s">
        <v>141</v>
      </c>
      <c r="E29" s="170" t="s">
        <v>142</v>
      </c>
      <c r="F29" s="172">
        <v>2.9100000000000001E-2</v>
      </c>
      <c r="G29" s="184">
        <v>6.09</v>
      </c>
      <c r="H29" s="185">
        <f t="shared" si="0"/>
        <v>0.18</v>
      </c>
      <c r="I29" s="168"/>
      <c r="J29" s="174"/>
    </row>
    <row r="32" spans="1:12" x14ac:dyDescent="0.25">
      <c r="B32" s="113" t="s">
        <v>92</v>
      </c>
    </row>
    <row r="33" spans="2:2" x14ac:dyDescent="0.25">
      <c r="B33" s="151" t="s">
        <v>76</v>
      </c>
    </row>
    <row r="35" spans="2:2" x14ac:dyDescent="0.25">
      <c r="B35" s="113" t="s">
        <v>93</v>
      </c>
    </row>
    <row r="36" spans="2:2" x14ac:dyDescent="0.25">
      <c r="B36" s="151" t="s">
        <v>78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14:E14"/>
    <mergeCell ref="A22:E22"/>
    <mergeCell ref="A12:E12"/>
    <mergeCell ref="A16:E16"/>
    <mergeCell ref="D9:D10"/>
    <mergeCell ref="E9:E10"/>
    <mergeCell ref="A20:E2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24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1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9" t="s">
        <v>144</v>
      </c>
      <c r="C5" s="229"/>
      <c r="D5" s="229"/>
      <c r="E5" s="229"/>
    </row>
    <row r="6" spans="2:5" x14ac:dyDescent="0.25">
      <c r="B6" s="166"/>
      <c r="C6" s="4"/>
      <c r="D6" s="4"/>
      <c r="E6" s="4"/>
    </row>
    <row r="7" spans="2:5" ht="25.5" customHeight="1" x14ac:dyDescent="0.25">
      <c r="B7" s="253" t="s">
        <v>48</v>
      </c>
      <c r="C7" s="253"/>
      <c r="D7" s="253"/>
      <c r="E7" s="253"/>
    </row>
    <row r="8" spans="2:5" x14ac:dyDescent="0.25">
      <c r="B8" s="254" t="s">
        <v>50</v>
      </c>
      <c r="C8" s="254"/>
      <c r="D8" s="254"/>
      <c r="E8" s="254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145</v>
      </c>
      <c r="C10" s="2" t="s">
        <v>146</v>
      </c>
      <c r="D10" s="2" t="s">
        <v>147</v>
      </c>
      <c r="E10" s="2" t="s">
        <v>148</v>
      </c>
    </row>
    <row r="11" spans="2:5" x14ac:dyDescent="0.25">
      <c r="B11" s="99" t="s">
        <v>149</v>
      </c>
      <c r="C11" s="161">
        <f>'Прил.5 Расчет СМР и ОБ'!J14</f>
        <v>9482.6</v>
      </c>
      <c r="D11" s="162">
        <f t="shared" ref="D11:D18" si="0">C11/$C$24</f>
        <v>0.22468502370748533</v>
      </c>
      <c r="E11" s="162">
        <f t="shared" ref="E11:E18" si="1">C11/$C$40</f>
        <v>1.0232706503713412E-2</v>
      </c>
    </row>
    <row r="12" spans="2:5" x14ac:dyDescent="0.25">
      <c r="B12" s="99" t="s">
        <v>150</v>
      </c>
      <c r="C12" s="161">
        <f>'Прил.5 Расчет СМР и ОБ'!J21</f>
        <v>2600.16</v>
      </c>
      <c r="D12" s="162">
        <f t="shared" si="0"/>
        <v>6.1609369924203808E-2</v>
      </c>
      <c r="E12" s="162">
        <f t="shared" si="1"/>
        <v>2.805841661853865E-3</v>
      </c>
    </row>
    <row r="13" spans="2:5" x14ac:dyDescent="0.25">
      <c r="B13" s="99" t="s">
        <v>151</v>
      </c>
      <c r="C13" s="161">
        <f>'Прил.5 Расчет СМР и ОБ'!J23</f>
        <v>3.88</v>
      </c>
      <c r="D13" s="162">
        <f t="shared" si="0"/>
        <v>9.1934479149710324E-5</v>
      </c>
      <c r="E13" s="162">
        <f t="shared" si="1"/>
        <v>4.186921438678003E-6</v>
      </c>
    </row>
    <row r="14" spans="2:5" x14ac:dyDescent="0.25">
      <c r="B14" s="99" t="s">
        <v>152</v>
      </c>
      <c r="C14" s="161">
        <f>C13+C12</f>
        <v>2604.04</v>
      </c>
      <c r="D14" s="162">
        <f t="shared" si="0"/>
        <v>6.1701304403353523E-2</v>
      </c>
      <c r="E14" s="162">
        <f t="shared" si="1"/>
        <v>2.8100285832925432E-3</v>
      </c>
    </row>
    <row r="15" spans="2:5" x14ac:dyDescent="0.25">
      <c r="B15" s="99" t="s">
        <v>153</v>
      </c>
      <c r="C15" s="161">
        <f>'Прил.5 Расчет СМР и ОБ'!J16</f>
        <v>1313.63</v>
      </c>
      <c r="D15" s="162">
        <f t="shared" si="0"/>
        <v>3.1125744805524221E-2</v>
      </c>
      <c r="E15" s="162">
        <f t="shared" si="1"/>
        <v>1.4175426828583984E-3</v>
      </c>
    </row>
    <row r="16" spans="2:5" x14ac:dyDescent="0.25">
      <c r="B16" s="99" t="s">
        <v>154</v>
      </c>
      <c r="C16" s="161">
        <f>'Прил.5 Расчет СМР и ОБ'!J35</f>
        <v>9969.2199999999993</v>
      </c>
      <c r="D16" s="162">
        <f t="shared" si="0"/>
        <v>0.23621521861568945</v>
      </c>
      <c r="E16" s="162">
        <f t="shared" si="1"/>
        <v>1.0757819831159155E-2</v>
      </c>
    </row>
    <row r="17" spans="2:6" x14ac:dyDescent="0.25">
      <c r="B17" s="99" t="s">
        <v>155</v>
      </c>
      <c r="C17" s="161">
        <f>'Прил.5 Расчет СМР и ОБ'!J42</f>
        <v>498.96999999999997</v>
      </c>
      <c r="D17" s="162">
        <f t="shared" si="0"/>
        <v>1.1822821407559525E-2</v>
      </c>
      <c r="E17" s="162">
        <f t="shared" si="1"/>
        <v>5.3844025522091835E-4</v>
      </c>
    </row>
    <row r="18" spans="2:6" x14ac:dyDescent="0.25">
      <c r="B18" s="99" t="s">
        <v>156</v>
      </c>
      <c r="C18" s="161">
        <f>C17+C16</f>
        <v>10468.189999999999</v>
      </c>
      <c r="D18" s="162">
        <f t="shared" si="0"/>
        <v>0.24803804002324897</v>
      </c>
      <c r="E18" s="162">
        <f t="shared" si="1"/>
        <v>1.1296260086380074E-2</v>
      </c>
    </row>
    <row r="19" spans="2:6" x14ac:dyDescent="0.25">
      <c r="B19" s="99" t="s">
        <v>157</v>
      </c>
      <c r="C19" s="161">
        <f>C18+C14+C11</f>
        <v>22554.83</v>
      </c>
      <c r="D19" s="162"/>
      <c r="E19" s="99"/>
    </row>
    <row r="20" spans="2:6" x14ac:dyDescent="0.25">
      <c r="B20" s="99" t="s">
        <v>158</v>
      </c>
      <c r="C20" s="161">
        <f>ROUND(C21*(C11+C15),2)</f>
        <v>7773.29</v>
      </c>
      <c r="D20" s="162">
        <f>C20/$C$24</f>
        <v>0.18418385758496178</v>
      </c>
      <c r="E20" s="162">
        <f>C20/$C$40</f>
        <v>8.3881841623869424E-3</v>
      </c>
    </row>
    <row r="21" spans="2:6" x14ac:dyDescent="0.25">
      <c r="B21" s="99" t="s">
        <v>159</v>
      </c>
      <c r="C21" s="165">
        <f>'Прил.5 Расчет СМР и ОБ'!D46</f>
        <v>0.72</v>
      </c>
      <c r="D21" s="162"/>
      <c r="E21" s="99"/>
    </row>
    <row r="22" spans="2:6" x14ac:dyDescent="0.25">
      <c r="B22" s="99" t="s">
        <v>160</v>
      </c>
      <c r="C22" s="161">
        <f>ROUND(C23*(C11+C15),2)</f>
        <v>11875.85</v>
      </c>
      <c r="D22" s="162">
        <f>C22/$C$24</f>
        <v>0.28139177428095036</v>
      </c>
      <c r="E22" s="162">
        <f>C22/$C$40</f>
        <v>1.28152708679186E-2</v>
      </c>
    </row>
    <row r="23" spans="2:6" x14ac:dyDescent="0.25">
      <c r="B23" s="99" t="s">
        <v>161</v>
      </c>
      <c r="C23" s="165">
        <f>'Прил.5 Расчет СМР и ОБ'!D45</f>
        <v>1.1000000000000001</v>
      </c>
      <c r="D23" s="162"/>
      <c r="E23" s="99"/>
    </row>
    <row r="24" spans="2:6" x14ac:dyDescent="0.25">
      <c r="B24" s="99" t="s">
        <v>162</v>
      </c>
      <c r="C24" s="161">
        <f>C19+C20+C22</f>
        <v>42203.97</v>
      </c>
      <c r="D24" s="162">
        <f>C24/$C$24</f>
        <v>1</v>
      </c>
      <c r="E24" s="162">
        <f>C24/$C$40</f>
        <v>4.5542450203691576E-2</v>
      </c>
    </row>
    <row r="25" spans="2:6" ht="25.5" customHeight="1" x14ac:dyDescent="0.25">
      <c r="B25" s="99" t="s">
        <v>163</v>
      </c>
      <c r="C25" s="161">
        <f>'Прил.5 Расчет СМР и ОБ'!J30</f>
        <v>834361.62</v>
      </c>
      <c r="D25" s="162"/>
      <c r="E25" s="162">
        <f>C25/$C$40</f>
        <v>0.90036251401755407</v>
      </c>
    </row>
    <row r="26" spans="2:6" ht="25.5" customHeight="1" x14ac:dyDescent="0.25">
      <c r="B26" s="99" t="s">
        <v>164</v>
      </c>
      <c r="C26" s="161">
        <f>'Прил.5 Расчет СМР и ОБ'!J31</f>
        <v>834361.62</v>
      </c>
      <c r="D26" s="162"/>
      <c r="E26" s="162">
        <f>C26/$C$40</f>
        <v>0.90036251401755407</v>
      </c>
    </row>
    <row r="27" spans="2:6" x14ac:dyDescent="0.25">
      <c r="B27" s="99" t="s">
        <v>165</v>
      </c>
      <c r="C27" s="164">
        <f>C24+C25</f>
        <v>876565.59</v>
      </c>
      <c r="D27" s="162"/>
      <c r="E27" s="162">
        <f>C27/$C$40</f>
        <v>0.94590496422124559</v>
      </c>
    </row>
    <row r="28" spans="2:6" ht="33" customHeight="1" x14ac:dyDescent="0.25">
      <c r="B28" s="99" t="s">
        <v>166</v>
      </c>
      <c r="C28" s="99"/>
      <c r="D28" s="99"/>
      <c r="E28" s="99"/>
      <c r="F28" s="163"/>
    </row>
    <row r="29" spans="2:6" ht="25.5" customHeight="1" x14ac:dyDescent="0.25">
      <c r="B29" s="99" t="s">
        <v>167</v>
      </c>
      <c r="C29" s="164">
        <f>ROUND(C24*3.9%,2)</f>
        <v>1645.95</v>
      </c>
      <c r="D29" s="99"/>
      <c r="E29" s="162">
        <f t="shared" ref="E29:E38" si="2">C29/$C$40</f>
        <v>1.7761503458742422E-3</v>
      </c>
    </row>
    <row r="30" spans="2:6" ht="38.25" customHeight="1" x14ac:dyDescent="0.25">
      <c r="B30" s="99" t="s">
        <v>168</v>
      </c>
      <c r="C30" s="164">
        <f>ROUND((C24+C29)*2.1%,2)</f>
        <v>920.85</v>
      </c>
      <c r="D30" s="99"/>
      <c r="E30" s="162">
        <f t="shared" si="2"/>
        <v>9.9369242443470094E-4</v>
      </c>
      <c r="F30" s="163"/>
    </row>
    <row r="31" spans="2:6" x14ac:dyDescent="0.25">
      <c r="B31" s="99" t="s">
        <v>169</v>
      </c>
      <c r="C31" s="164">
        <v>0</v>
      </c>
      <c r="D31" s="99"/>
      <c r="E31" s="162">
        <f t="shared" si="2"/>
        <v>0</v>
      </c>
    </row>
    <row r="32" spans="2:6" ht="25.5" customHeight="1" x14ac:dyDescent="0.25">
      <c r="B32" s="99" t="s">
        <v>170</v>
      </c>
      <c r="C32" s="164">
        <f>ROUND(C27*0%,2)</f>
        <v>0</v>
      </c>
      <c r="D32" s="99"/>
      <c r="E32" s="162">
        <f t="shared" si="2"/>
        <v>0</v>
      </c>
    </row>
    <row r="33" spans="2:12" ht="25.5" customHeight="1" x14ac:dyDescent="0.25">
      <c r="B33" s="99" t="s">
        <v>171</v>
      </c>
      <c r="C33" s="164">
        <f>ROUND(C28*0%,2)</f>
        <v>0</v>
      </c>
      <c r="D33" s="99"/>
      <c r="E33" s="162">
        <f t="shared" si="2"/>
        <v>0</v>
      </c>
    </row>
    <row r="34" spans="2:12" ht="51" customHeight="1" x14ac:dyDescent="0.25">
      <c r="B34" s="99" t="s">
        <v>172</v>
      </c>
      <c r="C34" s="164">
        <f>ROUND(C29*0%,2)</f>
        <v>0</v>
      </c>
      <c r="D34" s="99"/>
      <c r="E34" s="162">
        <f t="shared" si="2"/>
        <v>0</v>
      </c>
      <c r="H34" s="168"/>
    </row>
    <row r="35" spans="2:12" ht="76.7" customHeight="1" x14ac:dyDescent="0.25">
      <c r="B35" s="99" t="s">
        <v>173</v>
      </c>
      <c r="C35" s="164">
        <f>ROUND(C30*0%,2)</f>
        <v>0</v>
      </c>
      <c r="D35" s="99"/>
      <c r="E35" s="162">
        <f t="shared" si="2"/>
        <v>0</v>
      </c>
    </row>
    <row r="36" spans="2:12" ht="25.5" customHeight="1" x14ac:dyDescent="0.25">
      <c r="B36" s="99" t="s">
        <v>174</v>
      </c>
      <c r="C36" s="164">
        <f>ROUND((C27+C32+C33+C34+C35+C29+C31+C30)*2.14%,2)</f>
        <v>18813.43</v>
      </c>
      <c r="D36" s="99"/>
      <c r="E36" s="162">
        <f t="shared" si="2"/>
        <v>2.0301637474759771E-2</v>
      </c>
      <c r="L36" s="163"/>
    </row>
    <row r="37" spans="2:12" x14ac:dyDescent="0.25">
      <c r="B37" s="99" t="s">
        <v>175</v>
      </c>
      <c r="C37" s="164">
        <f>ROUND((C27+C32+C33+C34+C35+C29+C31+C30)*0.2%,2)</f>
        <v>1758.26</v>
      </c>
      <c r="D37" s="99"/>
      <c r="E37" s="162">
        <f t="shared" si="2"/>
        <v>1.8973444558685532E-3</v>
      </c>
      <c r="L37" s="163"/>
    </row>
    <row r="38" spans="2:12" ht="38.25" customHeight="1" x14ac:dyDescent="0.25">
      <c r="B38" s="99" t="s">
        <v>176</v>
      </c>
      <c r="C38" s="161">
        <f>C27+C32+C33+C34+C35+C29+C31+C30+C36+C37</f>
        <v>899704.08</v>
      </c>
      <c r="D38" s="99"/>
      <c r="E38" s="162">
        <f t="shared" si="2"/>
        <v>0.97087378892218279</v>
      </c>
    </row>
    <row r="39" spans="2:12" ht="13.7" customHeight="1" x14ac:dyDescent="0.25">
      <c r="B39" s="99" t="s">
        <v>177</v>
      </c>
      <c r="C39" s="161">
        <f>ROUND(C38*3%,2)</f>
        <v>26991.119999999999</v>
      </c>
      <c r="D39" s="99"/>
      <c r="E39" s="162">
        <f>C39/$C$38</f>
        <v>2.9999997332456244E-2</v>
      </c>
    </row>
    <row r="40" spans="2:12" x14ac:dyDescent="0.25">
      <c r="B40" s="99" t="s">
        <v>178</v>
      </c>
      <c r="C40" s="161">
        <f>C39+C38</f>
        <v>926695.2</v>
      </c>
      <c r="D40" s="99"/>
      <c r="E40" s="162">
        <f>C40/$C$40</f>
        <v>1</v>
      </c>
    </row>
    <row r="41" spans="2:12" x14ac:dyDescent="0.25">
      <c r="B41" s="99" t="s">
        <v>179</v>
      </c>
      <c r="C41" s="161">
        <f>C40/'Прил.5 Расчет СМР и ОБ'!E49</f>
        <v>926695.2</v>
      </c>
      <c r="D41" s="99"/>
      <c r="E41" s="99"/>
    </row>
    <row r="42" spans="2:12" x14ac:dyDescent="0.25">
      <c r="B42" s="160"/>
      <c r="C42" s="4"/>
      <c r="D42" s="4"/>
      <c r="E42" s="4"/>
    </row>
    <row r="43" spans="2:12" x14ac:dyDescent="0.25">
      <c r="B43" s="202" t="s">
        <v>180</v>
      </c>
      <c r="C43" s="4"/>
      <c r="D43" s="4"/>
      <c r="E43" s="4"/>
    </row>
    <row r="44" spans="2:12" x14ac:dyDescent="0.25">
      <c r="B44" s="160" t="s">
        <v>181</v>
      </c>
      <c r="C44" s="4"/>
      <c r="D44" s="4"/>
      <c r="E44" s="4"/>
    </row>
    <row r="45" spans="2:12" x14ac:dyDescent="0.25">
      <c r="B45" s="160"/>
      <c r="C45" s="4"/>
      <c r="D45" s="4"/>
      <c r="E45" s="4"/>
    </row>
    <row r="46" spans="2:12" x14ac:dyDescent="0.25">
      <c r="B46" s="160" t="s">
        <v>182</v>
      </c>
      <c r="C46" s="4"/>
      <c r="D46" s="4"/>
      <c r="E46" s="4"/>
    </row>
    <row r="47" spans="2:12" x14ac:dyDescent="0.25">
      <c r="B47" s="254" t="s">
        <v>183</v>
      </c>
      <c r="C47" s="25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55"/>
  <sheetViews>
    <sheetView tabSelected="1" view="pageBreakPreview" topLeftCell="A25" zoomScale="85" zoomScaleSheetLayoutView="85" workbookViewId="0">
      <selection activeCell="E37" sqref="E3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5" t="s">
        <v>184</v>
      </c>
      <c r="I2" s="255"/>
      <c r="J2" s="25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9" t="s">
        <v>185</v>
      </c>
      <c r="B4" s="229"/>
      <c r="C4" s="229"/>
      <c r="D4" s="229"/>
      <c r="E4" s="229"/>
      <c r="F4" s="229"/>
      <c r="G4" s="229"/>
      <c r="H4" s="229"/>
      <c r="I4" s="229"/>
      <c r="J4" s="229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186</v>
      </c>
      <c r="B6" s="144"/>
      <c r="C6" s="144"/>
      <c r="D6" s="261" t="s">
        <v>187</v>
      </c>
      <c r="E6" s="261"/>
      <c r="F6" s="261"/>
      <c r="G6" s="261"/>
      <c r="H6" s="261"/>
      <c r="I6" s="261"/>
      <c r="J6" s="261"/>
    </row>
    <row r="7" spans="1:14" s="4" customFormat="1" ht="12.75" customHeight="1" x14ac:dyDescent="0.2">
      <c r="A7" s="232" t="s">
        <v>50</v>
      </c>
      <c r="B7" s="253"/>
      <c r="C7" s="253"/>
      <c r="D7" s="253"/>
      <c r="E7" s="253"/>
      <c r="F7" s="253"/>
      <c r="G7" s="253"/>
      <c r="H7" s="253"/>
      <c r="I7" s="43"/>
      <c r="J7" s="43"/>
    </row>
    <row r="8" spans="1:14" s="4" customFormat="1" ht="13.7" customHeight="1" x14ac:dyDescent="0.2">
      <c r="A8" s="232"/>
      <c r="B8" s="253"/>
      <c r="C8" s="253"/>
      <c r="D8" s="253"/>
      <c r="E8" s="253"/>
      <c r="F8" s="253"/>
      <c r="G8" s="253"/>
      <c r="H8" s="253"/>
    </row>
    <row r="9" spans="1:14" ht="27" customHeight="1" x14ac:dyDescent="0.25">
      <c r="A9" s="258" t="s">
        <v>13</v>
      </c>
      <c r="B9" s="258" t="s">
        <v>100</v>
      </c>
      <c r="C9" s="258" t="s">
        <v>145</v>
      </c>
      <c r="D9" s="258" t="s">
        <v>102</v>
      </c>
      <c r="E9" s="259" t="s">
        <v>188</v>
      </c>
      <c r="F9" s="256" t="s">
        <v>104</v>
      </c>
      <c r="G9" s="257"/>
      <c r="H9" s="259" t="s">
        <v>189</v>
      </c>
      <c r="I9" s="256" t="s">
        <v>190</v>
      </c>
      <c r="J9" s="257"/>
      <c r="M9" s="12"/>
      <c r="N9" s="12"/>
    </row>
    <row r="10" spans="1:14" ht="28.5" customHeight="1" x14ac:dyDescent="0.25">
      <c r="A10" s="258"/>
      <c r="B10" s="258"/>
      <c r="C10" s="258"/>
      <c r="D10" s="258"/>
      <c r="E10" s="260"/>
      <c r="F10" s="2" t="s">
        <v>191</v>
      </c>
      <c r="G10" s="2" t="s">
        <v>106</v>
      </c>
      <c r="H10" s="260"/>
      <c r="I10" s="2" t="s">
        <v>191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48" t="s">
        <v>192</v>
      </c>
      <c r="C12" s="266"/>
      <c r="D12" s="258"/>
      <c r="E12" s="267"/>
      <c r="F12" s="268"/>
      <c r="G12" s="268"/>
      <c r="H12" s="269"/>
      <c r="I12" s="133"/>
      <c r="J12" s="133"/>
    </row>
    <row r="13" spans="1:14" ht="25.5" customHeight="1" x14ac:dyDescent="0.25">
      <c r="A13" s="2">
        <v>1</v>
      </c>
      <c r="B13" s="143" t="s">
        <v>109</v>
      </c>
      <c r="C13" s="8" t="s">
        <v>193</v>
      </c>
      <c r="D13" s="2" t="s">
        <v>194</v>
      </c>
      <c r="E13" s="134">
        <f>G13/F13</f>
        <v>24.950242718446603</v>
      </c>
      <c r="F13" s="26">
        <v>8.24</v>
      </c>
      <c r="G13" s="26">
        <f>Прил.3!H12</f>
        <v>205.59</v>
      </c>
      <c r="H13" s="136">
        <f>G13/G14</f>
        <v>1</v>
      </c>
      <c r="I13" s="26">
        <f>ФОТр.тек.!E13</f>
        <v>380.06038323989998</v>
      </c>
      <c r="J13" s="26">
        <f>ROUND(I13*E13,2)</f>
        <v>9482.6</v>
      </c>
    </row>
    <row r="14" spans="1:14" s="12" customFormat="1" ht="25.5" customHeight="1" x14ac:dyDescent="0.2">
      <c r="A14" s="2"/>
      <c r="B14" s="2"/>
      <c r="C14" s="98" t="s">
        <v>195</v>
      </c>
      <c r="D14" s="2" t="s">
        <v>194</v>
      </c>
      <c r="E14" s="134">
        <f>SUM(E13:E13)</f>
        <v>24.950242718446603</v>
      </c>
      <c r="F14" s="26"/>
      <c r="G14" s="26">
        <f>SUM(G13:G13)</f>
        <v>205.59</v>
      </c>
      <c r="H14" s="132">
        <v>1</v>
      </c>
      <c r="I14" s="133"/>
      <c r="J14" s="26">
        <f>SUM(J13:J13)</f>
        <v>9482.6</v>
      </c>
    </row>
    <row r="15" spans="1:14" s="12" customFormat="1" ht="14.25" customHeight="1" x14ac:dyDescent="0.2">
      <c r="A15" s="2"/>
      <c r="B15" s="266" t="s">
        <v>112</v>
      </c>
      <c r="C15" s="266"/>
      <c r="D15" s="258"/>
      <c r="E15" s="267"/>
      <c r="F15" s="268"/>
      <c r="G15" s="268"/>
      <c r="H15" s="269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112</v>
      </c>
      <c r="D16" s="2" t="s">
        <v>194</v>
      </c>
      <c r="E16" s="186">
        <v>2.87</v>
      </c>
      <c r="F16" s="26">
        <f>G16/E16</f>
        <v>10.334494773519163</v>
      </c>
      <c r="G16" s="26">
        <f>Прил.3!H14</f>
        <v>29.66</v>
      </c>
      <c r="H16" s="132">
        <v>1</v>
      </c>
      <c r="I16" s="26">
        <f>ROUND(F16*Прил.10!D11,2)</f>
        <v>457.71</v>
      </c>
      <c r="J16" s="26">
        <f>ROUND(I16*E16,2)</f>
        <v>1313.63</v>
      </c>
    </row>
    <row r="17" spans="1:10" s="12" customFormat="1" ht="14.25" customHeight="1" x14ac:dyDescent="0.2">
      <c r="A17" s="2"/>
      <c r="B17" s="248" t="s">
        <v>114</v>
      </c>
      <c r="C17" s="266"/>
      <c r="D17" s="258"/>
      <c r="E17" s="267"/>
      <c r="F17" s="268"/>
      <c r="G17" s="268"/>
      <c r="H17" s="269"/>
      <c r="I17" s="133"/>
      <c r="J17" s="133"/>
    </row>
    <row r="18" spans="1:10" s="12" customFormat="1" ht="14.25" customHeight="1" x14ac:dyDescent="0.2">
      <c r="A18" s="2"/>
      <c r="B18" s="266" t="s">
        <v>196</v>
      </c>
      <c r="C18" s="266"/>
      <c r="D18" s="258"/>
      <c r="E18" s="267"/>
      <c r="F18" s="268"/>
      <c r="G18" s="268"/>
      <c r="H18" s="269"/>
      <c r="I18" s="133"/>
      <c r="J18" s="133"/>
    </row>
    <row r="19" spans="1:10" s="12" customFormat="1" ht="25.5" customHeight="1" x14ac:dyDescent="0.2">
      <c r="A19" s="2">
        <v>3</v>
      </c>
      <c r="B19" s="143" t="s">
        <v>115</v>
      </c>
      <c r="C19" s="8" t="s">
        <v>116</v>
      </c>
      <c r="D19" s="2" t="s">
        <v>117</v>
      </c>
      <c r="E19" s="140">
        <v>0.51</v>
      </c>
      <c r="F19" s="97">
        <v>288.02999999999997</v>
      </c>
      <c r="G19" s="26">
        <f>ROUND(E19*F19,2)</f>
        <v>146.9</v>
      </c>
      <c r="H19" s="136">
        <f>G19/$G$24</f>
        <v>0.7598406869083949</v>
      </c>
      <c r="I19" s="26">
        <f>ROUND(F19*Прил.10!$D$12,2)</f>
        <v>3879.76</v>
      </c>
      <c r="J19" s="26">
        <f>ROUND(I19*E19,2)</f>
        <v>1978.68</v>
      </c>
    </row>
    <row r="20" spans="1:10" s="12" customFormat="1" ht="25.5" customHeight="1" x14ac:dyDescent="0.2">
      <c r="A20" s="2">
        <v>4</v>
      </c>
      <c r="B20" s="143" t="s">
        <v>118</v>
      </c>
      <c r="C20" s="8" t="s">
        <v>119</v>
      </c>
      <c r="D20" s="2" t="s">
        <v>117</v>
      </c>
      <c r="E20" s="140">
        <v>2.36</v>
      </c>
      <c r="F20" s="97">
        <v>19.55</v>
      </c>
      <c r="G20" s="26">
        <f>ROUND(E20*F20,2)</f>
        <v>46.14</v>
      </c>
      <c r="H20" s="136">
        <f>G20/$G$24</f>
        <v>0.23865928722909013</v>
      </c>
      <c r="I20" s="26">
        <f>ROUND(F20*Прил.10!$D$12,2)</f>
        <v>263.33999999999997</v>
      </c>
      <c r="J20" s="26">
        <f>ROUND(I20*E20,2)</f>
        <v>621.48</v>
      </c>
    </row>
    <row r="21" spans="1:10" s="12" customFormat="1" ht="14.25" customHeight="1" x14ac:dyDescent="0.2">
      <c r="A21" s="2"/>
      <c r="B21" s="2"/>
      <c r="C21" s="8" t="s">
        <v>197</v>
      </c>
      <c r="D21" s="2"/>
      <c r="E21" s="140"/>
      <c r="F21" s="26"/>
      <c r="G21" s="26">
        <f>SUM(G19:G20)</f>
        <v>193.04000000000002</v>
      </c>
      <c r="H21" s="132">
        <f>G21/G24</f>
        <v>0.99849997413748515</v>
      </c>
      <c r="I21" s="135"/>
      <c r="J21" s="26">
        <f>SUM(J19:J20)</f>
        <v>2600.16</v>
      </c>
    </row>
    <row r="22" spans="1:10" s="12" customFormat="1" ht="14.25" customHeight="1" outlineLevel="1" x14ac:dyDescent="0.2">
      <c r="A22" s="2">
        <v>5</v>
      </c>
      <c r="B22" s="143" t="s">
        <v>120</v>
      </c>
      <c r="C22" s="8" t="s">
        <v>121</v>
      </c>
      <c r="D22" s="2" t="s">
        <v>117</v>
      </c>
      <c r="E22" s="140">
        <v>0.24</v>
      </c>
      <c r="F22" s="97">
        <v>1.2</v>
      </c>
      <c r="G22" s="26">
        <f>ROUND(E22*F22,2)</f>
        <v>0.28999999999999998</v>
      </c>
      <c r="H22" s="136">
        <f>G22/$G$24</f>
        <v>1.5000258625148708E-3</v>
      </c>
      <c r="I22" s="26">
        <f>ROUND(F22*Прил.10!$D$12,2)</f>
        <v>16.16</v>
      </c>
      <c r="J22" s="26">
        <f>ROUND(I22*E22,2)</f>
        <v>3.88</v>
      </c>
    </row>
    <row r="23" spans="1:10" s="12" customFormat="1" ht="14.25" customHeight="1" x14ac:dyDescent="0.2">
      <c r="A23" s="2"/>
      <c r="B23" s="2"/>
      <c r="C23" s="8" t="s">
        <v>198</v>
      </c>
      <c r="D23" s="2"/>
      <c r="E23" s="131"/>
      <c r="F23" s="26"/>
      <c r="G23" s="135">
        <f>SUM(G22:G22)</f>
        <v>0.28999999999999998</v>
      </c>
      <c r="H23" s="136">
        <f>G23/G24</f>
        <v>1.5000258625148708E-3</v>
      </c>
      <c r="I23" s="26"/>
      <c r="J23" s="26">
        <f>SUM(J22:J22)</f>
        <v>3.88</v>
      </c>
    </row>
    <row r="24" spans="1:10" s="12" customFormat="1" ht="25.5" customHeight="1" x14ac:dyDescent="0.2">
      <c r="A24" s="2"/>
      <c r="B24" s="2"/>
      <c r="C24" s="98" t="s">
        <v>199</v>
      </c>
      <c r="D24" s="2"/>
      <c r="E24" s="131"/>
      <c r="F24" s="26"/>
      <c r="G24" s="26">
        <f>G23+G21</f>
        <v>193.33</v>
      </c>
      <c r="H24" s="137">
        <v>1</v>
      </c>
      <c r="I24" s="138"/>
      <c r="J24" s="139">
        <f>J23+J21</f>
        <v>2604.04</v>
      </c>
    </row>
    <row r="25" spans="1:10" s="12" customFormat="1" ht="14.25" customHeight="1" x14ac:dyDescent="0.2">
      <c r="A25" s="2"/>
      <c r="B25" s="248" t="s">
        <v>43</v>
      </c>
      <c r="C25" s="248"/>
      <c r="D25" s="270"/>
      <c r="E25" s="271"/>
      <c r="F25" s="272"/>
      <c r="G25" s="272"/>
      <c r="H25" s="273"/>
      <c r="I25" s="133"/>
      <c r="J25" s="133"/>
    </row>
    <row r="26" spans="1:10" x14ac:dyDescent="0.25">
      <c r="A26" s="2"/>
      <c r="B26" s="266" t="s">
        <v>200</v>
      </c>
      <c r="C26" s="266"/>
      <c r="D26" s="258"/>
      <c r="E26" s="267"/>
      <c r="F26" s="268"/>
      <c r="G26" s="268"/>
      <c r="H26" s="269"/>
      <c r="I26" s="133"/>
      <c r="J26" s="133"/>
    </row>
    <row r="27" spans="1:10" s="12" customFormat="1" ht="38.25" customHeight="1" x14ac:dyDescent="0.2">
      <c r="A27" s="2">
        <v>6</v>
      </c>
      <c r="B27" s="2" t="s">
        <v>201</v>
      </c>
      <c r="C27" s="8" t="s">
        <v>202</v>
      </c>
      <c r="D27" s="2" t="s">
        <v>124</v>
      </c>
      <c r="E27" s="140">
        <v>1</v>
      </c>
      <c r="F27" s="41">
        <f>ROUND(I27/Прил.10!$D$14,2)</f>
        <v>133284.6</v>
      </c>
      <c r="G27" s="26">
        <f>ROUND(E27*F27,2)</f>
        <v>133284.6</v>
      </c>
      <c r="H27" s="136">
        <f>G27/$G$30</f>
        <v>1</v>
      </c>
      <c r="I27" s="183">
        <v>834361.62</v>
      </c>
      <c r="J27" s="26">
        <f>ROUND(I27*E27,2)</f>
        <v>834361.62</v>
      </c>
    </row>
    <row r="28" spans="1:10" x14ac:dyDescent="0.25">
      <c r="A28" s="2"/>
      <c r="B28" s="2"/>
      <c r="C28" s="8" t="s">
        <v>203</v>
      </c>
      <c r="D28" s="2"/>
      <c r="E28" s="140"/>
      <c r="F28" s="97"/>
      <c r="G28" s="26">
        <f>G27</f>
        <v>133284.6</v>
      </c>
      <c r="H28" s="136">
        <f>G28/$G$30</f>
        <v>1</v>
      </c>
      <c r="I28" s="135"/>
      <c r="J28" s="26">
        <f>J27</f>
        <v>834361.62</v>
      </c>
    </row>
    <row r="29" spans="1:10" x14ac:dyDescent="0.25">
      <c r="A29" s="2"/>
      <c r="B29" s="2"/>
      <c r="C29" s="8" t="s">
        <v>204</v>
      </c>
      <c r="D29" s="189"/>
      <c r="E29" s="140"/>
      <c r="F29" s="97"/>
      <c r="G29" s="26">
        <v>0</v>
      </c>
      <c r="H29" s="136">
        <f>G29/$G$30</f>
        <v>0</v>
      </c>
      <c r="I29" s="135"/>
      <c r="J29" s="26">
        <v>0</v>
      </c>
    </row>
    <row r="30" spans="1:10" x14ac:dyDescent="0.25">
      <c r="A30" s="2"/>
      <c r="B30" s="2"/>
      <c r="C30" s="98" t="s">
        <v>205</v>
      </c>
      <c r="D30" s="2"/>
      <c r="E30" s="131"/>
      <c r="F30" s="97"/>
      <c r="G30" s="26">
        <f>G28+G29</f>
        <v>133284.6</v>
      </c>
      <c r="H30" s="136">
        <f>G30/$G$30</f>
        <v>1</v>
      </c>
      <c r="I30" s="135"/>
      <c r="J30" s="26">
        <f>J28+J29</f>
        <v>834361.62</v>
      </c>
    </row>
    <row r="31" spans="1:10" ht="25.5" customHeight="1" x14ac:dyDescent="0.25">
      <c r="A31" s="2"/>
      <c r="B31" s="2"/>
      <c r="C31" s="8" t="s">
        <v>206</v>
      </c>
      <c r="D31" s="2"/>
      <c r="E31" s="140"/>
      <c r="F31" s="97"/>
      <c r="G31" s="26">
        <f>'Прил.6 Расчет ОБ'!G13</f>
        <v>133284.6</v>
      </c>
      <c r="H31" s="132"/>
      <c r="I31" s="135"/>
      <c r="J31" s="26">
        <f>J30</f>
        <v>834361.62</v>
      </c>
    </row>
    <row r="32" spans="1:10" s="12" customFormat="1" ht="14.25" customHeight="1" x14ac:dyDescent="0.2">
      <c r="A32" s="2"/>
      <c r="B32" s="248" t="s">
        <v>125</v>
      </c>
      <c r="C32" s="248"/>
      <c r="D32" s="270"/>
      <c r="E32" s="271"/>
      <c r="F32" s="272"/>
      <c r="G32" s="272"/>
      <c r="H32" s="273"/>
      <c r="I32" s="133"/>
      <c r="J32" s="133"/>
    </row>
    <row r="33" spans="1:10" s="12" customFormat="1" ht="14.25" customHeight="1" x14ac:dyDescent="0.2">
      <c r="A33" s="130"/>
      <c r="B33" s="262" t="s">
        <v>207</v>
      </c>
      <c r="C33" s="262"/>
      <c r="D33" s="259"/>
      <c r="E33" s="263"/>
      <c r="F33" s="264"/>
      <c r="G33" s="264"/>
      <c r="H33" s="265"/>
      <c r="I33" s="146"/>
      <c r="J33" s="146"/>
    </row>
    <row r="34" spans="1:10" s="12" customFormat="1" ht="25.5" customHeight="1" x14ac:dyDescent="0.2">
      <c r="A34" s="2">
        <v>7</v>
      </c>
      <c r="B34" s="143" t="s">
        <v>126</v>
      </c>
      <c r="C34" s="8" t="s">
        <v>127</v>
      </c>
      <c r="D34" s="2" t="s">
        <v>128</v>
      </c>
      <c r="E34" s="140">
        <v>2.996</v>
      </c>
      <c r="F34" s="97">
        <v>413.87</v>
      </c>
      <c r="G34" s="26">
        <f>ROUND(E34*F34,2)</f>
        <v>1239.95</v>
      </c>
      <c r="H34" s="136">
        <f t="shared" ref="H34:H43" si="0">G34/$G$43</f>
        <v>0.95233523552046451</v>
      </c>
      <c r="I34" s="26">
        <f>ROUND(F34*Прил.10!$D$13,2)</f>
        <v>3327.51</v>
      </c>
      <c r="J34" s="26">
        <f>ROUND(I34*E34,2)</f>
        <v>9969.2199999999993</v>
      </c>
    </row>
    <row r="35" spans="1:10" s="12" customFormat="1" ht="14.25" customHeight="1" x14ac:dyDescent="0.2">
      <c r="A35" s="147"/>
      <c r="B35" s="148"/>
      <c r="C35" s="149" t="s">
        <v>208</v>
      </c>
      <c r="D35" s="147"/>
      <c r="E35" s="178"/>
      <c r="F35" s="139"/>
      <c r="G35" s="139">
        <f>SUM(G34:G34)</f>
        <v>1239.95</v>
      </c>
      <c r="H35" s="136">
        <f t="shared" si="0"/>
        <v>0.95233523552046451</v>
      </c>
      <c r="I35" s="26"/>
      <c r="J35" s="139">
        <f>SUM(J34:J34)</f>
        <v>9969.2199999999993</v>
      </c>
    </row>
    <row r="36" spans="1:10" s="12" customFormat="1" ht="14.25" customHeight="1" outlineLevel="1" x14ac:dyDescent="0.2">
      <c r="A36" s="2">
        <v>8</v>
      </c>
      <c r="B36" s="143" t="s">
        <v>129</v>
      </c>
      <c r="C36" s="8" t="s">
        <v>130</v>
      </c>
      <c r="D36" s="2" t="s">
        <v>131</v>
      </c>
      <c r="E36" s="140">
        <v>2.5000000000000001E-3</v>
      </c>
      <c r="F36" s="97">
        <v>10068</v>
      </c>
      <c r="G36" s="26">
        <f t="shared" ref="G36:G41" si="1">ROUND(E36*F36,2)</f>
        <v>25.17</v>
      </c>
      <c r="H36" s="136">
        <f t="shared" si="0"/>
        <v>1.9331648758458077E-2</v>
      </c>
      <c r="I36" s="26">
        <f>ROUND(F36*Прил.10!$D$13,2)</f>
        <v>80946.720000000001</v>
      </c>
      <c r="J36" s="26">
        <f t="shared" ref="J36:J41" si="2">ROUND(I36*E36,2)</f>
        <v>202.37</v>
      </c>
    </row>
    <row r="37" spans="1:10" s="12" customFormat="1" ht="38.25" customHeight="1" outlineLevel="1" x14ac:dyDescent="0.2">
      <c r="A37" s="2">
        <v>9</v>
      </c>
      <c r="B37" s="143" t="s">
        <v>132</v>
      </c>
      <c r="C37" s="8" t="s">
        <v>133</v>
      </c>
      <c r="D37" s="2" t="s">
        <v>128</v>
      </c>
      <c r="E37" s="140">
        <v>2.01E-2</v>
      </c>
      <c r="F37" s="97">
        <v>1100</v>
      </c>
      <c r="G37" s="26">
        <f t="shared" si="1"/>
        <v>22.11</v>
      </c>
      <c r="H37" s="136">
        <f t="shared" si="0"/>
        <v>1.6981436394497739E-2</v>
      </c>
      <c r="I37" s="26">
        <f>ROUND(F37*Прил.10!$D$13,2)</f>
        <v>8844</v>
      </c>
      <c r="J37" s="26">
        <f t="shared" si="2"/>
        <v>177.76</v>
      </c>
    </row>
    <row r="38" spans="1:10" s="12" customFormat="1" ht="14.25" customHeight="1" outlineLevel="1" x14ac:dyDescent="0.2">
      <c r="A38" s="2">
        <v>10</v>
      </c>
      <c r="B38" s="143" t="s">
        <v>134</v>
      </c>
      <c r="C38" s="8" t="s">
        <v>135</v>
      </c>
      <c r="D38" s="2" t="s">
        <v>131</v>
      </c>
      <c r="E38" s="140">
        <v>6.9999999999999999E-4</v>
      </c>
      <c r="F38" s="97">
        <v>11978</v>
      </c>
      <c r="G38" s="26">
        <f t="shared" si="1"/>
        <v>8.3800000000000008</v>
      </c>
      <c r="H38" s="136">
        <f t="shared" si="0"/>
        <v>6.4362024869240638E-3</v>
      </c>
      <c r="I38" s="26">
        <f>ROUND(F38*Прил.10!$D$13,2)</f>
        <v>96303.12</v>
      </c>
      <c r="J38" s="26">
        <f t="shared" si="2"/>
        <v>67.41</v>
      </c>
    </row>
    <row r="39" spans="1:10" s="12" customFormat="1" ht="14.25" customHeight="1" outlineLevel="1" x14ac:dyDescent="0.2">
      <c r="A39" s="2">
        <v>11</v>
      </c>
      <c r="B39" s="143" t="s">
        <v>136</v>
      </c>
      <c r="C39" s="8" t="s">
        <v>137</v>
      </c>
      <c r="D39" s="2" t="s">
        <v>131</v>
      </c>
      <c r="E39" s="140">
        <v>6.9999999999999999E-4</v>
      </c>
      <c r="F39" s="97">
        <v>7826.9</v>
      </c>
      <c r="G39" s="26">
        <f t="shared" si="1"/>
        <v>5.48</v>
      </c>
      <c r="H39" s="136">
        <f t="shared" si="0"/>
        <v>4.2088770439551162E-3</v>
      </c>
      <c r="I39" s="26">
        <f>ROUND(F39*Прил.10!$D$13,2)</f>
        <v>62928.28</v>
      </c>
      <c r="J39" s="26">
        <f t="shared" si="2"/>
        <v>44.05</v>
      </c>
    </row>
    <row r="40" spans="1:10" s="12" customFormat="1" ht="14.25" customHeight="1" outlineLevel="1" x14ac:dyDescent="0.2">
      <c r="A40" s="2">
        <v>12</v>
      </c>
      <c r="B40" s="143" t="s">
        <v>138</v>
      </c>
      <c r="C40" s="8" t="s">
        <v>139</v>
      </c>
      <c r="D40" s="2" t="s">
        <v>128</v>
      </c>
      <c r="E40" s="140">
        <v>0.1192</v>
      </c>
      <c r="F40" s="97">
        <v>6.22</v>
      </c>
      <c r="G40" s="26">
        <f t="shared" si="1"/>
        <v>0.74</v>
      </c>
      <c r="H40" s="136">
        <f t="shared" si="0"/>
        <v>5.6835200958517981E-4</v>
      </c>
      <c r="I40" s="26">
        <f>ROUND(F40*Прил.10!$D$13,2)</f>
        <v>50.01</v>
      </c>
      <c r="J40" s="26">
        <f t="shared" si="2"/>
        <v>5.96</v>
      </c>
    </row>
    <row r="41" spans="1:10" s="12" customFormat="1" ht="14.25" customHeight="1" outlineLevel="1" x14ac:dyDescent="0.2">
      <c r="A41" s="2">
        <v>13</v>
      </c>
      <c r="B41" s="143" t="s">
        <v>140</v>
      </c>
      <c r="C41" s="8" t="s">
        <v>141</v>
      </c>
      <c r="D41" s="2" t="s">
        <v>142</v>
      </c>
      <c r="E41" s="140">
        <v>2.9100000000000001E-2</v>
      </c>
      <c r="F41" s="97">
        <v>6.09</v>
      </c>
      <c r="G41" s="26">
        <f t="shared" si="1"/>
        <v>0.18</v>
      </c>
      <c r="H41" s="136">
        <f t="shared" si="0"/>
        <v>1.3824778611531402E-4</v>
      </c>
      <c r="I41" s="26">
        <f>ROUND(F41*Прил.10!$D$13,2)</f>
        <v>48.96</v>
      </c>
      <c r="J41" s="26">
        <f t="shared" si="2"/>
        <v>1.42</v>
      </c>
    </row>
    <row r="42" spans="1:10" s="12" customFormat="1" ht="14.25" customHeight="1" x14ac:dyDescent="0.2">
      <c r="A42" s="2"/>
      <c r="B42" s="2"/>
      <c r="C42" s="8" t="s">
        <v>209</v>
      </c>
      <c r="D42" s="2"/>
      <c r="E42" s="140"/>
      <c r="F42" s="97"/>
      <c r="G42" s="26">
        <f>SUM(G36:G41)</f>
        <v>62.06</v>
      </c>
      <c r="H42" s="136">
        <f t="shared" si="0"/>
        <v>4.7664764479535486E-2</v>
      </c>
      <c r="I42" s="26"/>
      <c r="J42" s="26">
        <f>SUM(J36:J41)</f>
        <v>498.96999999999997</v>
      </c>
    </row>
    <row r="43" spans="1:10" s="12" customFormat="1" ht="14.25" customHeight="1" x14ac:dyDescent="0.2">
      <c r="A43" s="2"/>
      <c r="B43" s="2"/>
      <c r="C43" s="98" t="s">
        <v>210</v>
      </c>
      <c r="D43" s="2"/>
      <c r="E43" s="131"/>
      <c r="F43" s="97"/>
      <c r="G43" s="26">
        <f>G35+G42</f>
        <v>1302.01</v>
      </c>
      <c r="H43" s="132">
        <f t="shared" si="0"/>
        <v>1</v>
      </c>
      <c r="I43" s="26"/>
      <c r="J43" s="26">
        <f>J35+J42</f>
        <v>10468.189999999999</v>
      </c>
    </row>
    <row r="44" spans="1:10" s="12" customFormat="1" ht="14.25" customHeight="1" x14ac:dyDescent="0.2">
      <c r="A44" s="2"/>
      <c r="B44" s="2"/>
      <c r="C44" s="8" t="s">
        <v>211</v>
      </c>
      <c r="D44" s="2"/>
      <c r="E44" s="131"/>
      <c r="F44" s="97"/>
      <c r="G44" s="26">
        <f>G14+G24+G43</f>
        <v>1700.93</v>
      </c>
      <c r="H44" s="132"/>
      <c r="I44" s="26"/>
      <c r="J44" s="26">
        <f>J14+J24+J43</f>
        <v>22554.829999999998</v>
      </c>
    </row>
    <row r="45" spans="1:10" s="12" customFormat="1" ht="14.25" customHeight="1" x14ac:dyDescent="0.2">
      <c r="A45" s="2"/>
      <c r="B45" s="2"/>
      <c r="C45" s="8" t="s">
        <v>212</v>
      </c>
      <c r="D45" s="141">
        <v>1.1000000000000001</v>
      </c>
      <c r="E45" s="131"/>
      <c r="F45" s="97"/>
      <c r="G45" s="26">
        <v>435.85</v>
      </c>
      <c r="H45" s="132"/>
      <c r="I45" s="26"/>
      <c r="J45" s="26">
        <f>ROUND(D45*(J14+J16),2)</f>
        <v>11875.85</v>
      </c>
    </row>
    <row r="46" spans="1:10" s="12" customFormat="1" ht="14.25" customHeight="1" x14ac:dyDescent="0.2">
      <c r="A46" s="2"/>
      <c r="B46" s="2"/>
      <c r="C46" s="8" t="s">
        <v>213</v>
      </c>
      <c r="D46" s="141">
        <v>0.72</v>
      </c>
      <c r="E46" s="131"/>
      <c r="F46" s="97"/>
      <c r="G46" s="26">
        <v>413.23</v>
      </c>
      <c r="H46" s="132"/>
      <c r="I46" s="26"/>
      <c r="J46" s="26">
        <f>ROUND(D46*(J14+J16),2)</f>
        <v>7773.29</v>
      </c>
    </row>
    <row r="47" spans="1:10" s="12" customFormat="1" ht="14.25" customHeight="1" x14ac:dyDescent="0.2">
      <c r="A47" s="2"/>
      <c r="B47" s="2"/>
      <c r="C47" s="8" t="s">
        <v>214</v>
      </c>
      <c r="D47" s="2"/>
      <c r="E47" s="131"/>
      <c r="F47" s="97"/>
      <c r="G47" s="26">
        <f>G14+G24+G43+G45+G46</f>
        <v>2550.0100000000002</v>
      </c>
      <c r="H47" s="132"/>
      <c r="I47" s="26"/>
      <c r="J47" s="26">
        <f>J14+J24+J43+J45+J46</f>
        <v>42203.97</v>
      </c>
    </row>
    <row r="48" spans="1:10" s="12" customFormat="1" ht="14.25" customHeight="1" x14ac:dyDescent="0.2">
      <c r="A48" s="2"/>
      <c r="B48" s="2"/>
      <c r="C48" s="8" t="s">
        <v>215</v>
      </c>
      <c r="D48" s="2"/>
      <c r="E48" s="131"/>
      <c r="F48" s="97"/>
      <c r="G48" s="26">
        <f>G47+G30</f>
        <v>135834.61000000002</v>
      </c>
      <c r="H48" s="132"/>
      <c r="I48" s="26"/>
      <c r="J48" s="26">
        <f>J47+J30</f>
        <v>876565.59</v>
      </c>
    </row>
    <row r="49" spans="1:10" s="12" customFormat="1" ht="34.5" customHeight="1" x14ac:dyDescent="0.2">
      <c r="A49" s="2"/>
      <c r="B49" s="2"/>
      <c r="C49" s="8" t="s">
        <v>179</v>
      </c>
      <c r="D49" s="2" t="s">
        <v>216</v>
      </c>
      <c r="E49" s="131">
        <v>1</v>
      </c>
      <c r="F49" s="97"/>
      <c r="G49" s="26">
        <f>G48/E49</f>
        <v>135834.61000000002</v>
      </c>
      <c r="H49" s="132"/>
      <c r="I49" s="26"/>
      <c r="J49" s="26">
        <f>J48/E49</f>
        <v>876565.59</v>
      </c>
    </row>
    <row r="51" spans="1:10" s="12" customFormat="1" ht="14.25" customHeight="1" x14ac:dyDescent="0.2">
      <c r="A51" s="4" t="s">
        <v>217</v>
      </c>
    </row>
    <row r="52" spans="1:10" s="12" customFormat="1" ht="14.25" customHeight="1" x14ac:dyDescent="0.2">
      <c r="A52" s="27" t="s">
        <v>76</v>
      </c>
    </row>
    <row r="53" spans="1:10" s="12" customFormat="1" ht="14.25" customHeight="1" x14ac:dyDescent="0.2">
      <c r="A53" s="4"/>
    </row>
    <row r="54" spans="1:10" s="12" customFormat="1" ht="14.25" customHeight="1" x14ac:dyDescent="0.2">
      <c r="A54" s="4" t="s">
        <v>77</v>
      </c>
    </row>
    <row r="55" spans="1:10" s="12" customFormat="1" ht="14.25" customHeight="1" x14ac:dyDescent="0.2">
      <c r="A55" s="2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3:H33"/>
    <mergeCell ref="B12:H12"/>
    <mergeCell ref="B15:H15"/>
    <mergeCell ref="B17:H17"/>
    <mergeCell ref="B18:H18"/>
    <mergeCell ref="B26:H26"/>
    <mergeCell ref="B25:H25"/>
    <mergeCell ref="B32:H3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13" workbookViewId="0">
      <selection activeCell="D22" sqref="D2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4" t="s">
        <v>218</v>
      </c>
      <c r="B1" s="274"/>
      <c r="C1" s="274"/>
      <c r="D1" s="274"/>
      <c r="E1" s="274"/>
      <c r="F1" s="274"/>
      <c r="G1" s="274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9" t="s">
        <v>219</v>
      </c>
      <c r="B3" s="229"/>
      <c r="C3" s="229"/>
      <c r="D3" s="229"/>
      <c r="E3" s="229"/>
      <c r="F3" s="229"/>
      <c r="G3" s="229"/>
    </row>
    <row r="4" spans="1:7" ht="25.5" customHeight="1" x14ac:dyDescent="0.25">
      <c r="A4" s="232" t="s">
        <v>48</v>
      </c>
      <c r="B4" s="232"/>
      <c r="C4" s="232"/>
      <c r="D4" s="232"/>
      <c r="E4" s="232"/>
      <c r="F4" s="232"/>
      <c r="G4" s="23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79" t="s">
        <v>13</v>
      </c>
      <c r="B6" s="279" t="s">
        <v>100</v>
      </c>
      <c r="C6" s="279" t="s">
        <v>145</v>
      </c>
      <c r="D6" s="279" t="s">
        <v>102</v>
      </c>
      <c r="E6" s="259" t="s">
        <v>188</v>
      </c>
      <c r="F6" s="279" t="s">
        <v>104</v>
      </c>
      <c r="G6" s="279"/>
    </row>
    <row r="7" spans="1:7" x14ac:dyDescent="0.25">
      <c r="A7" s="279"/>
      <c r="B7" s="279"/>
      <c r="C7" s="279"/>
      <c r="D7" s="279"/>
      <c r="E7" s="260"/>
      <c r="F7" s="2" t="s">
        <v>191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75" t="s">
        <v>220</v>
      </c>
      <c r="C9" s="276"/>
      <c r="D9" s="276"/>
      <c r="E9" s="276"/>
      <c r="F9" s="276"/>
      <c r="G9" s="277"/>
    </row>
    <row r="10" spans="1:7" ht="27" customHeight="1" x14ac:dyDescent="0.25">
      <c r="A10" s="2"/>
      <c r="B10" s="98"/>
      <c r="C10" s="8" t="s">
        <v>221</v>
      </c>
      <c r="D10" s="98"/>
      <c r="E10" s="100"/>
      <c r="F10" s="97"/>
      <c r="G10" s="97">
        <v>0</v>
      </c>
    </row>
    <row r="11" spans="1:7" x14ac:dyDescent="0.25">
      <c r="A11" s="2"/>
      <c r="B11" s="266" t="s">
        <v>222</v>
      </c>
      <c r="C11" s="266"/>
      <c r="D11" s="266"/>
      <c r="E11" s="278"/>
      <c r="F11" s="268"/>
      <c r="G11" s="268"/>
    </row>
    <row r="12" spans="1:7" ht="46.9" customHeight="1" x14ac:dyDescent="0.25">
      <c r="A12" s="2">
        <v>1</v>
      </c>
      <c r="B12" s="188" t="str">
        <f>'Прил.5 Расчет СМР и ОБ'!B27</f>
        <v>БЦ.92_4.14</v>
      </c>
      <c r="C12" s="8" t="str">
        <f>'Прил.5 Расчет СМР и ОБ'!C27</f>
        <v>Противотаранное дорожное заградительное устройство 4,0 м</v>
      </c>
      <c r="D12" s="2" t="str">
        <f>'Прил.5 Расчет СМР и ОБ'!D27</f>
        <v>компл.</v>
      </c>
      <c r="E12" s="140">
        <f>'Прил.5 Расчет СМР и ОБ'!E27</f>
        <v>1</v>
      </c>
      <c r="F12" s="41">
        <f>'Прил.5 Расчет СМР и ОБ'!F27</f>
        <v>133284.6</v>
      </c>
      <c r="G12" s="26">
        <f>ROUND(E12*F12,2)</f>
        <v>133284.6</v>
      </c>
    </row>
    <row r="13" spans="1:7" ht="25.5" customHeight="1" x14ac:dyDescent="0.25">
      <c r="A13" s="2"/>
      <c r="B13" s="8"/>
      <c r="C13" s="8" t="s">
        <v>223</v>
      </c>
      <c r="D13" s="8"/>
      <c r="E13" s="41"/>
      <c r="F13" s="97"/>
      <c r="G13" s="26">
        <f>SUM(G12:G12)</f>
        <v>133284.6</v>
      </c>
    </row>
    <row r="14" spans="1:7" ht="19.5" customHeight="1" x14ac:dyDescent="0.25">
      <c r="A14" s="2"/>
      <c r="B14" s="8"/>
      <c r="C14" s="8" t="s">
        <v>224</v>
      </c>
      <c r="D14" s="8"/>
      <c r="E14" s="41"/>
      <c r="F14" s="97"/>
      <c r="G14" s="26">
        <f>G10+G13</f>
        <v>133284.6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217</v>
      </c>
      <c r="B16" s="12"/>
      <c r="C16" s="12"/>
      <c r="D16" s="24"/>
      <c r="E16" s="24"/>
      <c r="F16" s="24"/>
      <c r="G16" s="24"/>
    </row>
    <row r="17" spans="1:7" x14ac:dyDescent="0.25">
      <c r="A17" s="27" t="s">
        <v>76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77</v>
      </c>
      <c r="B19" s="12"/>
      <c r="C19" s="12"/>
      <c r="D19" s="24"/>
      <c r="E19" s="24"/>
      <c r="F19" s="24"/>
      <c r="G19" s="24"/>
    </row>
    <row r="20" spans="1:7" x14ac:dyDescent="0.25">
      <c r="A20" s="27" t="s">
        <v>78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2023-11-25T11:16:18Z</cp:lastPrinted>
  <dcterms:created xsi:type="dcterms:W3CDTF">2020-09-30T08:50:27Z</dcterms:created>
  <dcterms:modified xsi:type="dcterms:W3CDTF">2023-11-25T11:16:55Z</dcterms:modified>
  <cp:category/>
</cp:coreProperties>
</file>