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2128473D-96A4-424D-9F38-4D303E1CD9ED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стоим'!$A$1:$J$22</definedName>
    <definedName name="_xlnm.Print_Area" localSheetId="5">Прил.3!$A$1:$H$30</definedName>
    <definedName name="_xlnm.Print_Area" localSheetId="6">'Прил.4 РМ'!$A$1:$E$48</definedName>
    <definedName name="_xlnm.Print_Area" localSheetId="7">'Прил.5 Расчет СМР и ОБ'!$A$1:$J$48</definedName>
    <definedName name="_xlnm.Print_Area" localSheetId="8">'Прил.6 Расчет ОБ'!$A$1:$G$21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G13" i="9"/>
  <c r="F13" i="9"/>
  <c r="E13" i="9"/>
  <c r="D13" i="9"/>
  <c r="C13" i="9"/>
  <c r="B13" i="9"/>
  <c r="G12" i="9"/>
  <c r="G14" i="9" s="1"/>
  <c r="F12" i="9"/>
  <c r="E12" i="9"/>
  <c r="D12" i="9"/>
  <c r="C12" i="9"/>
  <c r="B12" i="9"/>
  <c r="G34" i="8"/>
  <c r="H33" i="8" s="1"/>
  <c r="J33" i="8"/>
  <c r="C17" i="7" s="1"/>
  <c r="G33" i="8"/>
  <c r="J32" i="8"/>
  <c r="I32" i="8"/>
  <c r="G32" i="8"/>
  <c r="G31" i="8"/>
  <c r="J30" i="8"/>
  <c r="J31" i="8" s="1"/>
  <c r="I30" i="8"/>
  <c r="H30" i="8"/>
  <c r="G30" i="8"/>
  <c r="J25" i="8"/>
  <c r="J26" i="8" s="1"/>
  <c r="C25" i="7" s="1"/>
  <c r="G25" i="8"/>
  <c r="J24" i="8"/>
  <c r="I24" i="8"/>
  <c r="G24" i="8"/>
  <c r="J23" i="8"/>
  <c r="J22" i="8"/>
  <c r="G22" i="8"/>
  <c r="F22" i="8"/>
  <c r="J19" i="8"/>
  <c r="G19" i="8"/>
  <c r="E14" i="8"/>
  <c r="J13" i="8"/>
  <c r="J14" i="8" s="1"/>
  <c r="I13" i="8"/>
  <c r="G13" i="8"/>
  <c r="G14" i="8" s="1"/>
  <c r="C14" i="7"/>
  <c r="C13" i="7"/>
  <c r="C12" i="7"/>
  <c r="H21" i="6"/>
  <c r="H20" i="6"/>
  <c r="H19" i="6"/>
  <c r="H18" i="6"/>
  <c r="H17" i="6"/>
  <c r="H16" i="6"/>
  <c r="H13" i="6"/>
  <c r="H12" i="6"/>
  <c r="F12" i="6"/>
  <c r="J14" i="5"/>
  <c r="H14" i="5"/>
  <c r="F14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C11" i="7" l="1"/>
  <c r="J34" i="8"/>
  <c r="J35" i="8" s="1"/>
  <c r="C16" i="7"/>
  <c r="G15" i="9"/>
  <c r="G27" i="8"/>
  <c r="J27" i="8" s="1"/>
  <c r="C26" i="7" s="1"/>
  <c r="H22" i="8"/>
  <c r="G23" i="8"/>
  <c r="G26" i="8" s="1"/>
  <c r="H23" i="8"/>
  <c r="H31" i="8"/>
  <c r="H32" i="8"/>
  <c r="H34" i="8"/>
  <c r="D36" i="8"/>
  <c r="J36" i="8" s="1"/>
  <c r="G35" i="8"/>
  <c r="D37" i="8"/>
  <c r="J37" i="8" s="1"/>
  <c r="G38" i="8"/>
  <c r="G39" i="8" s="1"/>
  <c r="G40" i="8" s="1"/>
  <c r="H13" i="8"/>
  <c r="H25" i="8" l="1"/>
  <c r="H24" i="8"/>
  <c r="C18" i="7"/>
  <c r="C20" i="7"/>
  <c r="C22" i="7"/>
  <c r="J38" i="8"/>
  <c r="J39" i="8" s="1"/>
  <c r="J40" i="8" s="1"/>
  <c r="C19" i="7" l="1"/>
  <c r="C24" i="7" s="1"/>
  <c r="D18" i="7"/>
  <c r="D22" i="7"/>
  <c r="D20" i="7"/>
  <c r="D13" i="7" l="1"/>
  <c r="D15" i="7"/>
  <c r="D12" i="7"/>
  <c r="D24" i="7"/>
  <c r="C29" i="7"/>
  <c r="C27" i="7"/>
  <c r="D14" i="7"/>
  <c r="D17" i="7"/>
  <c r="D11" i="7"/>
  <c r="D16" i="7"/>
  <c r="C30" i="7" l="1"/>
  <c r="C37" i="7" s="1"/>
  <c r="C36" i="7" l="1"/>
  <c r="C38" i="7" s="1"/>
  <c r="C39" i="7" l="1"/>
  <c r="C40" i="7" l="1"/>
  <c r="E39" i="7"/>
  <c r="E34" i="7" l="1"/>
  <c r="E13" i="7"/>
  <c r="E31" i="7"/>
  <c r="E35" i="7"/>
  <c r="E12" i="7"/>
  <c r="C41" i="7"/>
  <c r="D11" i="10" s="1"/>
  <c r="E40" i="7"/>
  <c r="E33" i="7"/>
  <c r="E32" i="7"/>
  <c r="E15" i="7"/>
  <c r="E25" i="7"/>
  <c r="E17" i="7"/>
  <c r="E14" i="7"/>
  <c r="E26" i="7"/>
  <c r="E16" i="7"/>
  <c r="E11" i="7"/>
  <c r="E20" i="7"/>
  <c r="E18" i="7"/>
  <c r="E22" i="7"/>
  <c r="E24" i="7"/>
  <c r="E29" i="7"/>
  <c r="E27" i="7"/>
  <c r="E37" i="7"/>
  <c r="E30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<sst xmlns="http://schemas.openxmlformats.org/spreadsheetml/2006/main" count="519" uniqueCount="368">
  <si>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</si>
  <si>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</si>
  <si>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</si>
  <si>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</si>
  <si>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</si>
  <si>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</si>
  <si>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</si>
  <si>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</si>
  <si>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</si>
  <si>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</si>
  <si>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</si>
  <si>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</si>
  <si>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</si>
  <si>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</si>
  <si>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</si>
  <si>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</si>
  <si>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</si>
  <si>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</si>
  <si>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</si>
  <si>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</si>
  <si>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</si>
  <si>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</si>
  <si>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</si>
  <si>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</si>
  <si>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</si>
  <si>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</si>
  <si>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</si>
  <si>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</si>
  <si>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</si>
  <si>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</si>
  <si>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</si>
  <si>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</si>
  <si>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</si>
  <si>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</si>
  <si>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</si>
  <si>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</si>
  <si>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</si>
  <si>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</si>
  <si>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</si>
  <si>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</si>
  <si>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</si>
  <si>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</si>
  <si>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</si>
  <si>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</si>
  <si>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</si>
  <si>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</si>
  <si>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</si>
  <si>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комплекс стационарных камер охранного (технологического) видеонаблюдения ПС 220 кВ</t>
  </si>
  <si>
    <t>Сопоставимый уровень цен: 3 квартал 2021г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</si>
  <si>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</si>
  <si>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</si>
  <si>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</si>
  <si>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</si>
  <si>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220 кВ Степная</t>
  </si>
  <si>
    <t>Наименование субъекта Российской Федерации</t>
  </si>
  <si>
    <t>Республика Хакасия</t>
  </si>
  <si>
    <t>Климатический район и подрайон</t>
  </si>
  <si>
    <t>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</si>
  <si>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</si>
  <si>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</si>
  <si>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Сетевая стационарная IP- камера В5650  - 35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</si>
  <si>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</si>
  <si>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</si>
  <si>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</si>
  <si>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</si>
  <si>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</si>
  <si>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</si>
  <si>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</si>
  <si>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</si>
  <si>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</si>
  <si>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</si>
  <si>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2021г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</si>
  <si>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</si>
  <si>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</si>
  <si>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</si>
  <si>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</si>
  <si>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</si>
  <si>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</si>
  <si>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</si>
  <si>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</si>
  <si>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</si>
  <si>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комплекс стационарных камер охранного (технологического) видеонаблюдения ПС 220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</si>
  <si>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</si>
  <si>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</si>
  <si>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</si>
  <si>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2021 г., тыс. руб.</t>
  </si>
  <si>
    <t>Строительные работы</t>
  </si>
  <si>
    <t>Монтажные работы</t>
  </si>
  <si>
    <t>Прочее</t>
  </si>
  <si>
    <t>Всего</t>
  </si>
  <si>
    <t>Комплекс стационарных камер охранного (технологического) видеонаблюдения ПС 220 кВ</t>
  </si>
  <si>
    <t>Всего по объекту:</t>
  </si>
  <si>
    <t>Всего по объекту в сопоставимом уровне цен 3 кв. 2021 г: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</si>
  <si>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</si>
  <si>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</si>
  <si>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комплекс стационарных камер охранного (технологического) видеонаблюдения ПС 220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</si>
  <si>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</si>
  <si>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</si>
  <si>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</si>
  <si>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</si>
  <si>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</si>
  <si>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</si>
  <si>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</si>
  <si>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</si>
  <si>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</si>
  <si>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</si>
  <si>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</si>
  <si>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</si>
  <si>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1-4-9</t>
  </si>
  <si>
    <t>Затраты труда рабочих (ср 4,9)</t>
  </si>
  <si>
    <t>чел.-ч</t>
  </si>
  <si>
    <t>Затраты труда машинистов</t>
  </si>
  <si>
    <t>Машины и механизмы</t>
  </si>
  <si>
    <t>Прайс из СД ОП</t>
  </si>
  <si>
    <t>Сетевая стационарная IP- камера В5650 и кронштейн крепления для подвесных купольных и стационарных видеокамер</t>
  </si>
  <si>
    <t>шт</t>
  </si>
  <si>
    <t>61.3.01.02-0071</t>
  </si>
  <si>
    <t>Объектив вариофокальный LTC3364/50</t>
  </si>
  <si>
    <t>10 шт</t>
  </si>
  <si>
    <t>Материалы</t>
  </si>
  <si>
    <t>61.3.06.01-0001</t>
  </si>
  <si>
    <t xml:space="preserve">Микрофон внешний ВМ-01 для комплекса ОКТАВА, размер 100х60х42 мм </t>
  </si>
  <si>
    <t>999-9950</t>
  </si>
  <si>
    <t>Вспомогательные ненормируемые ресурсы (2% от Оплаты труда рабочих)</t>
  </si>
  <si>
    <t>руб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</si>
  <si>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</si>
  <si>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</si>
  <si>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</si>
  <si>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</si>
  <si>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</si>
  <si>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</si>
  <si>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</si>
  <si>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</si>
  <si>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</si>
  <si>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</si>
  <si>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</si>
  <si>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</si>
  <si>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</si>
  <si>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</si>
  <si>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</si>
  <si>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</si>
  <si>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</si>
  <si>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</si>
  <si>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</si>
  <si>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</si>
  <si>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</si>
  <si>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</si>
  <si>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</si>
  <si>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</si>
  <si>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</si>
  <si>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</si>
  <si>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</si>
  <si>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</si>
  <si>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</si>
  <si>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</si>
  <si>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</si>
  <si>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</si>
  <si>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</si>
  <si>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</si>
  <si>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</si>
  <si>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</si>
  <si>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</si>
  <si>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</si>
  <si>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</si>
  <si>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</si>
  <si>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</si>
  <si>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</si>
  <si>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</si>
  <si>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</si>
  <si>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комплекс стационарных камер охранного (технологического) видеонаблюдения ПС 220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</si>
  <si>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</si>
  <si>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</si>
  <si>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</si>
  <si>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</si>
  <si>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</si>
  <si>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(4,9)</t>
  </si>
  <si>
    <t>чел.-ч.</t>
  </si>
  <si>
    <t>Итого по разделу "Затраты труда рабочих-строителей"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</si>
  <si>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</si>
  <si>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</si>
  <si>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</si>
  <si>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</si>
  <si>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БЦ.54.14</t>
  </si>
  <si>
    <t>Стационарная камера видеонаблюдения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</si>
  <si>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</si>
  <si>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</si>
  <si>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</si>
  <si>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</si>
  <si>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</si>
  <si>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</si>
  <si>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</si>
  <si>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</si>
  <si>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</si>
  <si>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</si>
  <si>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</si>
  <si>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</si>
  <si>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</si>
  <si>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</si>
  <si>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</si>
  <si>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</si>
  <si>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</si>
  <si>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</si>
  <si>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</si>
  <si>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</si>
  <si>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</si>
  <si>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</si>
  <si>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</si>
  <si>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</si>
  <si>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</si>
  <si>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</si>
  <si>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</si>
  <si>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</si>
  <si>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З1-03</t>
  </si>
  <si>
    <t>УНЦ постоянной части ПС 220 кВ</t>
  </si>
  <si>
    <t>З1_ПС_стац.кам._220_кВ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</si>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</sst>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  <numFmt numFmtId="171" formatCode="0.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6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/>
    </xf>
    <xf numFmtId="0" fontId="19" fillId="0" borderId="1" xfId="0" applyFont="1" applyBorder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center"/>
    </xf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171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7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317500</xdr:colOff>
      <xdr:row>28</xdr:row>
      <xdr:rowOff>160110</xdr:rowOff>
    </xdr:from>
    <xdr:to>
      <xdr:col>2</xdr:col>
      <xdr:colOff>1262302</xdr:colOff>
      <xdr:row>31</xdr:row>
      <xdr:rowOff>76084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1EA3A5F-0931-41A9-81C4-70A79F525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6700" y="13914210"/>
          <a:ext cx="944802" cy="516049"/>
        </a:xfrm>
        <a:prstGeom prst="rect">
          <a:avLst/>
        </a:prstGeom>
      </xdr:spPr>
    </xdr:pic>
    <xdr:clientData/>
  </xdr:twoCellAnchor>
  <xdr:twoCellAnchor editAs="oneCell">
    <xdr:from>
      <xdr:col>2</xdr:col>
      <xdr:colOff>412751</xdr:colOff>
      <xdr:row>26</xdr:row>
      <xdr:rowOff>368300</xdr:rowOff>
    </xdr:from>
    <xdr:to>
      <xdr:col>2</xdr:col>
      <xdr:colOff>1250950</xdr:colOff>
      <xdr:row>28</xdr:row>
      <xdr:rowOff>139320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F689DD9-97E3-4F07-B498-2CDF7E1F4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1951" y="13446125"/>
          <a:ext cx="838199" cy="4472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564697</xdr:colOff>
      <xdr:row>18</xdr:row>
      <xdr:rowOff>120649</xdr:rowOff>
    </xdr:from>
    <xdr:to>
      <xdr:col>2</xdr:col>
      <xdr:colOff>1509499</xdr:colOff>
      <xdr:row>21</xdr:row>
      <xdr:rowOff>36623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0C01061-4350-494F-99DD-2E68C01FC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411" y="4760685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659948</xdr:colOff>
      <xdr:row>16</xdr:row>
      <xdr:rowOff>52614</xdr:rowOff>
    </xdr:from>
    <xdr:to>
      <xdr:col>2</xdr:col>
      <xdr:colOff>1498147</xdr:colOff>
      <xdr:row>18</xdr:row>
      <xdr:rowOff>99859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9693A8C-FD2C-445E-AE6D-7D0E22766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9662" y="4284435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24</xdr:row>
      <xdr:rowOff>100012</xdr:rowOff>
    </xdr:from>
    <xdr:to>
      <xdr:col>2</xdr:col>
      <xdr:colOff>1230552</xdr:colOff>
      <xdr:row>27</xdr:row>
      <xdr:rowOff>24150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C25D815-725B-49D2-90CB-2B0425464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315075"/>
          <a:ext cx="944802" cy="495638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381001</xdr:colOff>
      <xdr:row>22</xdr:row>
      <xdr:rowOff>23812</xdr:rowOff>
    </xdr:from>
    <xdr:to>
      <xdr:col>2</xdr:col>
      <xdr:colOff>1219200</xdr:colOff>
      <xdr:row>24</xdr:row>
      <xdr:rowOff>79222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7704A21-D86D-41D5-82E9-8C7C8B424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5857875"/>
          <a:ext cx="838199" cy="4364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28575</xdr:rowOff>
    </xdr:from>
    <xdr:to>
      <xdr:col>1</xdr:col>
      <xdr:colOff>1725852</xdr:colOff>
      <xdr:row>45</xdr:row>
      <xdr:rowOff>171788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E71E789-0ED3-4D5B-8032-CD84A5CFF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490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876301</xdr:colOff>
      <xdr:row>40</xdr:row>
      <xdr:rowOff>123825</xdr:rowOff>
    </xdr:from>
    <xdr:to>
      <xdr:col>1</xdr:col>
      <xdr:colOff>1714500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D02ADCA-E7B1-4118-ADEA-B1060E1D3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849406</xdr:colOff>
      <xdr:row>42</xdr:row>
      <xdr:rowOff>155762</xdr:rowOff>
    </xdr:from>
    <xdr:to>
      <xdr:col>2</xdr:col>
      <xdr:colOff>289258</xdr:colOff>
      <xdr:row>45</xdr:row>
      <xdr:rowOff>108475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A7D07C6-9F6B-4B51-9232-17B80DE5A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406" y="9985562"/>
          <a:ext cx="96385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944657</xdr:colOff>
      <xdr:row>40</xdr:row>
      <xdr:rowOff>60512</xdr:rowOff>
    </xdr:from>
    <xdr:to>
      <xdr:col>2</xdr:col>
      <xdr:colOff>277906</xdr:colOff>
      <xdr:row>42</xdr:row>
      <xdr:rowOff>134972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83F9B05-3646-4223-99BE-9DD702C46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5657" y="9509312"/>
          <a:ext cx="85724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17</xdr:row>
      <xdr:rowOff>104775</xdr:rowOff>
    </xdr:from>
    <xdr:to>
      <xdr:col>2</xdr:col>
      <xdr:colOff>287577</xdr:colOff>
      <xdr:row>20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0E050D1-B764-4620-BC1C-E7C0F044B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44005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609601</xdr:colOff>
      <xdr:row>15</xdr:row>
      <xdr:rowOff>9525</xdr:rowOff>
    </xdr:from>
    <xdr:to>
      <xdr:col>2</xdr:col>
      <xdr:colOff>276225</xdr:colOff>
      <xdr:row>17</xdr:row>
      <xdr:rowOff>83985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15503FD-0E56-49BC-8826-FD5AC9A24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1" y="392430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76200</xdr:rowOff>
    </xdr:from>
    <xdr:to>
      <xdr:col>1</xdr:col>
      <xdr:colOff>801927</xdr:colOff>
      <xdr:row>16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362A0B3-3F51-4B2F-8A4B-8048AD879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6385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800101</xdr:colOff>
      <xdr:row>10</xdr:row>
      <xdr:rowOff>781050</xdr:rowOff>
    </xdr:from>
    <xdr:to>
      <xdr:col>1</xdr:col>
      <xdr:colOff>790575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DCF4352-8891-488B-AAC3-9E90F29F1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1" y="316230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889000</xdr:colOff>
      <xdr:row>27</xdr:row>
      <xdr:rowOff>63500</xdr:rowOff>
    </xdr:from>
    <xdr:to>
      <xdr:col>1</xdr:col>
      <xdr:colOff>1833802</xdr:colOff>
      <xdr:row>30</xdr:row>
      <xdr:rowOff>16213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EC6FF54-694E-4AF5-9EC8-D2145496E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2250" y="93662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984251</xdr:colOff>
      <xdr:row>24</xdr:row>
      <xdr:rowOff>158750</xdr:rowOff>
    </xdr:from>
    <xdr:to>
      <xdr:col>1</xdr:col>
      <xdr:colOff>1822450</xdr:colOff>
      <xdr:row>27</xdr:row>
      <xdr:rowOff>42710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8BBE7A5-B99B-4F51-95AF-F2422F410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1" y="889000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99" t="s">
        <v>0</v>
      </c>
      <c r="B2" s="199"/>
      <c r="C2" s="199"/>
    </row>
    <row r="3" spans="1:3" x14ac:dyDescent="0.25">
      <c r="A3" s="1"/>
      <c r="B3" s="1"/>
      <c r="C3" s="1"/>
    </row>
    <row r="4" spans="1:3" x14ac:dyDescent="0.25">
      <c r="A4" s="200" t="s">
        <v>1</v>
      </c>
      <c r="B4" s="200"/>
      <c r="C4" s="200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201" t="s">
        <v>3</v>
      </c>
      <c r="C6" s="201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C14" sqref="C1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09"/>
      <c r="B1" s="109"/>
      <c r="C1" s="109"/>
      <c r="D1" s="109" t="s">
        <v>207</v>
      </c>
    </row>
    <row r="2" spans="1:4" ht="15.75" customHeight="1" x14ac:dyDescent="0.25">
      <c r="A2" s="109"/>
      <c r="B2" s="109"/>
      <c r="C2" s="109"/>
      <c r="D2" s="109"/>
    </row>
    <row r="3" spans="1:4" ht="15.75" customHeight="1" x14ac:dyDescent="0.25">
      <c r="A3" s="109"/>
      <c r="B3" s="134" t="s">
        <v>208</v>
      </c>
      <c r="C3" s="109"/>
      <c r="D3" s="109"/>
    </row>
    <row r="4" spans="1:4" ht="15.75" customHeight="1" x14ac:dyDescent="0.25">
      <c r="A4" s="109"/>
      <c r="B4" s="109"/>
      <c r="C4" s="109"/>
      <c r="D4" s="109"/>
    </row>
    <row r="5" spans="1:4" ht="47.25" customHeight="1" x14ac:dyDescent="0.25">
      <c r="A5" s="248" t="s">
        <v>209</v>
      </c>
      <c r="B5" s="248"/>
      <c r="C5" s="248"/>
      <c r="D5" s="194" t="str">
        <f>'Прил.5 Расчет СМР и ОБ'!D6:J6</f>
        <v>Постоянная часть ПС, комплекс стационарных камер охранного (технологического) видеонаблюдения ПС 220 кВ</v>
      </c>
    </row>
    <row r="6" spans="1:4" ht="15.75" customHeight="1" x14ac:dyDescent="0.25">
      <c r="A6" s="109" t="s">
        <v>49</v>
      </c>
      <c r="B6" s="109"/>
      <c r="C6" s="109"/>
      <c r="D6" s="109"/>
    </row>
    <row r="7" spans="1:4" ht="15.75" customHeight="1" x14ac:dyDescent="0.25">
      <c r="A7" s="109"/>
      <c r="B7" s="109"/>
      <c r="C7" s="109"/>
      <c r="D7" s="109"/>
    </row>
    <row r="8" spans="1:4" x14ac:dyDescent="0.25">
      <c r="A8" s="212" t="s">
        <v>5</v>
      </c>
      <c r="B8" s="212" t="s">
        <v>6</v>
      </c>
      <c r="C8" s="212" t="s">
        <v>210</v>
      </c>
      <c r="D8" s="212" t="s">
        <v>211</v>
      </c>
    </row>
    <row r="9" spans="1:4" x14ac:dyDescent="0.25">
      <c r="A9" s="212"/>
      <c r="B9" s="212"/>
      <c r="C9" s="212"/>
      <c r="D9" s="212"/>
    </row>
    <row r="10" spans="1:4" ht="15.75" customHeight="1" x14ac:dyDescent="0.25">
      <c r="A10" s="171">
        <v>1</v>
      </c>
      <c r="B10" s="171">
        <v>2</v>
      </c>
      <c r="C10" s="171">
        <v>3</v>
      </c>
      <c r="D10" s="171">
        <v>4</v>
      </c>
    </row>
    <row r="11" spans="1:4" ht="63" customHeight="1" x14ac:dyDescent="0.25">
      <c r="A11" s="195" t="s">
        <v>212</v>
      </c>
      <c r="B11" s="195" t="s">
        <v>213</v>
      </c>
      <c r="C11" s="196" t="s">
        <v>214</v>
      </c>
      <c r="D11" s="172">
        <f>'Прил.4 РМ'!C41/1000</f>
        <v>8658.377629999999</v>
      </c>
    </row>
    <row r="13" spans="1:4" x14ac:dyDescent="0.25">
      <c r="A13" s="4" t="s">
        <v>215</v>
      </c>
      <c r="B13" s="12"/>
      <c r="C13" s="12"/>
      <c r="D13" s="24"/>
    </row>
    <row r="14" spans="1:4" x14ac:dyDescent="0.25">
      <c r="A14" s="162" t="s">
        <v>76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77</v>
      </c>
      <c r="B16" s="12"/>
      <c r="C16" s="12"/>
      <c r="D16" s="24"/>
    </row>
    <row r="17" spans="1:4" x14ac:dyDescent="0.25">
      <c r="A17" s="162" t="s">
        <v>78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zoomScale="60" zoomScaleNormal="85" workbookViewId="0">
      <selection activeCell="D26" sqref="D26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06" t="s">
        <v>216</v>
      </c>
      <c r="C4" s="206"/>
      <c r="D4" s="206"/>
    </row>
    <row r="5" spans="2:5" ht="18.75" customHeight="1" x14ac:dyDescent="0.25">
      <c r="B5" s="165"/>
    </row>
    <row r="6" spans="2:5" ht="15.75" customHeight="1" x14ac:dyDescent="0.25">
      <c r="B6" s="207" t="s">
        <v>217</v>
      </c>
      <c r="C6" s="207"/>
      <c r="D6" s="207"/>
    </row>
    <row r="7" spans="2:5" x14ac:dyDescent="0.25">
      <c r="B7" s="249"/>
      <c r="C7" s="249"/>
      <c r="D7" s="249"/>
      <c r="E7" s="249"/>
    </row>
    <row r="8" spans="2:5" x14ac:dyDescent="0.25">
      <c r="B8" s="185"/>
      <c r="C8" s="185"/>
      <c r="D8" s="185"/>
      <c r="E8" s="185"/>
    </row>
    <row r="9" spans="2:5" ht="47.25" customHeight="1" x14ac:dyDescent="0.25">
      <c r="B9" s="171" t="s">
        <v>218</v>
      </c>
      <c r="C9" s="171" t="s">
        <v>219</v>
      </c>
      <c r="D9" s="171" t="s">
        <v>220</v>
      </c>
    </row>
    <row r="10" spans="2:5" ht="15.75" customHeight="1" x14ac:dyDescent="0.25">
      <c r="B10" s="171">
        <v>1</v>
      </c>
      <c r="C10" s="171">
        <v>2</v>
      </c>
      <c r="D10" s="171">
        <v>3</v>
      </c>
    </row>
    <row r="11" spans="2:5" ht="45" customHeight="1" x14ac:dyDescent="0.25">
      <c r="B11" s="171" t="s">
        <v>221</v>
      </c>
      <c r="C11" s="171" t="s">
        <v>222</v>
      </c>
      <c r="D11" s="171">
        <v>44.29</v>
      </c>
    </row>
    <row r="12" spans="2:5" ht="29.25" customHeight="1" x14ac:dyDescent="0.25">
      <c r="B12" s="171" t="s">
        <v>223</v>
      </c>
      <c r="C12" s="171" t="s">
        <v>222</v>
      </c>
      <c r="D12" s="171">
        <v>13.47</v>
      </c>
    </row>
    <row r="13" spans="2:5" ht="29.25" customHeight="1" x14ac:dyDescent="0.25">
      <c r="B13" s="171" t="s">
        <v>224</v>
      </c>
      <c r="C13" s="171" t="s">
        <v>222</v>
      </c>
      <c r="D13" s="171">
        <v>8.0399999999999991</v>
      </c>
    </row>
    <row r="14" spans="2:5" ht="30.75" customHeight="1" x14ac:dyDescent="0.25">
      <c r="B14" s="171" t="s">
        <v>225</v>
      </c>
      <c r="C14" s="113" t="s">
        <v>226</v>
      </c>
      <c r="D14" s="171">
        <v>6.26</v>
      </c>
    </row>
    <row r="15" spans="2:5" ht="89.25" customHeight="1" x14ac:dyDescent="0.25">
      <c r="B15" s="171" t="s">
        <v>227</v>
      </c>
      <c r="C15" s="171" t="s">
        <v>228</v>
      </c>
      <c r="D15" s="166">
        <v>3.9E-2</v>
      </c>
    </row>
    <row r="16" spans="2:5" ht="78.75" customHeight="1" x14ac:dyDescent="0.25">
      <c r="B16" s="171" t="s">
        <v>229</v>
      </c>
      <c r="C16" s="171" t="s">
        <v>230</v>
      </c>
      <c r="D16" s="166">
        <v>2.1000000000000001E-2</v>
      </c>
    </row>
    <row r="17" spans="2:4" ht="34.5" customHeight="1" x14ac:dyDescent="0.25">
      <c r="B17" s="171"/>
      <c r="C17" s="171"/>
      <c r="D17" s="171"/>
    </row>
    <row r="18" spans="2:4" ht="31.5" customHeight="1" x14ac:dyDescent="0.25">
      <c r="B18" s="171" t="s">
        <v>231</v>
      </c>
      <c r="C18" s="171" t="s">
        <v>232</v>
      </c>
      <c r="D18" s="166">
        <v>2.1399999999999999E-2</v>
      </c>
    </row>
    <row r="19" spans="2:4" ht="31.5" customHeight="1" x14ac:dyDescent="0.25">
      <c r="B19" s="171" t="s">
        <v>157</v>
      </c>
      <c r="C19" s="171" t="s">
        <v>233</v>
      </c>
      <c r="D19" s="166">
        <v>2E-3</v>
      </c>
    </row>
    <row r="20" spans="2:4" ht="24" customHeight="1" x14ac:dyDescent="0.25">
      <c r="B20" s="171" t="s">
        <v>159</v>
      </c>
      <c r="C20" s="171" t="s">
        <v>234</v>
      </c>
      <c r="D20" s="166">
        <v>0.03</v>
      </c>
    </row>
    <row r="21" spans="2:4" ht="18.75" customHeight="1" x14ac:dyDescent="0.25">
      <c r="B21" s="167"/>
    </row>
    <row r="22" spans="2:4" ht="18.75" customHeight="1" x14ac:dyDescent="0.25">
      <c r="B22" s="167"/>
    </row>
    <row r="23" spans="2:4" ht="18.75" customHeight="1" x14ac:dyDescent="0.25">
      <c r="B23" s="167"/>
    </row>
    <row r="24" spans="2:4" ht="18.75" customHeight="1" x14ac:dyDescent="0.25">
      <c r="B24" s="167"/>
    </row>
    <row r="27" spans="2:4" x14ac:dyDescent="0.25">
      <c r="B27" s="4" t="s">
        <v>235</v>
      </c>
      <c r="C27" s="12"/>
    </row>
    <row r="28" spans="2:4" x14ac:dyDescent="0.25">
      <c r="B28" s="162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199</v>
      </c>
      <c r="C30" s="12"/>
    </row>
    <row r="31" spans="2:4" x14ac:dyDescent="0.25">
      <c r="B31" s="162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D19" sqref="D19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07" t="s">
        <v>236</v>
      </c>
      <c r="B2" s="207"/>
      <c r="C2" s="207"/>
      <c r="D2" s="207"/>
      <c r="E2" s="207"/>
      <c r="F2" s="207"/>
    </row>
    <row r="4" spans="1:7" ht="18" customHeight="1" x14ac:dyDescent="0.25">
      <c r="A4" s="168" t="s">
        <v>237</v>
      </c>
      <c r="B4" s="109"/>
      <c r="C4" s="109"/>
      <c r="D4" s="109"/>
      <c r="E4" s="109"/>
      <c r="F4" s="109"/>
      <c r="G4" s="109"/>
    </row>
    <row r="5" spans="1:7" ht="15.75" customHeight="1" x14ac:dyDescent="0.25">
      <c r="A5" s="169" t="s">
        <v>13</v>
      </c>
      <c r="B5" s="169" t="s">
        <v>238</v>
      </c>
      <c r="C5" s="169" t="s">
        <v>239</v>
      </c>
      <c r="D5" s="169" t="s">
        <v>240</v>
      </c>
      <c r="E5" s="169" t="s">
        <v>241</v>
      </c>
      <c r="F5" s="169" t="s">
        <v>242</v>
      </c>
      <c r="G5" s="109"/>
    </row>
    <row r="6" spans="1:7" ht="15.75" customHeight="1" x14ac:dyDescent="0.25">
      <c r="A6" s="169">
        <v>1</v>
      </c>
      <c r="B6" s="169">
        <v>2</v>
      </c>
      <c r="C6" s="169">
        <v>3</v>
      </c>
      <c r="D6" s="169">
        <v>4</v>
      </c>
      <c r="E6" s="169">
        <v>5</v>
      </c>
      <c r="F6" s="169">
        <v>6</v>
      </c>
      <c r="G6" s="109"/>
    </row>
    <row r="7" spans="1:7" ht="110.25" customHeight="1" x14ac:dyDescent="0.25">
      <c r="A7" s="170" t="s">
        <v>243</v>
      </c>
      <c r="B7" s="112" t="s">
        <v>244</v>
      </c>
      <c r="C7" s="171" t="s">
        <v>245</v>
      </c>
      <c r="D7" s="171" t="s">
        <v>246</v>
      </c>
      <c r="E7" s="172">
        <v>47872.94</v>
      </c>
      <c r="F7" s="112" t="s">
        <v>247</v>
      </c>
      <c r="G7" s="109"/>
    </row>
    <row r="8" spans="1:7" ht="31.5" customHeight="1" x14ac:dyDescent="0.25">
      <c r="A8" s="170" t="s">
        <v>248</v>
      </c>
      <c r="B8" s="112" t="s">
        <v>249</v>
      </c>
      <c r="C8" s="171" t="s">
        <v>250</v>
      </c>
      <c r="D8" s="171" t="s">
        <v>251</v>
      </c>
      <c r="E8" s="172">
        <f>1973/12</f>
        <v>164.41666666667001</v>
      </c>
      <c r="F8" s="112" t="s">
        <v>252</v>
      </c>
      <c r="G8" s="173"/>
    </row>
    <row r="9" spans="1:7" ht="15.75" customHeight="1" x14ac:dyDescent="0.25">
      <c r="A9" s="170" t="s">
        <v>253</v>
      </c>
      <c r="B9" s="112" t="s">
        <v>254</v>
      </c>
      <c r="C9" s="171" t="s">
        <v>255</v>
      </c>
      <c r="D9" s="171" t="s">
        <v>246</v>
      </c>
      <c r="E9" s="172">
        <v>1</v>
      </c>
      <c r="F9" s="112"/>
      <c r="G9" s="173"/>
    </row>
    <row r="10" spans="1:7" ht="15.75" customHeight="1" x14ac:dyDescent="0.25">
      <c r="A10" s="170" t="s">
        <v>256</v>
      </c>
      <c r="B10" s="112" t="s">
        <v>257</v>
      </c>
      <c r="C10" s="171"/>
      <c r="D10" s="171"/>
      <c r="E10" s="174">
        <v>4.9000000000000004</v>
      </c>
      <c r="F10" s="112" t="s">
        <v>258</v>
      </c>
      <c r="G10" s="173"/>
    </row>
    <row r="11" spans="1:7" ht="78.75" customHeight="1" x14ac:dyDescent="0.25">
      <c r="A11" s="170" t="s">
        <v>259</v>
      </c>
      <c r="B11" s="112" t="s">
        <v>260</v>
      </c>
      <c r="C11" s="171" t="s">
        <v>261</v>
      </c>
      <c r="D11" s="171" t="s">
        <v>246</v>
      </c>
      <c r="E11" s="175">
        <v>1.522</v>
      </c>
      <c r="F11" s="112" t="s">
        <v>262</v>
      </c>
      <c r="G11" s="109"/>
    </row>
    <row r="12" spans="1:7" ht="78.75" customHeight="1" x14ac:dyDescent="0.25">
      <c r="A12" s="170" t="s">
        <v>263</v>
      </c>
      <c r="B12" s="111" t="s">
        <v>264</v>
      </c>
      <c r="C12" s="171" t="s">
        <v>265</v>
      </c>
      <c r="D12" s="171" t="s">
        <v>246</v>
      </c>
      <c r="E12" s="176">
        <v>1.139</v>
      </c>
      <c r="F12" s="177" t="s">
        <v>266</v>
      </c>
      <c r="G12" s="173"/>
    </row>
    <row r="13" spans="1:7" ht="63" customHeight="1" x14ac:dyDescent="0.25">
      <c r="A13" s="170" t="s">
        <v>267</v>
      </c>
      <c r="B13" s="128" t="s">
        <v>268</v>
      </c>
      <c r="C13" s="171" t="s">
        <v>269</v>
      </c>
      <c r="D13" s="171" t="s">
        <v>270</v>
      </c>
      <c r="E13" s="178">
        <f>((E7*E9/E8)*E11)*E12</f>
        <v>504.75733271476997</v>
      </c>
      <c r="F13" s="112" t="s">
        <v>271</v>
      </c>
      <c r="G13" s="109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50" t="s">
        <v>272</v>
      </c>
      <c r="B1" s="250"/>
      <c r="C1" s="250"/>
      <c r="D1" s="250"/>
      <c r="E1" s="250"/>
      <c r="F1" s="250"/>
      <c r="G1" s="250"/>
      <c r="H1" s="250"/>
      <c r="I1" s="250"/>
    </row>
    <row r="2" spans="1:13" s="27" customFormat="1" ht="13.5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202" t="e">
        <f>#REF!</f>
        <v>#REF!</v>
      </c>
      <c r="B3" s="202"/>
      <c r="C3" s="202"/>
      <c r="D3" s="202"/>
      <c r="E3" s="202"/>
      <c r="F3" s="202"/>
      <c r="G3" s="202"/>
      <c r="H3" s="202"/>
      <c r="I3" s="202"/>
    </row>
    <row r="4" spans="1:13" s="4" customFormat="1" ht="15.75" customHeight="1" x14ac:dyDescent="0.2">
      <c r="A4" s="251"/>
      <c r="B4" s="251"/>
      <c r="C4" s="251"/>
      <c r="D4" s="251"/>
      <c r="E4" s="251"/>
      <c r="F4" s="251"/>
      <c r="G4" s="251"/>
      <c r="H4" s="251"/>
      <c r="I4" s="251"/>
    </row>
    <row r="5" spans="1:13" s="29" customFormat="1" ht="36.6" customHeight="1" x14ac:dyDescent="0.35">
      <c r="A5" s="252" t="s">
        <v>13</v>
      </c>
      <c r="B5" s="252" t="s">
        <v>273</v>
      </c>
      <c r="C5" s="252" t="s">
        <v>274</v>
      </c>
      <c r="D5" s="252" t="s">
        <v>275</v>
      </c>
      <c r="E5" s="247" t="s">
        <v>276</v>
      </c>
      <c r="F5" s="247"/>
      <c r="G5" s="247"/>
      <c r="H5" s="247"/>
      <c r="I5" s="247"/>
    </row>
    <row r="6" spans="1:13" s="24" customFormat="1" ht="31.5" customHeight="1" x14ac:dyDescent="0.2">
      <c r="A6" s="252"/>
      <c r="B6" s="252"/>
      <c r="C6" s="252"/>
      <c r="D6" s="252"/>
      <c r="E6" s="30" t="s">
        <v>86</v>
      </c>
      <c r="F6" s="30" t="s">
        <v>87</v>
      </c>
      <c r="G6" s="30" t="s">
        <v>43</v>
      </c>
      <c r="H6" s="30" t="s">
        <v>277</v>
      </c>
      <c r="I6" s="30" t="s">
        <v>278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147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279</v>
      </c>
      <c r="C9" s="8" t="s">
        <v>280</v>
      </c>
      <c r="D9" s="104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281</v>
      </c>
      <c r="C11" s="8" t="s">
        <v>229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107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282</v>
      </c>
      <c r="C12" s="8" t="s">
        <v>283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284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232</v>
      </c>
      <c r="C14" s="8" t="s">
        <v>285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286</v>
      </c>
      <c r="C16" s="8" t="s">
        <v>287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288</v>
      </c>
    </row>
    <row r="17" spans="1:10" s="24" customFormat="1" ht="81.75" customHeight="1" x14ac:dyDescent="0.2">
      <c r="A17" s="31">
        <v>7</v>
      </c>
      <c r="B17" s="8" t="s">
        <v>286</v>
      </c>
      <c r="C17" s="8" t="s">
        <v>289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290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1">
        <v>9</v>
      </c>
      <c r="B20" s="8" t="s">
        <v>291</v>
      </c>
      <c r="C20" s="8" t="s">
        <v>159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7" customFormat="1" ht="13.15" customHeight="1" x14ac:dyDescent="0.2">
      <c r="A21" s="31">
        <v>10</v>
      </c>
      <c r="B21" s="8"/>
      <c r="C21" s="8" t="s">
        <v>292</v>
      </c>
      <c r="D21" s="40"/>
      <c r="E21" s="26"/>
      <c r="F21" s="26"/>
      <c r="G21" s="26"/>
      <c r="H21" s="26"/>
      <c r="I21" s="26">
        <f>I19+I20</f>
        <v>113.10148359861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293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294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295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296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57" t="s">
        <v>297</v>
      </c>
      <c r="O2" s="257"/>
    </row>
    <row r="3" spans="1:16" x14ac:dyDescent="0.25">
      <c r="A3" s="258" t="s">
        <v>298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</row>
    <row r="5" spans="1:16" ht="37.5" customHeight="1" x14ac:dyDescent="0.25">
      <c r="A5" s="259" t="s">
        <v>299</v>
      </c>
      <c r="B5" s="262" t="s">
        <v>300</v>
      </c>
      <c r="C5" s="265" t="s">
        <v>301</v>
      </c>
      <c r="D5" s="268" t="s">
        <v>302</v>
      </c>
      <c r="E5" s="269"/>
      <c r="F5" s="269"/>
      <c r="G5" s="269"/>
      <c r="H5" s="269"/>
      <c r="I5" s="268" t="s">
        <v>303</v>
      </c>
      <c r="J5" s="269"/>
      <c r="K5" s="269"/>
      <c r="L5" s="269"/>
      <c r="M5" s="269"/>
      <c r="N5" s="269"/>
      <c r="O5" s="47" t="s">
        <v>304</v>
      </c>
    </row>
    <row r="6" spans="1:16" s="50" customFormat="1" ht="150" customHeight="1" x14ac:dyDescent="0.25">
      <c r="A6" s="260"/>
      <c r="B6" s="263"/>
      <c r="C6" s="266"/>
      <c r="D6" s="265" t="s">
        <v>305</v>
      </c>
      <c r="E6" s="270" t="s">
        <v>306</v>
      </c>
      <c r="F6" s="271"/>
      <c r="G6" s="272"/>
      <c r="H6" s="48" t="s">
        <v>307</v>
      </c>
      <c r="I6" s="273" t="s">
        <v>308</v>
      </c>
      <c r="J6" s="273" t="s">
        <v>305</v>
      </c>
      <c r="K6" s="274" t="s">
        <v>306</v>
      </c>
      <c r="L6" s="274"/>
      <c r="M6" s="274"/>
      <c r="N6" s="48" t="s">
        <v>307</v>
      </c>
      <c r="O6" s="49" t="s">
        <v>309</v>
      </c>
    </row>
    <row r="7" spans="1:16" s="50" customFormat="1" ht="30.75" customHeight="1" x14ac:dyDescent="0.25">
      <c r="A7" s="261"/>
      <c r="B7" s="264"/>
      <c r="C7" s="267"/>
      <c r="D7" s="267"/>
      <c r="E7" s="47" t="s">
        <v>86</v>
      </c>
      <c r="F7" s="47" t="s">
        <v>87</v>
      </c>
      <c r="G7" s="47" t="s">
        <v>43</v>
      </c>
      <c r="H7" s="51" t="s">
        <v>310</v>
      </c>
      <c r="I7" s="273"/>
      <c r="J7" s="273"/>
      <c r="K7" s="47" t="s">
        <v>86</v>
      </c>
      <c r="L7" s="47" t="s">
        <v>87</v>
      </c>
      <c r="M7" s="47" t="s">
        <v>43</v>
      </c>
      <c r="N7" s="51" t="s">
        <v>310</v>
      </c>
      <c r="O7" s="47" t="s">
        <v>311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59" t="s">
        <v>312</v>
      </c>
      <c r="C9" s="53" t="s">
        <v>313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242.76169999999999</v>
      </c>
      <c r="G9" s="54">
        <v>0</v>
      </c>
      <c r="H9" s="54">
        <f>(713.49*0.8)/1000</f>
        <v>0.57079199999999997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1478.4187529999999</v>
      </c>
      <c r="M9" s="54">
        <f>G9*H24</f>
        <v>0</v>
      </c>
      <c r="N9" s="54">
        <f>H9*H25</f>
        <v>6.48990504</v>
      </c>
      <c r="O9" s="55">
        <f t="shared" ref="O9:O15" si="2">N9/(L9+M9)</f>
        <v>4.389761038157E-3</v>
      </c>
    </row>
    <row r="10" spans="1:16" s="50" customFormat="1" ht="54.75" customHeight="1" x14ac:dyDescent="0.25">
      <c r="A10" s="51">
        <v>2</v>
      </c>
      <c r="B10" s="261"/>
      <c r="C10" s="56" t="s">
        <v>314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1.2253798721652001E-3</v>
      </c>
      <c r="P10" s="57"/>
    </row>
    <row r="11" spans="1:16" s="50" customFormat="1" ht="24.6" customHeight="1" x14ac:dyDescent="0.25">
      <c r="A11" s="52">
        <v>3</v>
      </c>
      <c r="B11" s="259" t="s">
        <v>315</v>
      </c>
      <c r="C11" s="56" t="s">
        <v>316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129121.52159999999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154.48609999999999</v>
      </c>
      <c r="O11" s="55">
        <f t="shared" si="2"/>
        <v>4.1066716562919003E-3</v>
      </c>
    </row>
    <row r="12" spans="1:16" s="50" customFormat="1" ht="31.9" customHeight="1" x14ac:dyDescent="0.25">
      <c r="A12" s="51">
        <v>4</v>
      </c>
      <c r="B12" s="261"/>
      <c r="C12" s="56" t="s">
        <v>317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2.3140164284093001E-3</v>
      </c>
    </row>
    <row r="13" spans="1:16" s="50" customFormat="1" ht="60" customHeight="1" x14ac:dyDescent="0.25">
      <c r="A13" s="52">
        <v>5</v>
      </c>
      <c r="B13" s="259" t="s">
        <v>318</v>
      </c>
      <c r="C13" s="53" t="s">
        <v>319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267889.86339999997</v>
      </c>
      <c r="K13" s="54">
        <f>E13*L22</f>
        <v>79488.050399999993</v>
      </c>
      <c r="L13" s="54">
        <f>F13*L22</f>
        <v>167241.27900000001</v>
      </c>
      <c r="M13" s="54">
        <f>G13*L24</f>
        <v>21160.534</v>
      </c>
      <c r="N13" s="54">
        <f>H13*L25</f>
        <v>231.46549999999999</v>
      </c>
      <c r="O13" s="55">
        <f t="shared" si="2"/>
        <v>1.2285736337367E-3</v>
      </c>
    </row>
    <row r="14" spans="1:16" s="50" customFormat="1" ht="39.6" customHeight="1" x14ac:dyDescent="0.25">
      <c r="A14" s="51">
        <v>6</v>
      </c>
      <c r="B14" s="261"/>
      <c r="C14" s="56" t="s">
        <v>320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23240.095499999999</v>
      </c>
      <c r="N14" s="54">
        <f>H14*M25</f>
        <v>1423.7859000000001</v>
      </c>
      <c r="O14" s="55">
        <f t="shared" si="2"/>
        <v>5.6024083795152002E-3</v>
      </c>
    </row>
    <row r="15" spans="1:16" s="50" customFormat="1" ht="46.15" customHeight="1" x14ac:dyDescent="0.25">
      <c r="A15" s="52">
        <v>7</v>
      </c>
      <c r="B15" s="58" t="s">
        <v>321</v>
      </c>
      <c r="C15" s="56" t="s">
        <v>322</v>
      </c>
      <c r="D15" s="54">
        <f t="shared" si="0"/>
        <v>981651.63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201852.46119999999</v>
      </c>
      <c r="N15" s="54">
        <f>H15*N25</f>
        <v>1185.7186999999999</v>
      </c>
      <c r="O15" s="55">
        <f t="shared" si="2"/>
        <v>3.5280316227560002E-4</v>
      </c>
    </row>
    <row r="16" spans="1:16" s="50" customFormat="1" ht="24" customHeight="1" x14ac:dyDescent="0.25">
      <c r="A16" s="59"/>
      <c r="B16" s="59"/>
      <c r="C16" s="60" t="s">
        <v>323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2.7456591672216E-3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" customHeight="1" x14ac:dyDescent="0.25">
      <c r="C18" s="67" t="s">
        <v>324</v>
      </c>
    </row>
    <row r="19" spans="1:15" ht="30.75" customHeight="1" x14ac:dyDescent="0.25">
      <c r="L19" s="68"/>
    </row>
    <row r="20" spans="1:15" ht="15" customHeight="1" outlineLevel="1" x14ac:dyDescent="0.25">
      <c r="G20" s="256" t="s">
        <v>325</v>
      </c>
      <c r="H20" s="256"/>
      <c r="I20" s="256"/>
      <c r="J20" s="256"/>
      <c r="K20" s="256"/>
      <c r="L20" s="256"/>
      <c r="M20" s="256"/>
      <c r="N20" s="256"/>
    </row>
    <row r="21" spans="1:15" ht="15.75" customHeight="1" outlineLevel="1" x14ac:dyDescent="0.25">
      <c r="G21" s="69"/>
      <c r="H21" s="69" t="s">
        <v>326</v>
      </c>
      <c r="I21" s="69" t="s">
        <v>327</v>
      </c>
      <c r="J21" s="69" t="s">
        <v>328</v>
      </c>
      <c r="K21" s="70" t="s">
        <v>329</v>
      </c>
      <c r="L21" s="69" t="s">
        <v>330</v>
      </c>
      <c r="M21" s="69" t="s">
        <v>331</v>
      </c>
      <c r="N21" s="69" t="s">
        <v>332</v>
      </c>
      <c r="O21" s="63"/>
    </row>
    <row r="22" spans="1:15" ht="15.75" customHeight="1" outlineLevel="1" x14ac:dyDescent="0.25">
      <c r="G22" s="254" t="s">
        <v>333</v>
      </c>
      <c r="H22" s="253">
        <v>6.09</v>
      </c>
      <c r="I22" s="255">
        <v>6.44</v>
      </c>
      <c r="J22" s="253">
        <v>5.77</v>
      </c>
      <c r="K22" s="255">
        <v>5.77</v>
      </c>
      <c r="L22" s="253">
        <v>5.23</v>
      </c>
      <c r="M22" s="253">
        <v>5.77</v>
      </c>
      <c r="N22" s="71">
        <v>6.29</v>
      </c>
      <c r="O22" t="s">
        <v>334</v>
      </c>
    </row>
    <row r="23" spans="1:15" ht="15.75" customHeight="1" outlineLevel="1" x14ac:dyDescent="0.25">
      <c r="G23" s="254"/>
      <c r="H23" s="253"/>
      <c r="I23" s="255"/>
      <c r="J23" s="253"/>
      <c r="K23" s="255"/>
      <c r="L23" s="253"/>
      <c r="M23" s="253"/>
      <c r="N23" s="71">
        <v>6.56</v>
      </c>
      <c r="O23" t="s">
        <v>335</v>
      </c>
    </row>
    <row r="24" spans="1:15" ht="15.75" customHeight="1" outlineLevel="1" x14ac:dyDescent="0.25">
      <c r="G24" s="72" t="s">
        <v>336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310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5" customHeight="1" outlineLevel="1" x14ac:dyDescent="0.25">
      <c r="G26" s="72" t="s">
        <v>337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5" customHeight="1" outlineLevel="1" x14ac:dyDescent="0.25">
      <c r="G27" s="72" t="s">
        <v>338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277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75" t="s">
        <v>339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</row>
    <row r="4" spans="1:18" ht="36.75" customHeight="1" x14ac:dyDescent="0.25">
      <c r="A4" s="259" t="s">
        <v>299</v>
      </c>
      <c r="B4" s="262" t="s">
        <v>300</v>
      </c>
      <c r="C4" s="265" t="s">
        <v>340</v>
      </c>
      <c r="D4" s="265" t="s">
        <v>341</v>
      </c>
      <c r="E4" s="268" t="s">
        <v>342</v>
      </c>
      <c r="F4" s="269"/>
      <c r="G4" s="269"/>
      <c r="H4" s="269"/>
      <c r="I4" s="269"/>
      <c r="J4" s="269"/>
      <c r="K4" s="269"/>
      <c r="L4" s="269"/>
      <c r="M4" s="269"/>
      <c r="N4" s="276" t="s">
        <v>343</v>
      </c>
      <c r="O4" s="277"/>
      <c r="P4" s="277"/>
      <c r="Q4" s="277"/>
      <c r="R4" s="278"/>
    </row>
    <row r="5" spans="1:18" ht="60" customHeight="1" x14ac:dyDescent="0.25">
      <c r="A5" s="260"/>
      <c r="B5" s="263"/>
      <c r="C5" s="266"/>
      <c r="D5" s="266"/>
      <c r="E5" s="273" t="s">
        <v>344</v>
      </c>
      <c r="F5" s="273" t="s">
        <v>345</v>
      </c>
      <c r="G5" s="270" t="s">
        <v>306</v>
      </c>
      <c r="H5" s="271"/>
      <c r="I5" s="271"/>
      <c r="J5" s="272"/>
      <c r="K5" s="273" t="s">
        <v>346</v>
      </c>
      <c r="L5" s="273"/>
      <c r="M5" s="273"/>
      <c r="N5" s="74" t="s">
        <v>347</v>
      </c>
      <c r="O5" s="74" t="s">
        <v>348</v>
      </c>
      <c r="P5" s="74" t="s">
        <v>349</v>
      </c>
      <c r="Q5" s="75" t="s">
        <v>350</v>
      </c>
      <c r="R5" s="74" t="s">
        <v>351</v>
      </c>
    </row>
    <row r="6" spans="1:18" ht="49.5" customHeight="1" x14ac:dyDescent="0.25">
      <c r="A6" s="261"/>
      <c r="B6" s="264"/>
      <c r="C6" s="267"/>
      <c r="D6" s="267"/>
      <c r="E6" s="273"/>
      <c r="F6" s="273"/>
      <c r="G6" s="47" t="s">
        <v>86</v>
      </c>
      <c r="H6" s="47" t="s">
        <v>87</v>
      </c>
      <c r="I6" s="47" t="s">
        <v>43</v>
      </c>
      <c r="J6" s="47" t="s">
        <v>277</v>
      </c>
      <c r="K6" s="47" t="s">
        <v>347</v>
      </c>
      <c r="L6" s="47" t="s">
        <v>348</v>
      </c>
      <c r="M6" s="47" t="s">
        <v>349</v>
      </c>
      <c r="N6" s="47" t="s">
        <v>352</v>
      </c>
      <c r="O6" s="47" t="s">
        <v>353</v>
      </c>
      <c r="P6" s="47" t="s">
        <v>354</v>
      </c>
      <c r="Q6" s="48" t="s">
        <v>355</v>
      </c>
      <c r="R6" s="47" t="s">
        <v>356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59">
        <v>1</v>
      </c>
      <c r="B9" s="259" t="s">
        <v>357</v>
      </c>
      <c r="C9" s="279" t="s">
        <v>313</v>
      </c>
      <c r="D9" s="53" t="s">
        <v>358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1695.3600216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3.3863775806946002E-2</v>
      </c>
      <c r="O9" s="55">
        <f t="shared" ref="O9:O22" si="2">L9/(G9+H9)</f>
        <v>0</v>
      </c>
      <c r="P9" s="55">
        <f t="shared" ref="P9:P22" si="3">M9/(G9+H9)</f>
        <v>1.652318219292E-2</v>
      </c>
      <c r="Q9" s="77">
        <v>0</v>
      </c>
      <c r="R9" s="78">
        <f>N9+O9+P9+Q9</f>
        <v>5.0386957999864999E-2</v>
      </c>
    </row>
    <row r="10" spans="1:18" ht="72.599999999999994" hidden="1" customHeight="1" x14ac:dyDescent="0.25">
      <c r="A10" s="261"/>
      <c r="B10" s="260"/>
      <c r="C10" s="280"/>
      <c r="D10" s="53" t="s">
        <v>359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13.442130000000001</v>
      </c>
      <c r="N10" s="55">
        <f t="shared" si="1"/>
        <v>4.5248786595059001E-2</v>
      </c>
      <c r="O10" s="55">
        <f t="shared" si="2"/>
        <v>0</v>
      </c>
      <c r="P10" s="55">
        <f t="shared" si="3"/>
        <v>2.0328274718868E-2</v>
      </c>
      <c r="Q10" s="77">
        <v>0</v>
      </c>
      <c r="R10" s="78"/>
    </row>
    <row r="11" spans="1:18" ht="192.75" customHeight="1" x14ac:dyDescent="0.25">
      <c r="A11" s="259">
        <v>2</v>
      </c>
      <c r="B11" s="260"/>
      <c r="C11" s="279" t="s">
        <v>360</v>
      </c>
      <c r="D11" s="53" t="s">
        <v>358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246917.90760000001</v>
      </c>
      <c r="I11" s="54">
        <f>I12*F30</f>
        <v>174701.4558</v>
      </c>
      <c r="J11" s="54"/>
      <c r="K11" s="54">
        <f>K12*1.19*F33</f>
        <v>8486.4829769999997</v>
      </c>
      <c r="L11" s="54">
        <f>L12*1.19*F33</f>
        <v>11572.501646999999</v>
      </c>
      <c r="M11" s="54">
        <f>M12*1.266*F34</f>
        <v>3883.6190735999999</v>
      </c>
      <c r="N11" s="55">
        <f t="shared" si="1"/>
        <v>2.4476289311970999E-2</v>
      </c>
      <c r="O11" s="55">
        <f t="shared" si="2"/>
        <v>3.3376829853179003E-2</v>
      </c>
      <c r="P11" s="55">
        <f t="shared" si="3"/>
        <v>1.1200939692042E-2</v>
      </c>
      <c r="Q11" s="77">
        <v>0</v>
      </c>
      <c r="R11" s="78">
        <f>N11+O11+P11+Q11</f>
        <v>6.9054058857192999E-2</v>
      </c>
    </row>
    <row r="12" spans="1:18" ht="100.9" hidden="1" customHeight="1" x14ac:dyDescent="0.25">
      <c r="A12" s="261"/>
      <c r="B12" s="261"/>
      <c r="C12" s="280"/>
      <c r="D12" s="53" t="s">
        <v>359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3.5605195194586998E-2</v>
      </c>
      <c r="O12" s="55">
        <f t="shared" si="2"/>
        <v>4.8552643203058E-2</v>
      </c>
      <c r="P12" s="55">
        <f t="shared" si="3"/>
        <v>1.5002288893112999E-2</v>
      </c>
      <c r="Q12" s="77">
        <v>0</v>
      </c>
      <c r="R12" s="78"/>
    </row>
    <row r="13" spans="1:18" ht="49.15" customHeight="1" x14ac:dyDescent="0.25">
      <c r="A13" s="259">
        <v>3</v>
      </c>
      <c r="B13" s="259" t="s">
        <v>315</v>
      </c>
      <c r="C13" s="281" t="s">
        <v>316</v>
      </c>
      <c r="D13" s="53" t="s">
        <v>361</v>
      </c>
      <c r="E13" s="54">
        <v>170961.79</v>
      </c>
      <c r="F13" s="54">
        <f t="shared" si="0"/>
        <v>129121.52159999999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2500.7293079999999</v>
      </c>
      <c r="M13" s="54">
        <f>M14*1.266*G34</f>
        <v>200.53819799999999</v>
      </c>
      <c r="N13" s="55">
        <f t="shared" si="1"/>
        <v>1.5462031915832E-2</v>
      </c>
      <c r="O13" s="55">
        <f t="shared" si="2"/>
        <v>1.9367254017862E-2</v>
      </c>
      <c r="P13" s="55">
        <f t="shared" si="3"/>
        <v>1.5530966140659E-3</v>
      </c>
      <c r="Q13" s="77">
        <v>4.5614105389631997E-3</v>
      </c>
      <c r="R13" s="78">
        <f>N13+O13+P13+Q13</f>
        <v>4.0943793086723003E-2</v>
      </c>
    </row>
    <row r="14" spans="1:18" ht="57" hidden="1" customHeight="1" x14ac:dyDescent="0.25">
      <c r="A14" s="261"/>
      <c r="B14" s="260"/>
      <c r="C14" s="282"/>
      <c r="D14" s="53" t="s">
        <v>359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1.8789815748268001E-2</v>
      </c>
      <c r="O14" s="55">
        <f t="shared" si="2"/>
        <v>2.3535531198387E-2</v>
      </c>
      <c r="P14" s="55">
        <f t="shared" si="3"/>
        <v>1.7740574705247E-3</v>
      </c>
      <c r="Q14" s="77">
        <v>4.9753003421204997E-3</v>
      </c>
      <c r="R14" s="78"/>
    </row>
    <row r="15" spans="1:18" ht="67.900000000000006" customHeight="1" x14ac:dyDescent="0.25">
      <c r="A15" s="259">
        <v>4</v>
      </c>
      <c r="B15" s="260"/>
      <c r="C15" s="283" t="s">
        <v>317</v>
      </c>
      <c r="D15" s="56" t="s">
        <v>361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2.2525618000755001E-2</v>
      </c>
      <c r="O15" s="55">
        <f t="shared" si="2"/>
        <v>2.6866429814977E-2</v>
      </c>
      <c r="P15" s="55">
        <f t="shared" si="3"/>
        <v>6.9359333128888E-3</v>
      </c>
      <c r="Q15" s="77">
        <v>3.5515340532281999E-3</v>
      </c>
      <c r="R15" s="78">
        <f>N15+O15+P15+Q15</f>
        <v>5.9879515181849002E-2</v>
      </c>
    </row>
    <row r="16" spans="1:18" ht="67.900000000000006" hidden="1" customHeight="1" x14ac:dyDescent="0.25">
      <c r="A16" s="261"/>
      <c r="B16" s="261"/>
      <c r="C16" s="284"/>
      <c r="D16" s="56" t="s">
        <v>359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2.8517217139516E-2</v>
      </c>
      <c r="O16" s="55">
        <f t="shared" si="2"/>
        <v>3.4012611298874E-2</v>
      </c>
      <c r="P16" s="55">
        <f t="shared" si="3"/>
        <v>8.0848611548021993E-3</v>
      </c>
      <c r="Q16" s="77">
        <v>3.8737899135989E-3</v>
      </c>
      <c r="R16" s="78"/>
    </row>
    <row r="17" spans="1:18" ht="67.900000000000006" customHeight="1" x14ac:dyDescent="0.25">
      <c r="A17" s="259">
        <v>5</v>
      </c>
      <c r="B17" s="274" t="s">
        <v>318</v>
      </c>
      <c r="C17" s="279" t="s">
        <v>362</v>
      </c>
      <c r="D17" s="53" t="s">
        <v>363</v>
      </c>
      <c r="E17" s="54">
        <v>561932.85</v>
      </c>
      <c r="F17" s="54">
        <f>G17+H17+I17</f>
        <v>399667.21620000002</v>
      </c>
      <c r="G17" s="54">
        <f>G18*I28</f>
        <v>163785.296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1734.8322095999999</v>
      </c>
      <c r="N17" s="55">
        <f t="shared" si="1"/>
        <v>6.1677626090981999E-2</v>
      </c>
      <c r="O17" s="55">
        <f t="shared" si="2"/>
        <v>0</v>
      </c>
      <c r="P17" s="55">
        <f t="shared" si="3"/>
        <v>5.5684105147574998E-3</v>
      </c>
      <c r="Q17" s="77">
        <v>5.5643872525604002E-3</v>
      </c>
      <c r="R17" s="78">
        <f>N17+O17+P17+Q17</f>
        <v>7.2810423858299E-2</v>
      </c>
    </row>
    <row r="18" spans="1:18" ht="67.900000000000006" hidden="1" customHeight="1" x14ac:dyDescent="0.25">
      <c r="A18" s="261"/>
      <c r="B18" s="274"/>
      <c r="C18" s="280"/>
      <c r="D18" s="53" t="s">
        <v>359</v>
      </c>
      <c r="E18" s="54">
        <v>94393.09</v>
      </c>
      <c r="F18" s="54">
        <f>G18+H18+I18</f>
        <v>69651.210000000006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8.3321545724441004E-2</v>
      </c>
      <c r="O18" s="55">
        <f t="shared" si="2"/>
        <v>0</v>
      </c>
      <c r="P18" s="55">
        <f t="shared" si="3"/>
        <v>7.0000052993284996E-3</v>
      </c>
      <c r="Q18" s="77">
        <v>9.4728844648146997E-3</v>
      </c>
      <c r="R18" s="78"/>
    </row>
    <row r="19" spans="1:18" ht="67.900000000000006" customHeight="1" x14ac:dyDescent="0.25">
      <c r="A19" s="259">
        <v>6</v>
      </c>
      <c r="B19" s="274"/>
      <c r="C19" s="279" t="s">
        <v>320</v>
      </c>
      <c r="D19" s="56" t="s">
        <v>361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4.0112401119907999E-2</v>
      </c>
      <c r="O19" s="55">
        <f t="shared" si="2"/>
        <v>0</v>
      </c>
      <c r="P19" s="55">
        <f t="shared" si="3"/>
        <v>5.2015534168579998E-3</v>
      </c>
      <c r="Q19" s="77">
        <v>5.1286902198045999E-3</v>
      </c>
      <c r="R19" s="78">
        <f>N19+O19+P19+Q19</f>
        <v>5.0442644756571002E-2</v>
      </c>
    </row>
    <row r="20" spans="1:18" ht="67.900000000000006" hidden="1" customHeight="1" x14ac:dyDescent="0.25">
      <c r="A20" s="261"/>
      <c r="B20" s="274"/>
      <c r="C20" s="280"/>
      <c r="D20" s="56" t="s">
        <v>359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4.7553687712675E-2</v>
      </c>
      <c r="O20" s="55">
        <f t="shared" si="2"/>
        <v>0</v>
      </c>
      <c r="P20" s="55">
        <f t="shared" si="3"/>
        <v>5.6851131580381003E-3</v>
      </c>
      <c r="Q20" s="77">
        <v>5.5940533914911996E-3</v>
      </c>
      <c r="R20" s="78"/>
    </row>
    <row r="21" spans="1:18" ht="67.900000000000006" customHeight="1" x14ac:dyDescent="0.25">
      <c r="A21" s="259">
        <v>7</v>
      </c>
      <c r="B21" s="259" t="s">
        <v>321</v>
      </c>
      <c r="C21" s="279" t="s">
        <v>322</v>
      </c>
      <c r="D21" s="56" t="s">
        <v>364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201852.46119999999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</v>
      </c>
      <c r="N21" s="55">
        <f t="shared" si="1"/>
        <v>8.0473539343916007E-3</v>
      </c>
      <c r="O21" s="55">
        <f t="shared" si="2"/>
        <v>1.2071027027926E-2</v>
      </c>
      <c r="P21" s="55">
        <f t="shared" si="3"/>
        <v>1.8978730522309999E-3</v>
      </c>
      <c r="Q21" s="77">
        <v>5.9210415358545E-4</v>
      </c>
      <c r="R21" s="78">
        <f>N21+O21+P21+Q21</f>
        <v>2.2608358168133998E-2</v>
      </c>
    </row>
    <row r="22" spans="1:18" ht="67.900000000000006" hidden="1" customHeight="1" x14ac:dyDescent="0.25">
      <c r="A22" s="261"/>
      <c r="B22" s="261"/>
      <c r="C22" s="280"/>
      <c r="D22" s="79" t="s">
        <v>359</v>
      </c>
      <c r="E22" s="80">
        <v>2195184.4700000002</v>
      </c>
      <c r="F22" s="80">
        <f>G22+H22+I22+J22</f>
        <v>981651.63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1.1115444551008E-2</v>
      </c>
      <c r="O22" s="81">
        <f t="shared" si="2"/>
        <v>1.6673161475998E-2</v>
      </c>
      <c r="P22" s="81">
        <f t="shared" si="3"/>
        <v>2.4393737656901999E-3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365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2.9452156597254999E-2</v>
      </c>
      <c r="O23" s="62">
        <f>(O9+O11+O13+O15+O17+O19+O21)/7</f>
        <v>1.3097362959135E-2</v>
      </c>
      <c r="P23" s="62">
        <f>(P9+P11+P13+P15+P17+P19+P21)/7</f>
        <v>6.9829983993947003E-3</v>
      </c>
      <c r="Q23" s="62">
        <f>(Q9+Q11+Q13+Q15+Q17+Q19+Q21)/7</f>
        <v>2.7711608883059999E-3</v>
      </c>
      <c r="R23" s="62">
        <f>N23+O23+P23+Q23</f>
        <v>5.2303678844090998E-2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85" t="s">
        <v>366</v>
      </c>
      <c r="E26" s="285"/>
      <c r="F26" s="285"/>
      <c r="G26" s="285"/>
      <c r="H26" s="285"/>
      <c r="I26" s="285"/>
      <c r="J26" s="285"/>
      <c r="K26" s="285"/>
      <c r="L26" s="68"/>
      <c r="R26" s="86"/>
    </row>
    <row r="27" spans="1:18" outlineLevel="1" x14ac:dyDescent="0.25">
      <c r="D27" s="87"/>
      <c r="E27" s="87" t="s">
        <v>326</v>
      </c>
      <c r="F27" s="87" t="s">
        <v>327</v>
      </c>
      <c r="G27" s="87" t="s">
        <v>328</v>
      </c>
      <c r="H27" s="88" t="s">
        <v>329</v>
      </c>
      <c r="I27" s="88" t="s">
        <v>330</v>
      </c>
      <c r="J27" s="88" t="s">
        <v>331</v>
      </c>
      <c r="K27" s="59" t="s">
        <v>332</v>
      </c>
    </row>
    <row r="28" spans="1:18" outlineLevel="1" x14ac:dyDescent="0.25">
      <c r="D28" s="286" t="s">
        <v>333</v>
      </c>
      <c r="E28" s="288">
        <v>6.09</v>
      </c>
      <c r="F28" s="290">
        <v>6.63</v>
      </c>
      <c r="G28" s="288">
        <v>5.77</v>
      </c>
      <c r="H28" s="292">
        <v>5.77</v>
      </c>
      <c r="I28" s="292">
        <v>6.35</v>
      </c>
      <c r="J28" s="288">
        <v>5.77</v>
      </c>
      <c r="K28" s="89">
        <v>6.29</v>
      </c>
      <c r="L28" t="s">
        <v>334</v>
      </c>
    </row>
    <row r="29" spans="1:18" outlineLevel="1" x14ac:dyDescent="0.25">
      <c r="D29" s="287"/>
      <c r="E29" s="289"/>
      <c r="F29" s="291"/>
      <c r="G29" s="289"/>
      <c r="H29" s="293"/>
      <c r="I29" s="293"/>
      <c r="J29" s="289"/>
      <c r="K29" s="89">
        <v>6.56</v>
      </c>
      <c r="L29" t="s">
        <v>335</v>
      </c>
    </row>
    <row r="30" spans="1:18" outlineLevel="1" x14ac:dyDescent="0.25">
      <c r="D30" s="90" t="s">
        <v>336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86" t="s">
        <v>310</v>
      </c>
      <c r="E31" s="288">
        <v>11.37</v>
      </c>
      <c r="F31" s="290">
        <v>13.56</v>
      </c>
      <c r="G31" s="288">
        <v>15.91</v>
      </c>
      <c r="H31" s="292">
        <v>15.91</v>
      </c>
      <c r="I31" s="292">
        <v>14.03</v>
      </c>
      <c r="J31" s="288">
        <v>15.91</v>
      </c>
      <c r="K31" s="89">
        <v>8.2899999999999991</v>
      </c>
      <c r="L31" t="s">
        <v>334</v>
      </c>
    </row>
    <row r="32" spans="1:18" outlineLevel="1" x14ac:dyDescent="0.25">
      <c r="D32" s="287"/>
      <c r="E32" s="289"/>
      <c r="F32" s="291"/>
      <c r="G32" s="289"/>
      <c r="H32" s="293"/>
      <c r="I32" s="293"/>
      <c r="J32" s="289"/>
      <c r="K32" s="89">
        <v>11.84</v>
      </c>
      <c r="L32" t="s">
        <v>335</v>
      </c>
    </row>
    <row r="33" spans="4:12" ht="15" customHeight="1" outlineLevel="1" x14ac:dyDescent="0.25">
      <c r="D33" s="91" t="s">
        <v>337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367</v>
      </c>
    </row>
    <row r="34" spans="4:12" outlineLevel="1" x14ac:dyDescent="0.25">
      <c r="D34" s="91" t="s">
        <v>338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367</v>
      </c>
    </row>
    <row r="35" spans="4:12" outlineLevel="1" x14ac:dyDescent="0.25">
      <c r="D35" s="90" t="s">
        <v>277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99" t="s">
        <v>10</v>
      </c>
      <c r="B2" s="199"/>
      <c r="C2" s="199"/>
      <c r="D2" s="199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2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2"/>
    </row>
    <row r="5" spans="1:4" x14ac:dyDescent="0.25">
      <c r="A5" s="5"/>
      <c r="B5" s="1"/>
      <c r="C5" s="1"/>
    </row>
    <row r="6" spans="1:4" x14ac:dyDescent="0.25">
      <c r="A6" s="199" t="s">
        <v>12</v>
      </c>
      <c r="B6" s="199"/>
      <c r="C6" s="199"/>
      <c r="D6" s="199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3" t="s">
        <v>5</v>
      </c>
      <c r="B15" s="204" t="s">
        <v>15</v>
      </c>
      <c r="C15" s="204"/>
      <c r="D15" s="204"/>
    </row>
    <row r="16" spans="1:4" x14ac:dyDescent="0.25">
      <c r="A16" s="203"/>
      <c r="B16" s="203" t="s">
        <v>17</v>
      </c>
      <c r="C16" s="204" t="s">
        <v>28</v>
      </c>
      <c r="D16" s="204"/>
    </row>
    <row r="17" spans="1:4" ht="39" customHeight="1" x14ac:dyDescent="0.25">
      <c r="A17" s="203"/>
      <c r="B17" s="203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5" t="s">
        <v>29</v>
      </c>
      <c r="B2" s="205"/>
      <c r="C2" s="205"/>
      <c r="D2" s="205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18" zoomScaleNormal="55" zoomScaleSheetLayoutView="100" workbookViewId="0">
      <selection activeCell="D28" sqref="D28"/>
    </sheetView>
  </sheetViews>
  <sheetFormatPr defaultColWidth="9.140625" defaultRowHeight="15.75" x14ac:dyDescent="0.25"/>
  <cols>
    <col min="1" max="2" width="9.140625" style="109"/>
    <col min="3" max="3" width="36.85546875" style="109" customWidth="1"/>
    <col min="4" max="4" width="36.5703125" style="109" customWidth="1"/>
    <col min="5" max="5" width="17.5703125" style="109" customWidth="1"/>
    <col min="6" max="6" width="18.7109375" style="109" customWidth="1"/>
    <col min="7" max="7" width="9.140625" style="109"/>
  </cols>
  <sheetData>
    <row r="3" spans="2:4" x14ac:dyDescent="0.25">
      <c r="B3" s="206" t="s">
        <v>45</v>
      </c>
      <c r="C3" s="206"/>
      <c r="D3" s="206"/>
    </row>
    <row r="4" spans="2:4" x14ac:dyDescent="0.25">
      <c r="B4" s="207" t="s">
        <v>46</v>
      </c>
      <c r="C4" s="207"/>
      <c r="D4" s="207"/>
    </row>
    <row r="5" spans="2:4" x14ac:dyDescent="0.25">
      <c r="B5" s="110"/>
      <c r="C5" s="110"/>
      <c r="D5" s="110"/>
    </row>
    <row r="6" spans="2:4" x14ac:dyDescent="0.25">
      <c r="B6" s="110"/>
      <c r="C6" s="110"/>
      <c r="D6" s="110"/>
    </row>
    <row r="7" spans="2:4" ht="45.75" customHeight="1" x14ac:dyDescent="0.25">
      <c r="B7" s="208" t="s">
        <v>47</v>
      </c>
      <c r="C7" s="209"/>
      <c r="D7" s="209"/>
    </row>
    <row r="8" spans="2:4" ht="31.5" customHeight="1" x14ac:dyDescent="0.25">
      <c r="B8" s="209" t="s">
        <v>48</v>
      </c>
      <c r="C8" s="209"/>
      <c r="D8" s="209"/>
    </row>
    <row r="9" spans="2:4" x14ac:dyDescent="0.25">
      <c r="B9" s="209" t="s">
        <v>49</v>
      </c>
      <c r="C9" s="209"/>
      <c r="D9" s="209"/>
    </row>
    <row r="10" spans="2:4" x14ac:dyDescent="0.25">
      <c r="B10" s="179"/>
    </row>
    <row r="11" spans="2:4" x14ac:dyDescent="0.25">
      <c r="B11" s="171" t="s">
        <v>33</v>
      </c>
      <c r="C11" s="171" t="s">
        <v>50</v>
      </c>
      <c r="D11" s="111" t="s">
        <v>51</v>
      </c>
    </row>
    <row r="12" spans="2:4" ht="157.5" customHeight="1" x14ac:dyDescent="0.25">
      <c r="B12" s="171">
        <v>1</v>
      </c>
      <c r="C12" s="111" t="s">
        <v>52</v>
      </c>
      <c r="D12" s="195" t="s">
        <v>53</v>
      </c>
    </row>
    <row r="13" spans="2:4" ht="31.5" customHeight="1" x14ac:dyDescent="0.25">
      <c r="B13" s="171">
        <v>2</v>
      </c>
      <c r="C13" s="111" t="s">
        <v>54</v>
      </c>
      <c r="D13" s="195" t="s">
        <v>55</v>
      </c>
    </row>
    <row r="14" spans="2:4" x14ac:dyDescent="0.25">
      <c r="B14" s="171">
        <v>3</v>
      </c>
      <c r="C14" s="111" t="s">
        <v>56</v>
      </c>
      <c r="D14" s="195" t="s">
        <v>57</v>
      </c>
    </row>
    <row r="15" spans="2:4" x14ac:dyDescent="0.25">
      <c r="B15" s="171">
        <v>4</v>
      </c>
      <c r="C15" s="111" t="s">
        <v>58</v>
      </c>
      <c r="D15" s="195">
        <v>1</v>
      </c>
    </row>
    <row r="16" spans="2:4" ht="94.5" customHeight="1" x14ac:dyDescent="0.25">
      <c r="B16" s="171">
        <v>5</v>
      </c>
      <c r="C16" s="113" t="s">
        <v>59</v>
      </c>
      <c r="D16" s="111" t="s">
        <v>60</v>
      </c>
    </row>
    <row r="17" spans="2:6" ht="78.75" customHeight="1" x14ac:dyDescent="0.25">
      <c r="B17" s="171">
        <v>6</v>
      </c>
      <c r="C17" s="113" t="s">
        <v>61</v>
      </c>
      <c r="D17" s="114">
        <f>D18+D19</f>
        <v>6785.5902904000004</v>
      </c>
    </row>
    <row r="18" spans="2:6" x14ac:dyDescent="0.25">
      <c r="B18" s="115" t="s">
        <v>62</v>
      </c>
      <c r="C18" s="111" t="s">
        <v>63</v>
      </c>
      <c r="D18" s="114">
        <f>'Прил.2 Расч стоим'!F14</f>
        <v>94.191617199999996</v>
      </c>
    </row>
    <row r="19" spans="2:6" ht="15.75" customHeight="1" x14ac:dyDescent="0.25">
      <c r="B19" s="115" t="s">
        <v>64</v>
      </c>
      <c r="C19" s="111" t="s">
        <v>65</v>
      </c>
      <c r="D19" s="114">
        <f>'Прил.2 Расч стоим'!H14</f>
        <v>6691.3986732000003</v>
      </c>
    </row>
    <row r="20" spans="2:6" ht="16.5" customHeight="1" x14ac:dyDescent="0.25">
      <c r="B20" s="115" t="s">
        <v>66</v>
      </c>
      <c r="C20" s="111" t="s">
        <v>67</v>
      </c>
      <c r="D20" s="114"/>
      <c r="F20" s="116"/>
    </row>
    <row r="21" spans="2:6" ht="35.25" customHeight="1" x14ac:dyDescent="0.25">
      <c r="B21" s="115" t="s">
        <v>68</v>
      </c>
      <c r="C21" s="117" t="s">
        <v>69</v>
      </c>
      <c r="D21" s="114"/>
    </row>
    <row r="22" spans="2:6" x14ac:dyDescent="0.25">
      <c r="B22" s="171">
        <v>7</v>
      </c>
      <c r="C22" s="117" t="s">
        <v>70</v>
      </c>
      <c r="D22" s="171" t="s">
        <v>71</v>
      </c>
    </row>
    <row r="23" spans="2:6" ht="123" customHeight="1" x14ac:dyDescent="0.25">
      <c r="B23" s="171">
        <v>8</v>
      </c>
      <c r="C23" s="118" t="s">
        <v>72</v>
      </c>
      <c r="D23" s="114">
        <f>D17</f>
        <v>6785.5902904000004</v>
      </c>
    </row>
    <row r="24" spans="2:6" ht="60.75" customHeight="1" x14ac:dyDescent="0.25">
      <c r="B24" s="171">
        <v>9</v>
      </c>
      <c r="C24" s="113" t="s">
        <v>73</v>
      </c>
      <c r="D24" s="114">
        <f>D17/D15</f>
        <v>6785.5902904000004</v>
      </c>
    </row>
    <row r="25" spans="2:6" ht="118.5" customHeight="1" x14ac:dyDescent="0.25">
      <c r="B25" s="171">
        <v>10</v>
      </c>
      <c r="C25" s="111" t="s">
        <v>74</v>
      </c>
      <c r="D25" s="111"/>
    </row>
    <row r="26" spans="2:6" x14ac:dyDescent="0.25">
      <c r="B26" s="119"/>
      <c r="C26" s="120"/>
      <c r="D26" s="120"/>
    </row>
    <row r="27" spans="2:6" ht="37.5" customHeight="1" x14ac:dyDescent="0.25">
      <c r="B27" s="121"/>
    </row>
    <row r="28" spans="2:6" x14ac:dyDescent="0.25">
      <c r="B28" s="109" t="s">
        <v>75</v>
      </c>
    </row>
    <row r="29" spans="2:6" x14ac:dyDescent="0.25">
      <c r="B29" s="121" t="s">
        <v>76</v>
      </c>
    </row>
    <row r="31" spans="2:6" x14ac:dyDescent="0.25">
      <c r="B31" s="109" t="s">
        <v>77</v>
      </c>
    </row>
    <row r="32" spans="2:6" x14ac:dyDescent="0.25">
      <c r="B32" s="121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2"/>
  <sheetViews>
    <sheetView view="pageBreakPreview" zoomScale="70" zoomScaleNormal="70" workbookViewId="0">
      <selection activeCell="F19" sqref="F19"/>
    </sheetView>
  </sheetViews>
  <sheetFormatPr defaultColWidth="9.140625" defaultRowHeight="15.75" x14ac:dyDescent="0.25"/>
  <cols>
    <col min="1" max="1" width="5.5703125" style="109" customWidth="1"/>
    <col min="2" max="2" width="9.140625" style="109"/>
    <col min="3" max="3" width="35.28515625" style="109" customWidth="1"/>
    <col min="4" max="4" width="13.85546875" style="109" customWidth="1"/>
    <col min="5" max="5" width="24.85546875" style="109" customWidth="1"/>
    <col min="6" max="6" width="15.5703125" style="109" customWidth="1"/>
    <col min="7" max="7" width="14.85546875" style="109" customWidth="1"/>
    <col min="8" max="8" width="16.7109375" style="109" customWidth="1"/>
    <col min="9" max="10" width="13" style="109" customWidth="1"/>
    <col min="11" max="11" width="18" style="109" customWidth="1"/>
    <col min="12" max="12" width="9.140625" style="109"/>
  </cols>
  <sheetData>
    <row r="3" spans="2:12" x14ac:dyDescent="0.25">
      <c r="B3" s="206" t="s">
        <v>79</v>
      </c>
      <c r="C3" s="206"/>
      <c r="D3" s="206"/>
      <c r="E3" s="206"/>
      <c r="F3" s="206"/>
      <c r="G3" s="206"/>
      <c r="H3" s="206"/>
      <c r="I3" s="206"/>
      <c r="J3" s="206"/>
      <c r="K3" s="121"/>
    </row>
    <row r="4" spans="2:12" x14ac:dyDescent="0.25">
      <c r="B4" s="207" t="s">
        <v>80</v>
      </c>
      <c r="C4" s="207"/>
      <c r="D4" s="207"/>
      <c r="E4" s="207"/>
      <c r="F4" s="207"/>
      <c r="G4" s="207"/>
      <c r="H4" s="207"/>
      <c r="I4" s="207"/>
      <c r="J4" s="207"/>
      <c r="K4" s="207"/>
    </row>
    <row r="5" spans="2:12" x14ac:dyDescent="0.25">
      <c r="B5" s="110"/>
      <c r="C5" s="110"/>
      <c r="D5" s="110"/>
      <c r="E5" s="110"/>
      <c r="F5" s="110"/>
      <c r="G5" s="110"/>
      <c r="H5" s="110"/>
      <c r="I5" s="110"/>
      <c r="J5" s="110"/>
      <c r="K5" s="110"/>
    </row>
    <row r="6" spans="2:12" ht="33" customHeight="1" x14ac:dyDescent="0.25">
      <c r="B6" s="211" t="s">
        <v>81</v>
      </c>
      <c r="C6" s="211"/>
      <c r="D6" s="211"/>
      <c r="E6" s="211"/>
      <c r="F6" s="211"/>
      <c r="G6" s="211"/>
      <c r="H6" s="211"/>
      <c r="I6" s="211"/>
      <c r="J6" s="211"/>
      <c r="K6" s="121"/>
      <c r="L6" s="122"/>
    </row>
    <row r="7" spans="2:12" x14ac:dyDescent="0.25">
      <c r="B7" s="209" t="s">
        <v>49</v>
      </c>
      <c r="C7" s="209"/>
      <c r="D7" s="209"/>
      <c r="E7" s="209"/>
      <c r="F7" s="209"/>
      <c r="G7" s="209"/>
      <c r="H7" s="209"/>
      <c r="I7" s="209"/>
      <c r="J7" s="209"/>
      <c r="K7" s="209"/>
      <c r="L7" s="122"/>
    </row>
    <row r="8" spans="2:12" x14ac:dyDescent="0.25">
      <c r="B8" s="179"/>
    </row>
    <row r="9" spans="2:12" ht="15.75" customHeight="1" x14ac:dyDescent="0.25">
      <c r="B9" s="212" t="s">
        <v>33</v>
      </c>
      <c r="C9" s="212" t="s">
        <v>82</v>
      </c>
      <c r="D9" s="212" t="s">
        <v>51</v>
      </c>
      <c r="E9" s="212"/>
      <c r="F9" s="212"/>
      <c r="G9" s="212"/>
      <c r="H9" s="212"/>
      <c r="I9" s="212"/>
      <c r="J9" s="212"/>
    </row>
    <row r="10" spans="2:12" ht="15.75" customHeight="1" x14ac:dyDescent="0.25">
      <c r="B10" s="212"/>
      <c r="C10" s="212"/>
      <c r="D10" s="212" t="s">
        <v>83</v>
      </c>
      <c r="E10" s="212" t="s">
        <v>84</v>
      </c>
      <c r="F10" s="212" t="s">
        <v>85</v>
      </c>
      <c r="G10" s="212"/>
      <c r="H10" s="212"/>
      <c r="I10" s="212"/>
      <c r="J10" s="212"/>
    </row>
    <row r="11" spans="2:12" ht="31.5" customHeight="1" x14ac:dyDescent="0.25">
      <c r="B11" s="212"/>
      <c r="C11" s="212"/>
      <c r="D11" s="212"/>
      <c r="E11" s="212"/>
      <c r="F11" s="171" t="s">
        <v>86</v>
      </c>
      <c r="G11" s="171" t="s">
        <v>87</v>
      </c>
      <c r="H11" s="171" t="s">
        <v>43</v>
      </c>
      <c r="I11" s="171" t="s">
        <v>88</v>
      </c>
      <c r="J11" s="171" t="s">
        <v>89</v>
      </c>
    </row>
    <row r="12" spans="2:12" ht="47.25" customHeight="1" x14ac:dyDescent="0.25">
      <c r="B12" s="180"/>
      <c r="C12" s="132" t="s">
        <v>90</v>
      </c>
      <c r="D12" s="123"/>
      <c r="E12" s="112"/>
      <c r="F12" s="213">
        <v>94.191617199999996</v>
      </c>
      <c r="G12" s="214"/>
      <c r="H12" s="124">
        <v>6691.3986732000003</v>
      </c>
      <c r="I12" s="125"/>
      <c r="J12" s="126">
        <v>6785.5902904000004</v>
      </c>
    </row>
    <row r="13" spans="2:12" ht="15.75" customHeight="1" x14ac:dyDescent="0.25">
      <c r="B13" s="210" t="s">
        <v>91</v>
      </c>
      <c r="C13" s="210"/>
      <c r="D13" s="210"/>
      <c r="E13" s="210"/>
      <c r="F13" s="127"/>
      <c r="G13" s="127"/>
      <c r="H13" s="127"/>
      <c r="I13" s="128"/>
      <c r="J13" s="129"/>
    </row>
    <row r="14" spans="2:12" ht="28.5" customHeight="1" x14ac:dyDescent="0.25">
      <c r="B14" s="210" t="s">
        <v>92</v>
      </c>
      <c r="C14" s="210"/>
      <c r="D14" s="210"/>
      <c r="E14" s="210"/>
      <c r="F14" s="215">
        <f>F12</f>
        <v>94.191617199999996</v>
      </c>
      <c r="G14" s="216"/>
      <c r="H14" s="127">
        <f>H12</f>
        <v>6691.3986732000003</v>
      </c>
      <c r="I14" s="128"/>
      <c r="J14" s="129">
        <f>J12</f>
        <v>6785.5902904000004</v>
      </c>
    </row>
    <row r="15" spans="2:12" x14ac:dyDescent="0.25">
      <c r="B15" s="179"/>
    </row>
    <row r="18" spans="2:2" x14ac:dyDescent="0.25">
      <c r="B18" s="109" t="s">
        <v>75</v>
      </c>
    </row>
    <row r="19" spans="2:2" x14ac:dyDescent="0.25">
      <c r="B19" s="121" t="s">
        <v>76</v>
      </c>
    </row>
    <row r="21" spans="2:2" x14ac:dyDescent="0.25">
      <c r="B21" s="109" t="s">
        <v>77</v>
      </c>
    </row>
    <row r="22" spans="2:2" x14ac:dyDescent="0.25">
      <c r="B22" s="121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M28"/>
  <sheetViews>
    <sheetView view="pageBreakPreview" zoomScale="85" zoomScaleSheetLayoutView="85" workbookViewId="0">
      <selection activeCell="E25" sqref="E25"/>
    </sheetView>
  </sheetViews>
  <sheetFormatPr defaultColWidth="9.140625" defaultRowHeight="15.75" x14ac:dyDescent="0.25"/>
  <cols>
    <col min="1" max="1" width="9.140625" style="109"/>
    <col min="2" max="2" width="12.5703125" style="109" customWidth="1"/>
    <col min="3" max="3" width="22.42578125" style="109" customWidth="1"/>
    <col min="4" max="4" width="49.7109375" style="109" customWidth="1"/>
    <col min="5" max="5" width="10.140625" style="130" customWidth="1"/>
    <col min="6" max="6" width="20.7109375" style="109" customWidth="1"/>
    <col min="7" max="7" width="16.140625" style="109" customWidth="1"/>
    <col min="8" max="8" width="16.7109375" style="109" customWidth="1"/>
    <col min="9" max="9" width="9.140625" style="109"/>
    <col min="10" max="10" width="10.28515625" style="109" customWidth="1"/>
    <col min="11" max="11" width="9.140625" style="109"/>
  </cols>
  <sheetData>
    <row r="4" spans="1:13" x14ac:dyDescent="0.25">
      <c r="A4" s="206" t="s">
        <v>93</v>
      </c>
      <c r="B4" s="206"/>
      <c r="C4" s="206"/>
      <c r="D4" s="206"/>
      <c r="E4" s="206"/>
      <c r="F4" s="206"/>
      <c r="G4" s="206"/>
      <c r="H4" s="206"/>
    </row>
    <row r="5" spans="1:13" x14ac:dyDescent="0.25">
      <c r="A5" s="207" t="s">
        <v>94</v>
      </c>
      <c r="B5" s="207"/>
      <c r="C5" s="207"/>
      <c r="D5" s="207"/>
      <c r="E5" s="207"/>
      <c r="F5" s="207"/>
      <c r="G5" s="207"/>
      <c r="H5" s="207"/>
    </row>
    <row r="6" spans="1:13" x14ac:dyDescent="0.25">
      <c r="A6" s="179"/>
    </row>
    <row r="7" spans="1:13" ht="30.75" customHeight="1" x14ac:dyDescent="0.25">
      <c r="A7" s="211" t="s">
        <v>95</v>
      </c>
      <c r="B7" s="211"/>
      <c r="C7" s="211"/>
      <c r="D7" s="211"/>
      <c r="E7" s="211"/>
      <c r="F7" s="211"/>
      <c r="G7" s="211"/>
      <c r="H7" s="211"/>
    </row>
    <row r="8" spans="1:13" x14ac:dyDescent="0.25">
      <c r="A8" s="131"/>
      <c r="B8" s="131"/>
      <c r="C8" s="131"/>
      <c r="D8" s="131"/>
      <c r="E8" s="110"/>
      <c r="F8" s="131"/>
      <c r="G8" s="131"/>
      <c r="H8" s="131"/>
    </row>
    <row r="9" spans="1:13" ht="38.25" customHeight="1" x14ac:dyDescent="0.25">
      <c r="A9" s="212" t="s">
        <v>96</v>
      </c>
      <c r="B9" s="212" t="s">
        <v>97</v>
      </c>
      <c r="C9" s="212" t="s">
        <v>98</v>
      </c>
      <c r="D9" s="212" t="s">
        <v>99</v>
      </c>
      <c r="E9" s="212" t="s">
        <v>100</v>
      </c>
      <c r="F9" s="212" t="s">
        <v>101</v>
      </c>
      <c r="G9" s="212" t="s">
        <v>102</v>
      </c>
      <c r="H9" s="212"/>
    </row>
    <row r="10" spans="1:13" ht="40.5" customHeight="1" x14ac:dyDescent="0.25">
      <c r="A10" s="212"/>
      <c r="B10" s="212"/>
      <c r="C10" s="212"/>
      <c r="D10" s="212"/>
      <c r="E10" s="212"/>
      <c r="F10" s="212"/>
      <c r="G10" s="171" t="s">
        <v>103</v>
      </c>
      <c r="H10" s="171" t="s">
        <v>104</v>
      </c>
    </row>
    <row r="11" spans="1:13" x14ac:dyDescent="0.25">
      <c r="A11" s="132">
        <v>1</v>
      </c>
      <c r="B11" s="132"/>
      <c r="C11" s="132">
        <v>2</v>
      </c>
      <c r="D11" s="132" t="s">
        <v>105</v>
      </c>
      <c r="E11" s="132">
        <v>4</v>
      </c>
      <c r="F11" s="132">
        <v>5</v>
      </c>
      <c r="G11" s="132">
        <v>6</v>
      </c>
      <c r="H11" s="132">
        <v>7</v>
      </c>
    </row>
    <row r="12" spans="1:13" s="134" customFormat="1" x14ac:dyDescent="0.25">
      <c r="A12" s="217" t="s">
        <v>106</v>
      </c>
      <c r="B12" s="218"/>
      <c r="C12" s="219"/>
      <c r="D12" s="219"/>
      <c r="E12" s="218"/>
      <c r="F12" s="133">
        <f>SUM(F13:F13)</f>
        <v>93.435467804721995</v>
      </c>
      <c r="G12" s="133"/>
      <c r="H12" s="133">
        <f>SUM(H13:H13)</f>
        <v>1022.18</v>
      </c>
      <c r="I12" s="109"/>
      <c r="J12" s="109"/>
      <c r="K12" s="109"/>
      <c r="L12" s="109"/>
      <c r="M12" s="109"/>
    </row>
    <row r="13" spans="1:13" x14ac:dyDescent="0.25">
      <c r="A13" s="135">
        <v>1</v>
      </c>
      <c r="B13" s="136" t="s">
        <v>107</v>
      </c>
      <c r="C13" s="137" t="s">
        <v>108</v>
      </c>
      <c r="D13" s="138" t="s">
        <v>109</v>
      </c>
      <c r="E13" s="139" t="s">
        <v>110</v>
      </c>
      <c r="F13" s="135">
        <v>93.435467804721995</v>
      </c>
      <c r="G13" s="140">
        <v>10.94</v>
      </c>
      <c r="H13" s="140">
        <f>ROUND(F13*G13,2)</f>
        <v>1022.18</v>
      </c>
    </row>
    <row r="14" spans="1:13" x14ac:dyDescent="0.25">
      <c r="A14" s="217" t="s">
        <v>111</v>
      </c>
      <c r="B14" s="218"/>
      <c r="C14" s="219"/>
      <c r="D14" s="219"/>
      <c r="E14" s="218"/>
      <c r="F14" s="188"/>
      <c r="G14" s="133"/>
      <c r="H14" s="133">
        <v>0</v>
      </c>
    </row>
    <row r="15" spans="1:13" s="134" customFormat="1" x14ac:dyDescent="0.25">
      <c r="A15" s="217" t="s">
        <v>112</v>
      </c>
      <c r="B15" s="218"/>
      <c r="C15" s="219"/>
      <c r="D15" s="219"/>
      <c r="E15" s="218"/>
      <c r="F15" s="188"/>
      <c r="G15" s="133"/>
      <c r="H15" s="133">
        <v>0</v>
      </c>
      <c r="I15" s="109"/>
      <c r="J15" s="109"/>
      <c r="K15" s="109"/>
      <c r="L15" s="109"/>
      <c r="M15" s="109"/>
    </row>
    <row r="16" spans="1:13" x14ac:dyDescent="0.25">
      <c r="A16" s="217" t="s">
        <v>43</v>
      </c>
      <c r="B16" s="218"/>
      <c r="C16" s="219"/>
      <c r="D16" s="219"/>
      <c r="E16" s="218"/>
      <c r="F16" s="188"/>
      <c r="G16" s="133"/>
      <c r="H16" s="133">
        <f>SUM(H17:H18)</f>
        <v>1203488.97</v>
      </c>
    </row>
    <row r="17" spans="1:13" s="134" customFormat="1" ht="47.25" customHeight="1" x14ac:dyDescent="0.25">
      <c r="A17" s="135">
        <v>2</v>
      </c>
      <c r="B17" s="135" t="s">
        <v>107</v>
      </c>
      <c r="C17" s="138" t="s">
        <v>113</v>
      </c>
      <c r="D17" s="138" t="s">
        <v>114</v>
      </c>
      <c r="E17" s="139" t="s">
        <v>115</v>
      </c>
      <c r="F17" s="135">
        <v>35</v>
      </c>
      <c r="G17" s="140">
        <v>34095.85</v>
      </c>
      <c r="H17" s="140">
        <f>ROUND(F17*G17,2)</f>
        <v>1193354.75</v>
      </c>
      <c r="I17" s="109"/>
      <c r="J17" s="109"/>
      <c r="K17" s="109"/>
      <c r="L17" s="109"/>
      <c r="M17" s="109"/>
    </row>
    <row r="18" spans="1:13" s="134" customFormat="1" x14ac:dyDescent="0.25">
      <c r="A18" s="135">
        <v>3</v>
      </c>
      <c r="B18" s="135" t="s">
        <v>107</v>
      </c>
      <c r="C18" s="138" t="s">
        <v>116</v>
      </c>
      <c r="D18" s="138" t="s">
        <v>117</v>
      </c>
      <c r="E18" s="139" t="s">
        <v>118</v>
      </c>
      <c r="F18" s="135">
        <v>1.0000709177167999</v>
      </c>
      <c r="G18" s="140">
        <v>10133.5</v>
      </c>
      <c r="H18" s="140">
        <f>ROUND(F18*G18,2)</f>
        <v>10134.219999999999</v>
      </c>
      <c r="I18" s="109"/>
      <c r="J18" s="109"/>
      <c r="K18" s="109"/>
      <c r="L18" s="109"/>
      <c r="M18" s="109"/>
    </row>
    <row r="19" spans="1:13" x14ac:dyDescent="0.25">
      <c r="A19" s="217" t="s">
        <v>119</v>
      </c>
      <c r="B19" s="218"/>
      <c r="C19" s="219"/>
      <c r="D19" s="219"/>
      <c r="E19" s="218"/>
      <c r="F19" s="188"/>
      <c r="G19" s="133"/>
      <c r="H19" s="133">
        <f>SUM(H20:H21)</f>
        <v>9892.26</v>
      </c>
    </row>
    <row r="20" spans="1:13" ht="31.5" customHeight="1" x14ac:dyDescent="0.25">
      <c r="A20" s="135">
        <v>4</v>
      </c>
      <c r="B20" s="135" t="s">
        <v>107</v>
      </c>
      <c r="C20" s="138" t="s">
        <v>120</v>
      </c>
      <c r="D20" s="138" t="s">
        <v>121</v>
      </c>
      <c r="E20" s="139" t="s">
        <v>115</v>
      </c>
      <c r="F20" s="135">
        <v>24.996106257889</v>
      </c>
      <c r="G20" s="140">
        <v>394.94</v>
      </c>
      <c r="H20" s="140">
        <f>ROUND(F20*G20,2)</f>
        <v>9871.9599999999991</v>
      </c>
    </row>
    <row r="21" spans="1:13" ht="31.5" customHeight="1" x14ac:dyDescent="0.25">
      <c r="A21" s="135">
        <v>5</v>
      </c>
      <c r="B21" s="135" t="s">
        <v>107</v>
      </c>
      <c r="C21" s="138" t="s">
        <v>122</v>
      </c>
      <c r="D21" s="138" t="s">
        <v>123</v>
      </c>
      <c r="E21" s="139" t="s">
        <v>124</v>
      </c>
      <c r="F21" s="135">
        <v>20.301441417083002</v>
      </c>
      <c r="G21" s="140">
        <v>1</v>
      </c>
      <c r="H21" s="140">
        <f>ROUND(F21*G21,2)</f>
        <v>20.3</v>
      </c>
    </row>
    <row r="24" spans="1:13" x14ac:dyDescent="0.25">
      <c r="B24" s="109" t="s">
        <v>75</v>
      </c>
    </row>
    <row r="25" spans="1:13" x14ac:dyDescent="0.25">
      <c r="B25" s="121" t="s">
        <v>76</v>
      </c>
    </row>
    <row r="27" spans="1:13" x14ac:dyDescent="0.25">
      <c r="B27" s="109" t="s">
        <v>77</v>
      </c>
    </row>
    <row r="28" spans="1:13" x14ac:dyDescent="0.25">
      <c r="B28" s="121" t="s">
        <v>78</v>
      </c>
    </row>
  </sheetData>
  <mergeCells count="15">
    <mergeCell ref="A14:E14"/>
    <mergeCell ref="A19:E19"/>
    <mergeCell ref="A12:E12"/>
    <mergeCell ref="A15:E15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16:E1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E50"/>
  <sheetViews>
    <sheetView view="pageBreakPreview" topLeftCell="A31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125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99" t="s">
        <v>126</v>
      </c>
      <c r="C5" s="199"/>
      <c r="D5" s="199"/>
      <c r="E5" s="199"/>
    </row>
    <row r="6" spans="2:5" x14ac:dyDescent="0.25">
      <c r="B6" s="142"/>
      <c r="C6" s="4"/>
      <c r="D6" s="4"/>
      <c r="E6" s="4"/>
    </row>
    <row r="7" spans="2:5" ht="25.5" customHeight="1" x14ac:dyDescent="0.25">
      <c r="B7" s="220" t="s">
        <v>47</v>
      </c>
      <c r="C7" s="220"/>
      <c r="D7" s="220"/>
      <c r="E7" s="220"/>
    </row>
    <row r="8" spans="2:5" x14ac:dyDescent="0.25">
      <c r="B8" s="221" t="s">
        <v>49</v>
      </c>
      <c r="C8" s="221"/>
      <c r="D8" s="221"/>
      <c r="E8" s="221"/>
    </row>
    <row r="9" spans="2:5" x14ac:dyDescent="0.25">
      <c r="B9" s="142"/>
      <c r="C9" s="4"/>
      <c r="D9" s="4"/>
      <c r="E9" s="4"/>
    </row>
    <row r="10" spans="2:5" ht="51" customHeight="1" x14ac:dyDescent="0.25">
      <c r="B10" s="2" t="s">
        <v>127</v>
      </c>
      <c r="C10" s="2" t="s">
        <v>128</v>
      </c>
      <c r="D10" s="2" t="s">
        <v>129</v>
      </c>
      <c r="E10" s="2" t="s">
        <v>130</v>
      </c>
    </row>
    <row r="11" spans="2:5" x14ac:dyDescent="0.25">
      <c r="B11" s="105" t="s">
        <v>131</v>
      </c>
      <c r="C11" s="106">
        <f>'Прил.5 Расчет СМР и ОБ'!J14</f>
        <v>47162.239999999998</v>
      </c>
      <c r="D11" s="107">
        <f t="shared" ref="D11:D18" si="0">C11/$C$24</f>
        <v>0.24713395087686202</v>
      </c>
      <c r="E11" s="107">
        <f t="shared" ref="E11:E18" si="1">C11/$C$40</f>
        <v>5.4470065889237499E-3</v>
      </c>
    </row>
    <row r="12" spans="2:5" x14ac:dyDescent="0.25">
      <c r="B12" s="105" t="s">
        <v>132</v>
      </c>
      <c r="C12" s="106">
        <f>'Прил.5 Расчет СМР и ОБ'!J17</f>
        <v>0</v>
      </c>
      <c r="D12" s="107">
        <f t="shared" si="0"/>
        <v>0</v>
      </c>
      <c r="E12" s="107">
        <f t="shared" si="1"/>
        <v>0</v>
      </c>
    </row>
    <row r="13" spans="2:5" x14ac:dyDescent="0.25">
      <c r="B13" s="105" t="s">
        <v>133</v>
      </c>
      <c r="C13" s="106">
        <f>'Прил.5 Расчет СМР и ОБ'!J18</f>
        <v>0</v>
      </c>
      <c r="D13" s="107">
        <f t="shared" si="0"/>
        <v>0</v>
      </c>
      <c r="E13" s="107">
        <f t="shared" si="1"/>
        <v>0</v>
      </c>
    </row>
    <row r="14" spans="2:5" x14ac:dyDescent="0.25">
      <c r="B14" s="105" t="s">
        <v>134</v>
      </c>
      <c r="C14" s="106">
        <f>C13+C12</f>
        <v>0</v>
      </c>
      <c r="D14" s="107">
        <f t="shared" si="0"/>
        <v>0</v>
      </c>
      <c r="E14" s="107">
        <f t="shared" si="1"/>
        <v>0</v>
      </c>
    </row>
    <row r="15" spans="2:5" x14ac:dyDescent="0.25">
      <c r="B15" s="105" t="s">
        <v>135</v>
      </c>
      <c r="C15" s="106">
        <v>0</v>
      </c>
      <c r="D15" s="107">
        <f t="shared" si="0"/>
        <v>0</v>
      </c>
      <c r="E15" s="107">
        <f t="shared" si="1"/>
        <v>0</v>
      </c>
    </row>
    <row r="16" spans="2:5" x14ac:dyDescent="0.25">
      <c r="B16" s="105" t="s">
        <v>136</v>
      </c>
      <c r="C16" s="106">
        <f>'Прил.5 Расчет СМР и ОБ'!J31</f>
        <v>79370.64</v>
      </c>
      <c r="D16" s="107">
        <f t="shared" si="0"/>
        <v>0.41590857106925161</v>
      </c>
      <c r="E16" s="107">
        <f t="shared" si="1"/>
        <v>9.1669182601821914E-3</v>
      </c>
    </row>
    <row r="17" spans="2:5" x14ac:dyDescent="0.25">
      <c r="B17" s="105" t="s">
        <v>137</v>
      </c>
      <c r="C17" s="106">
        <f>'Прил.5 Расчет СМР и ОБ'!J33</f>
        <v>163.22</v>
      </c>
      <c r="D17" s="107">
        <f t="shared" si="0"/>
        <v>8.5528599706293472E-4</v>
      </c>
      <c r="E17" s="107">
        <f t="shared" si="1"/>
        <v>1.8851106636244048E-5</v>
      </c>
    </row>
    <row r="18" spans="2:5" x14ac:dyDescent="0.25">
      <c r="B18" s="105" t="s">
        <v>138</v>
      </c>
      <c r="C18" s="106">
        <f>C17+C16</f>
        <v>79533.86</v>
      </c>
      <c r="D18" s="107">
        <f t="shared" si="0"/>
        <v>0.41676385706631452</v>
      </c>
      <c r="E18" s="107">
        <f t="shared" si="1"/>
        <v>9.1857693668184366E-3</v>
      </c>
    </row>
    <row r="19" spans="2:5" x14ac:dyDescent="0.25">
      <c r="B19" s="105" t="s">
        <v>139</v>
      </c>
      <c r="C19" s="106">
        <f>C18+C14+C11</f>
        <v>126696.1</v>
      </c>
      <c r="D19" s="107"/>
      <c r="E19" s="105"/>
    </row>
    <row r="20" spans="2:5" x14ac:dyDescent="0.25">
      <c r="B20" s="105" t="s">
        <v>140</v>
      </c>
      <c r="C20" s="106">
        <f>ROUND(C21*(C11+C15),2)</f>
        <v>21694.63</v>
      </c>
      <c r="D20" s="107">
        <f>C20/$C$24</f>
        <v>0.11368161530732419</v>
      </c>
      <c r="E20" s="107">
        <f>C20/$C$40</f>
        <v>2.505622984706894E-3</v>
      </c>
    </row>
    <row r="21" spans="2:5" x14ac:dyDescent="0.25">
      <c r="B21" s="105" t="s">
        <v>141</v>
      </c>
      <c r="C21" s="187">
        <v>0.46</v>
      </c>
      <c r="D21" s="107"/>
      <c r="E21" s="105"/>
    </row>
    <row r="22" spans="2:5" x14ac:dyDescent="0.25">
      <c r="B22" s="105" t="s">
        <v>142</v>
      </c>
      <c r="C22" s="106">
        <f>ROUND(C23*(C11+C15),2)</f>
        <v>42446.02</v>
      </c>
      <c r="D22" s="107">
        <f>C22/$C$24</f>
        <v>0.22242057674949922</v>
      </c>
      <c r="E22" s="107">
        <f>C22/$C$40</f>
        <v>4.9023063920116874E-3</v>
      </c>
    </row>
    <row r="23" spans="2:5" x14ac:dyDescent="0.25">
      <c r="B23" s="105" t="s">
        <v>143</v>
      </c>
      <c r="C23" s="187">
        <v>0.9</v>
      </c>
      <c r="D23" s="107"/>
      <c r="E23" s="105"/>
    </row>
    <row r="24" spans="2:5" x14ac:dyDescent="0.25">
      <c r="B24" s="105" t="s">
        <v>144</v>
      </c>
      <c r="C24" s="106">
        <f>C19+C20+C22</f>
        <v>190836.75</v>
      </c>
      <c r="D24" s="107">
        <f>C24/$C$24</f>
        <v>1</v>
      </c>
      <c r="E24" s="107">
        <f>C24/$C$40</f>
        <v>2.2040705332460768E-2</v>
      </c>
    </row>
    <row r="25" spans="2:5" ht="25.5" customHeight="1" x14ac:dyDescent="0.25">
      <c r="B25" s="105" t="s">
        <v>145</v>
      </c>
      <c r="C25" s="106">
        <f>'Прил.5 Расчет СМР и ОБ'!J26</f>
        <v>7533840.21</v>
      </c>
      <c r="D25" s="107"/>
      <c r="E25" s="107">
        <f>C25/$C$40</f>
        <v>0.87012146292815373</v>
      </c>
    </row>
    <row r="26" spans="2:5" ht="25.5" customHeight="1" x14ac:dyDescent="0.25">
      <c r="B26" s="105" t="s">
        <v>146</v>
      </c>
      <c r="C26" s="106">
        <f>'Прил.5 Расчет СМР и ОБ'!J27</f>
        <v>7533840.9500000002</v>
      </c>
      <c r="D26" s="107"/>
      <c r="E26" s="107">
        <f>C26/$C$40</f>
        <v>0.8701215483945115</v>
      </c>
    </row>
    <row r="27" spans="2:5" x14ac:dyDescent="0.25">
      <c r="B27" s="105" t="s">
        <v>147</v>
      </c>
      <c r="C27" s="141">
        <f>C24+C25</f>
        <v>7724676.96</v>
      </c>
      <c r="D27" s="107"/>
      <c r="E27" s="107">
        <f>C27/$C$40</f>
        <v>0.89216216826061456</v>
      </c>
    </row>
    <row r="28" spans="2:5" ht="33" customHeight="1" x14ac:dyDescent="0.25">
      <c r="B28" s="105" t="s">
        <v>148</v>
      </c>
      <c r="C28" s="105"/>
      <c r="D28" s="105"/>
      <c r="E28" s="105"/>
    </row>
    <row r="29" spans="2:5" ht="25.5" customHeight="1" x14ac:dyDescent="0.25">
      <c r="B29" s="105" t="s">
        <v>149</v>
      </c>
      <c r="C29" s="141">
        <f>ROUND(C24*3.9%,2)</f>
        <v>7442.63</v>
      </c>
      <c r="D29" s="105"/>
      <c r="E29" s="107">
        <f t="shared" ref="E29:E38" si="2">C29/$C$40</f>
        <v>8.595871326069663E-4</v>
      </c>
    </row>
    <row r="30" spans="2:5" ht="38.25" customHeight="1" x14ac:dyDescent="0.25">
      <c r="B30" s="192" t="s">
        <v>150</v>
      </c>
      <c r="C30" s="193">
        <f>ROUND((C24+C29)*2.1%,2)</f>
        <v>4163.87</v>
      </c>
      <c r="D30" s="192"/>
      <c r="E30" s="107">
        <f t="shared" si="2"/>
        <v>4.8090649056155803E-4</v>
      </c>
    </row>
    <row r="31" spans="2:5" x14ac:dyDescent="0.25">
      <c r="B31" s="192" t="s">
        <v>151</v>
      </c>
      <c r="C31" s="193">
        <v>511550</v>
      </c>
      <c r="D31" s="192"/>
      <c r="E31" s="107">
        <f t="shared" si="2"/>
        <v>5.9081507166833983E-2</v>
      </c>
    </row>
    <row r="32" spans="2:5" ht="25.5" customHeight="1" x14ac:dyDescent="0.25">
      <c r="B32" s="192" t="s">
        <v>152</v>
      </c>
      <c r="C32" s="193">
        <v>0</v>
      </c>
      <c r="D32" s="192"/>
      <c r="E32" s="107">
        <f t="shared" si="2"/>
        <v>0</v>
      </c>
    </row>
    <row r="33" spans="2:5" ht="25.5" customHeight="1" x14ac:dyDescent="0.25">
      <c r="B33" s="105" t="s">
        <v>153</v>
      </c>
      <c r="C33" s="141">
        <v>0</v>
      </c>
      <c r="D33" s="105"/>
      <c r="E33" s="107">
        <f t="shared" si="2"/>
        <v>0</v>
      </c>
    </row>
    <row r="34" spans="2:5" ht="51" customHeight="1" x14ac:dyDescent="0.25">
      <c r="B34" s="105" t="s">
        <v>154</v>
      </c>
      <c r="C34" s="141">
        <v>0</v>
      </c>
      <c r="D34" s="105"/>
      <c r="E34" s="107">
        <f t="shared" si="2"/>
        <v>0</v>
      </c>
    </row>
    <row r="35" spans="2:5" ht="76.5" customHeight="1" x14ac:dyDescent="0.25">
      <c r="B35" s="105" t="s">
        <v>155</v>
      </c>
      <c r="C35" s="141">
        <v>0</v>
      </c>
      <c r="D35" s="105"/>
      <c r="E35" s="107">
        <f t="shared" si="2"/>
        <v>0</v>
      </c>
    </row>
    <row r="36" spans="2:5" ht="25.5" customHeight="1" x14ac:dyDescent="0.25">
      <c r="B36" s="105" t="s">
        <v>156</v>
      </c>
      <c r="C36" s="141">
        <f>ROUND((C27+C32+C33+C34+C35+C29+C31+C30)*1.72%,2)</f>
        <v>141862.74</v>
      </c>
      <c r="D36" s="105"/>
      <c r="E36" s="107">
        <f t="shared" si="2"/>
        <v>1.6384448226012524E-2</v>
      </c>
    </row>
    <row r="37" spans="2:5" x14ac:dyDescent="0.25">
      <c r="B37" s="105" t="s">
        <v>157</v>
      </c>
      <c r="C37" s="141">
        <f>ROUND((C27+C32+C33+C34+C35+C29+C31+C30)*0.2%,2)</f>
        <v>16495.669999999998</v>
      </c>
      <c r="D37" s="105"/>
      <c r="E37" s="107">
        <f t="shared" si="2"/>
        <v>1.9051686938260743E-3</v>
      </c>
    </row>
    <row r="38" spans="2:5" ht="38.25" customHeight="1" x14ac:dyDescent="0.25">
      <c r="B38" s="105" t="s">
        <v>158</v>
      </c>
      <c r="C38" s="106">
        <f>C27+C32+C33+C34+C35+C29+C31+C30+C36+C37</f>
        <v>8406191.8699999992</v>
      </c>
      <c r="D38" s="105"/>
      <c r="E38" s="107">
        <f t="shared" si="2"/>
        <v>0.97087378597045559</v>
      </c>
    </row>
    <row r="39" spans="2:5" ht="13.5" customHeight="1" x14ac:dyDescent="0.25">
      <c r="B39" s="105" t="s">
        <v>159</v>
      </c>
      <c r="C39" s="106">
        <f>ROUND(C38*3%,2)</f>
        <v>252185.76</v>
      </c>
      <c r="D39" s="105"/>
      <c r="E39" s="107">
        <f>C39/$C$38</f>
        <v>3.0000000463943733E-2</v>
      </c>
    </row>
    <row r="40" spans="2:5" x14ac:dyDescent="0.25">
      <c r="B40" s="105" t="s">
        <v>160</v>
      </c>
      <c r="C40" s="106">
        <f>C39+C38</f>
        <v>8658377.629999999</v>
      </c>
      <c r="D40" s="105"/>
      <c r="E40" s="107">
        <f>C40/$C$40</f>
        <v>1</v>
      </c>
    </row>
    <row r="41" spans="2:5" x14ac:dyDescent="0.25">
      <c r="B41" s="105" t="s">
        <v>161</v>
      </c>
      <c r="C41" s="106">
        <f>C40/'Прил.5 Расчет СМР и ОБ'!E40</f>
        <v>8658377.629999999</v>
      </c>
      <c r="D41" s="105"/>
      <c r="E41" s="105"/>
    </row>
    <row r="42" spans="2:5" x14ac:dyDescent="0.25">
      <c r="B42" s="108"/>
      <c r="C42" s="4"/>
      <c r="D42" s="4"/>
      <c r="E42" s="4"/>
    </row>
    <row r="43" spans="2:5" x14ac:dyDescent="0.25">
      <c r="B43" s="108" t="s">
        <v>162</v>
      </c>
      <c r="C43" s="4"/>
      <c r="D43" s="4"/>
      <c r="E43" s="4"/>
    </row>
    <row r="44" spans="2:5" x14ac:dyDescent="0.25">
      <c r="B44" s="108" t="s">
        <v>163</v>
      </c>
      <c r="C44" s="4"/>
      <c r="D44" s="4"/>
      <c r="E44" s="4"/>
    </row>
    <row r="45" spans="2:5" x14ac:dyDescent="0.25">
      <c r="B45" s="108"/>
      <c r="C45" s="4"/>
      <c r="D45" s="4"/>
      <c r="E45" s="4"/>
    </row>
    <row r="46" spans="2:5" x14ac:dyDescent="0.25">
      <c r="B46" s="108" t="s">
        <v>164</v>
      </c>
      <c r="C46" s="4"/>
      <c r="D46" s="4"/>
      <c r="E46" s="4"/>
    </row>
    <row r="47" spans="2:5" x14ac:dyDescent="0.25">
      <c r="B47" s="221" t="s">
        <v>165</v>
      </c>
      <c r="C47" s="221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J46"/>
  <sheetViews>
    <sheetView tabSelected="1" view="pageBreakPreview" topLeftCell="A13" zoomScale="55" zoomScaleSheetLayoutView="55" workbookViewId="0">
      <selection activeCell="AG50" sqref="AG50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5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</cols>
  <sheetData>
    <row r="2" spans="1:10" ht="15.75" customHeight="1" x14ac:dyDescent="0.25">
      <c r="H2" s="222" t="s">
        <v>166</v>
      </c>
      <c r="I2" s="222"/>
      <c r="J2" s="222"/>
    </row>
    <row r="4" spans="1:10" s="4" customFormat="1" ht="12.75" customHeight="1" x14ac:dyDescent="0.2">
      <c r="A4" s="199" t="s">
        <v>167</v>
      </c>
      <c r="B4" s="199"/>
      <c r="C4" s="199"/>
      <c r="D4" s="199"/>
      <c r="E4" s="199"/>
      <c r="F4" s="199"/>
      <c r="G4" s="199"/>
      <c r="H4" s="199"/>
      <c r="I4" s="199"/>
      <c r="J4" s="199"/>
    </row>
    <row r="5" spans="1:10" s="4" customFormat="1" ht="12.75" customHeight="1" x14ac:dyDescent="0.2">
      <c r="A5" s="184"/>
      <c r="B5" s="184"/>
      <c r="C5" s="28"/>
      <c r="D5" s="184"/>
      <c r="E5" s="184"/>
      <c r="F5" s="184"/>
      <c r="G5" s="184"/>
      <c r="H5" s="184"/>
      <c r="I5" s="184"/>
      <c r="J5" s="184"/>
    </row>
    <row r="6" spans="1:10" s="4" customFormat="1" ht="22.5" customHeight="1" x14ac:dyDescent="0.2">
      <c r="A6" s="143" t="s">
        <v>168</v>
      </c>
      <c r="B6" s="144"/>
      <c r="C6" s="144"/>
      <c r="D6" s="228" t="s">
        <v>169</v>
      </c>
      <c r="E6" s="228"/>
      <c r="F6" s="228"/>
      <c r="G6" s="228"/>
      <c r="H6" s="228"/>
      <c r="I6" s="228"/>
      <c r="J6" s="228"/>
    </row>
    <row r="7" spans="1:10" s="4" customFormat="1" ht="12.75" customHeight="1" x14ac:dyDescent="0.2">
      <c r="A7" s="202" t="s">
        <v>49</v>
      </c>
      <c r="B7" s="220"/>
      <c r="C7" s="220"/>
      <c r="D7" s="220"/>
      <c r="E7" s="220"/>
      <c r="F7" s="220"/>
      <c r="G7" s="220"/>
      <c r="H7" s="220"/>
      <c r="I7" s="42"/>
      <c r="J7" s="42"/>
    </row>
    <row r="8" spans="1:10" s="4" customFormat="1" ht="13.5" customHeight="1" x14ac:dyDescent="0.2">
      <c r="A8" s="202"/>
      <c r="B8" s="220"/>
      <c r="C8" s="220"/>
      <c r="D8" s="220"/>
      <c r="E8" s="220"/>
      <c r="F8" s="220"/>
      <c r="G8" s="220"/>
      <c r="H8" s="220"/>
    </row>
    <row r="9" spans="1:10" ht="27" customHeight="1" x14ac:dyDescent="0.25">
      <c r="A9" s="225" t="s">
        <v>13</v>
      </c>
      <c r="B9" s="225" t="s">
        <v>98</v>
      </c>
      <c r="C9" s="225" t="s">
        <v>127</v>
      </c>
      <c r="D9" s="225" t="s">
        <v>100</v>
      </c>
      <c r="E9" s="226" t="s">
        <v>170</v>
      </c>
      <c r="F9" s="223" t="s">
        <v>102</v>
      </c>
      <c r="G9" s="224"/>
      <c r="H9" s="226" t="s">
        <v>171</v>
      </c>
      <c r="I9" s="223" t="s">
        <v>172</v>
      </c>
      <c r="J9" s="224"/>
    </row>
    <row r="10" spans="1:10" ht="28.5" customHeight="1" x14ac:dyDescent="0.25">
      <c r="A10" s="225"/>
      <c r="B10" s="225"/>
      <c r="C10" s="225"/>
      <c r="D10" s="225"/>
      <c r="E10" s="227"/>
      <c r="F10" s="2" t="s">
        <v>173</v>
      </c>
      <c r="G10" s="2" t="s">
        <v>104</v>
      </c>
      <c r="H10" s="227"/>
      <c r="I10" s="2" t="s">
        <v>173</v>
      </c>
      <c r="J10" s="2" t="s">
        <v>104</v>
      </c>
    </row>
    <row r="11" spans="1:10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81">
        <v>9</v>
      </c>
      <c r="J11" s="181">
        <v>10</v>
      </c>
    </row>
    <row r="12" spans="1:10" x14ac:dyDescent="0.25">
      <c r="A12" s="2"/>
      <c r="B12" s="233" t="s">
        <v>174</v>
      </c>
      <c r="C12" s="234"/>
      <c r="D12" s="225"/>
      <c r="E12" s="235"/>
      <c r="F12" s="236"/>
      <c r="G12" s="236"/>
      <c r="H12" s="237"/>
      <c r="I12" s="145"/>
      <c r="J12" s="145"/>
    </row>
    <row r="13" spans="1:10" ht="25.5" customHeight="1" x14ac:dyDescent="0.25">
      <c r="A13" s="2">
        <v>1</v>
      </c>
      <c r="B13" s="146" t="s">
        <v>108</v>
      </c>
      <c r="C13" s="8" t="s">
        <v>175</v>
      </c>
      <c r="D13" s="2" t="s">
        <v>176</v>
      </c>
      <c r="E13" s="147">
        <v>93.435467804721995</v>
      </c>
      <c r="F13" s="26">
        <v>10.94</v>
      </c>
      <c r="G13" s="26">
        <f>Прил.3!H12</f>
        <v>1022.18</v>
      </c>
      <c r="H13" s="148">
        <f>G13/$G$14</f>
        <v>1</v>
      </c>
      <c r="I13" s="26">
        <f>ФОТр.тек.!E13</f>
        <v>504.75733271476997</v>
      </c>
      <c r="J13" s="26">
        <f>ROUND(I13*E13,2)</f>
        <v>47162.239999999998</v>
      </c>
    </row>
    <row r="14" spans="1:10" s="12" customFormat="1" ht="25.5" customHeight="1" x14ac:dyDescent="0.2">
      <c r="A14" s="2"/>
      <c r="B14" s="2"/>
      <c r="C14" s="155" t="s">
        <v>177</v>
      </c>
      <c r="D14" s="2" t="s">
        <v>176</v>
      </c>
      <c r="E14" s="147">
        <f>SUM(E13:E13)</f>
        <v>93.435467804721995</v>
      </c>
      <c r="F14" s="26"/>
      <c r="G14" s="26">
        <f>SUM(G13:G13)</f>
        <v>1022.18</v>
      </c>
      <c r="H14" s="183">
        <v>1</v>
      </c>
      <c r="I14" s="145"/>
      <c r="J14" s="26">
        <f>SUM(J13:J13)</f>
        <v>47162.239999999998</v>
      </c>
    </row>
    <row r="15" spans="1:10" s="12" customFormat="1" ht="14.25" customHeight="1" x14ac:dyDescent="0.2">
      <c r="A15" s="2"/>
      <c r="B15" s="234" t="s">
        <v>111</v>
      </c>
      <c r="C15" s="234"/>
      <c r="D15" s="225"/>
      <c r="E15" s="235"/>
      <c r="F15" s="236"/>
      <c r="G15" s="236"/>
      <c r="H15" s="237"/>
      <c r="I15" s="145"/>
      <c r="J15" s="145"/>
    </row>
    <row r="16" spans="1:10" s="12" customFormat="1" ht="14.25" customHeight="1" x14ac:dyDescent="0.2">
      <c r="A16" s="2"/>
      <c r="B16" s="233" t="s">
        <v>112</v>
      </c>
      <c r="C16" s="234"/>
      <c r="D16" s="225"/>
      <c r="E16" s="235"/>
      <c r="F16" s="236"/>
      <c r="G16" s="236"/>
      <c r="H16" s="237"/>
      <c r="I16" s="145"/>
      <c r="J16" s="145"/>
    </row>
    <row r="17" spans="1:10" s="12" customFormat="1" ht="14.25" customHeight="1" x14ac:dyDescent="0.2">
      <c r="A17" s="2"/>
      <c r="B17" s="2"/>
      <c r="C17" s="8" t="s">
        <v>178</v>
      </c>
      <c r="D17" s="2"/>
      <c r="E17" s="147"/>
      <c r="F17" s="26"/>
      <c r="G17" s="26">
        <v>0</v>
      </c>
      <c r="H17" s="183">
        <v>0</v>
      </c>
      <c r="I17" s="150"/>
      <c r="J17" s="26">
        <v>0</v>
      </c>
    </row>
    <row r="18" spans="1:10" s="12" customFormat="1" ht="14.25" customHeight="1" x14ac:dyDescent="0.2">
      <c r="A18" s="2"/>
      <c r="B18" s="2"/>
      <c r="C18" s="8" t="s">
        <v>179</v>
      </c>
      <c r="D18" s="2"/>
      <c r="E18" s="182"/>
      <c r="F18" s="26"/>
      <c r="G18" s="150">
        <v>0</v>
      </c>
      <c r="H18" s="148">
        <v>0</v>
      </c>
      <c r="I18" s="26"/>
      <c r="J18" s="26">
        <v>0</v>
      </c>
    </row>
    <row r="19" spans="1:10" s="12" customFormat="1" ht="25.5" customHeight="1" x14ac:dyDescent="0.2">
      <c r="A19" s="2"/>
      <c r="B19" s="2"/>
      <c r="C19" s="155" t="s">
        <v>180</v>
      </c>
      <c r="D19" s="2"/>
      <c r="E19" s="182"/>
      <c r="F19" s="26"/>
      <c r="G19" s="26">
        <f>G18+G17</f>
        <v>0</v>
      </c>
      <c r="H19" s="151">
        <v>1</v>
      </c>
      <c r="I19" s="152"/>
      <c r="J19" s="153">
        <f>J18+J17</f>
        <v>0</v>
      </c>
    </row>
    <row r="20" spans="1:10" s="12" customFormat="1" ht="14.25" customHeight="1" x14ac:dyDescent="0.2">
      <c r="A20" s="2"/>
      <c r="B20" s="233" t="s">
        <v>43</v>
      </c>
      <c r="C20" s="233"/>
      <c r="D20" s="238"/>
      <c r="E20" s="239"/>
      <c r="F20" s="240"/>
      <c r="G20" s="240"/>
      <c r="H20" s="241"/>
      <c r="I20" s="145"/>
      <c r="J20" s="145"/>
    </row>
    <row r="21" spans="1:10" x14ac:dyDescent="0.25">
      <c r="A21" s="2"/>
      <c r="B21" s="234" t="s">
        <v>181</v>
      </c>
      <c r="C21" s="234"/>
      <c r="D21" s="225"/>
      <c r="E21" s="235"/>
      <c r="F21" s="236"/>
      <c r="G21" s="236"/>
      <c r="H21" s="237"/>
      <c r="I21" s="145"/>
      <c r="J21" s="145"/>
    </row>
    <row r="22" spans="1:10" s="12" customFormat="1" ht="38.25" customHeight="1" x14ac:dyDescent="0.2">
      <c r="A22" s="2">
        <v>2</v>
      </c>
      <c r="B22" s="189" t="s">
        <v>182</v>
      </c>
      <c r="C22" s="190" t="s">
        <v>183</v>
      </c>
      <c r="D22" s="2" t="s">
        <v>115</v>
      </c>
      <c r="E22" s="198">
        <v>35</v>
      </c>
      <c r="F22" s="149">
        <f>ROUND(I22/Прил.10!$D$14,2)</f>
        <v>34095.85</v>
      </c>
      <c r="G22" s="26">
        <f>ROUND(E22*F22,2)</f>
        <v>1193354.75</v>
      </c>
      <c r="H22" s="148">
        <f>G22/$G$26</f>
        <v>0.99157929964243874</v>
      </c>
      <c r="I22" s="26">
        <v>213440</v>
      </c>
      <c r="J22" s="26">
        <f>ROUND(I22*E22,2)</f>
        <v>7470400</v>
      </c>
    </row>
    <row r="23" spans="1:10" x14ac:dyDescent="0.25">
      <c r="A23" s="2"/>
      <c r="B23" s="189"/>
      <c r="C23" s="190" t="s">
        <v>184</v>
      </c>
      <c r="D23" s="2"/>
      <c r="E23" s="147"/>
      <c r="F23" s="149"/>
      <c r="G23" s="26">
        <f>SUM(G22)</f>
        <v>1193354.75</v>
      </c>
      <c r="H23" s="148">
        <f>G22/$G$26</f>
        <v>0.99157929964243874</v>
      </c>
      <c r="I23" s="150"/>
      <c r="J23" s="26">
        <f>SUM(J22)</f>
        <v>7470400</v>
      </c>
    </row>
    <row r="24" spans="1:10" s="12" customFormat="1" ht="14.25" customHeight="1" outlineLevel="1" x14ac:dyDescent="0.2">
      <c r="A24" s="2">
        <v>3</v>
      </c>
      <c r="B24" s="189" t="s">
        <v>116</v>
      </c>
      <c r="C24" s="190" t="s">
        <v>117</v>
      </c>
      <c r="D24" s="2" t="s">
        <v>118</v>
      </c>
      <c r="E24" s="197">
        <v>1.0000709177167999</v>
      </c>
      <c r="F24" s="149">
        <v>10133.5</v>
      </c>
      <c r="G24" s="26">
        <f>ROUND(E24*F24,2)</f>
        <v>10134.219999999999</v>
      </c>
      <c r="H24" s="148">
        <f>G24/$G$26</f>
        <v>8.4207003575612321E-3</v>
      </c>
      <c r="I24" s="26">
        <f>ROUND(F24*Прил.10!$D$14,2)</f>
        <v>63435.71</v>
      </c>
      <c r="J24" s="26">
        <f>ROUND(I24*E24,2)</f>
        <v>63440.21</v>
      </c>
    </row>
    <row r="25" spans="1:10" x14ac:dyDescent="0.25">
      <c r="A25" s="2"/>
      <c r="B25" s="189"/>
      <c r="C25" s="190" t="s">
        <v>185</v>
      </c>
      <c r="D25" s="2"/>
      <c r="E25" s="147"/>
      <c r="F25" s="149"/>
      <c r="G25" s="26">
        <f>SUM(G24)</f>
        <v>10134.219999999999</v>
      </c>
      <c r="H25" s="148">
        <f>G25/$G$26</f>
        <v>8.4207003575612321E-3</v>
      </c>
      <c r="I25" s="150"/>
      <c r="J25" s="26">
        <f>SUM(J24)</f>
        <v>63440.21</v>
      </c>
    </row>
    <row r="26" spans="1:10" x14ac:dyDescent="0.25">
      <c r="A26" s="2"/>
      <c r="B26" s="189"/>
      <c r="C26" s="191" t="s">
        <v>186</v>
      </c>
      <c r="D26" s="2"/>
      <c r="E26" s="182"/>
      <c r="F26" s="149"/>
      <c r="G26" s="26">
        <f>G23+G25</f>
        <v>1203488.97</v>
      </c>
      <c r="H26" s="183">
        <v>1</v>
      </c>
      <c r="I26" s="150"/>
      <c r="J26" s="26">
        <f>J25+J23</f>
        <v>7533840.21</v>
      </c>
    </row>
    <row r="27" spans="1:10" ht="25.5" customHeight="1" x14ac:dyDescent="0.25">
      <c r="A27" s="2"/>
      <c r="B27" s="189"/>
      <c r="C27" s="190" t="s">
        <v>187</v>
      </c>
      <c r="D27" s="2"/>
      <c r="E27" s="154"/>
      <c r="F27" s="149"/>
      <c r="G27" s="26">
        <f>'Прил.6 Расчет ОБ'!G14</f>
        <v>1203488.97</v>
      </c>
      <c r="H27" s="183"/>
      <c r="I27" s="150"/>
      <c r="J27" s="26">
        <f>ROUND(G27*Прил.10!D14,2)</f>
        <v>7533840.9500000002</v>
      </c>
    </row>
    <row r="28" spans="1:10" s="12" customFormat="1" ht="14.25" customHeight="1" x14ac:dyDescent="0.2">
      <c r="A28" s="2"/>
      <c r="B28" s="233" t="s">
        <v>119</v>
      </c>
      <c r="C28" s="233"/>
      <c r="D28" s="238"/>
      <c r="E28" s="239"/>
      <c r="F28" s="240"/>
      <c r="G28" s="240"/>
      <c r="H28" s="241"/>
      <c r="I28" s="145"/>
      <c r="J28" s="145"/>
    </row>
    <row r="29" spans="1:10" s="12" customFormat="1" ht="14.25" customHeight="1" x14ac:dyDescent="0.2">
      <c r="A29" s="181"/>
      <c r="B29" s="229" t="s">
        <v>188</v>
      </c>
      <c r="C29" s="229"/>
      <c r="D29" s="226"/>
      <c r="E29" s="230"/>
      <c r="F29" s="231"/>
      <c r="G29" s="231"/>
      <c r="H29" s="232"/>
      <c r="I29" s="156"/>
      <c r="J29" s="156"/>
    </row>
    <row r="30" spans="1:10" s="12" customFormat="1" ht="25.5" customHeight="1" x14ac:dyDescent="0.2">
      <c r="A30" s="2">
        <v>4</v>
      </c>
      <c r="B30" s="2" t="s">
        <v>120</v>
      </c>
      <c r="C30" s="8" t="s">
        <v>121</v>
      </c>
      <c r="D30" s="2" t="s">
        <v>115</v>
      </c>
      <c r="E30" s="198">
        <v>24.996106257889</v>
      </c>
      <c r="F30" s="149">
        <v>394.94</v>
      </c>
      <c r="G30" s="26">
        <f>ROUND(E30*F30,2)</f>
        <v>9871.9599999999991</v>
      </c>
      <c r="H30" s="148">
        <f>G30/$G$34</f>
        <v>0.9979478905730339</v>
      </c>
      <c r="I30" s="26">
        <f>ROUND(F30*Прил.10!$D$13,2)</f>
        <v>3175.32</v>
      </c>
      <c r="J30" s="26">
        <f>ROUND(I30*E30,2)</f>
        <v>79370.64</v>
      </c>
    </row>
    <row r="31" spans="1:10" s="12" customFormat="1" ht="14.25" customHeight="1" x14ac:dyDescent="0.2">
      <c r="A31" s="157"/>
      <c r="B31" s="158"/>
      <c r="C31" s="159" t="s">
        <v>189</v>
      </c>
      <c r="D31" s="157"/>
      <c r="E31" s="160"/>
      <c r="F31" s="153"/>
      <c r="G31" s="153">
        <f>SUM(G30)</f>
        <v>9871.9599999999991</v>
      </c>
      <c r="H31" s="148">
        <f>G31/$G$34</f>
        <v>0.9979478905730339</v>
      </c>
      <c r="I31" s="26"/>
      <c r="J31" s="153">
        <f>SUM(J30)</f>
        <v>79370.64</v>
      </c>
    </row>
    <row r="32" spans="1:10" s="12" customFormat="1" ht="25.5" customHeight="1" outlineLevel="1" x14ac:dyDescent="0.2">
      <c r="A32" s="2">
        <v>5</v>
      </c>
      <c r="B32" s="2" t="s">
        <v>122</v>
      </c>
      <c r="C32" s="8" t="s">
        <v>123</v>
      </c>
      <c r="D32" s="2" t="s">
        <v>124</v>
      </c>
      <c r="E32" s="154">
        <v>20.301441417083002</v>
      </c>
      <c r="F32" s="149">
        <v>1</v>
      </c>
      <c r="G32" s="26">
        <f>ROUND(E32*F32,2)</f>
        <v>20.3</v>
      </c>
      <c r="H32" s="148">
        <f>G32/$G$34</f>
        <v>2.0521094269661333E-3</v>
      </c>
      <c r="I32" s="26">
        <f>ROUND(F32*Прил.10!$D$13,2)</f>
        <v>8.0399999999999991</v>
      </c>
      <c r="J32" s="26">
        <f>ROUND(I32*E32,2)</f>
        <v>163.22</v>
      </c>
    </row>
    <row r="33" spans="1:10" s="12" customFormat="1" ht="14.25" customHeight="1" x14ac:dyDescent="0.2">
      <c r="A33" s="2"/>
      <c r="B33" s="2"/>
      <c r="C33" s="8" t="s">
        <v>190</v>
      </c>
      <c r="D33" s="2"/>
      <c r="E33" s="182"/>
      <c r="F33" s="149"/>
      <c r="G33" s="26">
        <f>SUM(G32:G32)</f>
        <v>20.3</v>
      </c>
      <c r="H33" s="148">
        <f>G33/$G$34</f>
        <v>2.0521094269661333E-3</v>
      </c>
      <c r="I33" s="26"/>
      <c r="J33" s="26">
        <f>SUM(J32:J32)</f>
        <v>163.22</v>
      </c>
    </row>
    <row r="34" spans="1:10" s="12" customFormat="1" ht="14.25" customHeight="1" x14ac:dyDescent="0.2">
      <c r="A34" s="2"/>
      <c r="B34" s="2"/>
      <c r="C34" s="155" t="s">
        <v>191</v>
      </c>
      <c r="D34" s="2"/>
      <c r="E34" s="182"/>
      <c r="F34" s="149"/>
      <c r="G34" s="26">
        <f>G31+G33</f>
        <v>9892.2599999999984</v>
      </c>
      <c r="H34" s="183">
        <f>G34/$G$34</f>
        <v>1</v>
      </c>
      <c r="I34" s="26"/>
      <c r="J34" s="26">
        <f>J31+J33</f>
        <v>79533.86</v>
      </c>
    </row>
    <row r="35" spans="1:10" s="12" customFormat="1" ht="14.25" customHeight="1" x14ac:dyDescent="0.2">
      <c r="A35" s="2"/>
      <c r="B35" s="2"/>
      <c r="C35" s="8" t="s">
        <v>192</v>
      </c>
      <c r="D35" s="2"/>
      <c r="E35" s="182"/>
      <c r="F35" s="149"/>
      <c r="G35" s="26">
        <f>G14+G19+G34</f>
        <v>10914.439999999999</v>
      </c>
      <c r="H35" s="183"/>
      <c r="I35" s="26"/>
      <c r="J35" s="26">
        <f>J14+J19+J34</f>
        <v>126696.1</v>
      </c>
    </row>
    <row r="36" spans="1:10" s="12" customFormat="1" ht="14.25" customHeight="1" x14ac:dyDescent="0.2">
      <c r="A36" s="2"/>
      <c r="B36" s="2"/>
      <c r="C36" s="8" t="s">
        <v>193</v>
      </c>
      <c r="D36" s="161">
        <f>ROUND(G36/(0+$G$14),2)</f>
        <v>0.18</v>
      </c>
      <c r="E36" s="182"/>
      <c r="F36" s="149"/>
      <c r="G36" s="26">
        <v>184.03</v>
      </c>
      <c r="H36" s="183"/>
      <c r="I36" s="26"/>
      <c r="J36" s="26">
        <f>ROUND(D36*(J14+0),2)</f>
        <v>8489.2000000000007</v>
      </c>
    </row>
    <row r="37" spans="1:10" s="12" customFormat="1" ht="14.25" customHeight="1" x14ac:dyDescent="0.2">
      <c r="A37" s="2"/>
      <c r="B37" s="2"/>
      <c r="C37" s="8" t="s">
        <v>194</v>
      </c>
      <c r="D37" s="161">
        <f>ROUND(G37/(G$14+0),2)</f>
        <v>0.09</v>
      </c>
      <c r="E37" s="182"/>
      <c r="F37" s="149"/>
      <c r="G37" s="26">
        <v>94.05</v>
      </c>
      <c r="H37" s="183"/>
      <c r="I37" s="26"/>
      <c r="J37" s="26">
        <f>ROUND(D37*(J14+0),2)</f>
        <v>4244.6000000000004</v>
      </c>
    </row>
    <row r="38" spans="1:10" s="12" customFormat="1" ht="14.25" customHeight="1" x14ac:dyDescent="0.2">
      <c r="A38" s="2"/>
      <c r="B38" s="2"/>
      <c r="C38" s="8" t="s">
        <v>195</v>
      </c>
      <c r="D38" s="2"/>
      <c r="E38" s="182"/>
      <c r="F38" s="149"/>
      <c r="G38" s="26">
        <f>G14+G19+G34+G36+G37</f>
        <v>11192.519999999999</v>
      </c>
      <c r="H38" s="183"/>
      <c r="I38" s="26"/>
      <c r="J38" s="26">
        <f>J14+J19+J34+J36+J37</f>
        <v>139429.90000000002</v>
      </c>
    </row>
    <row r="39" spans="1:10" s="12" customFormat="1" ht="14.25" customHeight="1" x14ac:dyDescent="0.2">
      <c r="A39" s="2"/>
      <c r="B39" s="2"/>
      <c r="C39" s="8" t="s">
        <v>196</v>
      </c>
      <c r="D39" s="2"/>
      <c r="E39" s="182"/>
      <c r="F39" s="149"/>
      <c r="G39" s="26">
        <f>G38+G26</f>
        <v>1214681.49</v>
      </c>
      <c r="H39" s="183"/>
      <c r="I39" s="26"/>
      <c r="J39" s="26">
        <f>J38+J26</f>
        <v>7673270.1100000003</v>
      </c>
    </row>
    <row r="40" spans="1:10" s="12" customFormat="1" ht="34.5" customHeight="1" x14ac:dyDescent="0.2">
      <c r="A40" s="2"/>
      <c r="B40" s="2"/>
      <c r="C40" s="8" t="s">
        <v>161</v>
      </c>
      <c r="D40" s="2" t="s">
        <v>197</v>
      </c>
      <c r="E40" s="186">
        <v>1</v>
      </c>
      <c r="F40" s="149"/>
      <c r="G40" s="26">
        <f>G39/E40</f>
        <v>1214681.49</v>
      </c>
      <c r="H40" s="183"/>
      <c r="I40" s="26"/>
      <c r="J40" s="26">
        <f>J39/E40</f>
        <v>7673270.1100000003</v>
      </c>
    </row>
    <row r="42" spans="1:10" s="12" customFormat="1" ht="14.25" customHeight="1" x14ac:dyDescent="0.2">
      <c r="A42" s="4" t="s">
        <v>198</v>
      </c>
    </row>
    <row r="43" spans="1:10" s="12" customFormat="1" ht="14.25" customHeight="1" x14ac:dyDescent="0.2">
      <c r="A43" s="162" t="s">
        <v>76</v>
      </c>
    </row>
    <row r="44" spans="1:10" s="12" customFormat="1" ht="14.25" customHeight="1" x14ac:dyDescent="0.2">
      <c r="A44" s="4"/>
    </row>
    <row r="45" spans="1:10" s="12" customFormat="1" ht="14.25" customHeight="1" x14ac:dyDescent="0.2">
      <c r="A45" s="4" t="s">
        <v>199</v>
      </c>
    </row>
    <row r="46" spans="1:10" s="12" customFormat="1" ht="14.25" customHeight="1" x14ac:dyDescent="0.2">
      <c r="A46" s="162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B29:H29"/>
    <mergeCell ref="B12:H12"/>
    <mergeCell ref="B15:H15"/>
    <mergeCell ref="B16:H16"/>
    <mergeCell ref="B21:H21"/>
    <mergeCell ref="B20:H20"/>
    <mergeCell ref="B28:H28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77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1"/>
  <sheetViews>
    <sheetView view="pageBreakPreview" topLeftCell="A7" workbookViewId="0">
      <selection activeCell="D16" sqref="D16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42" t="s">
        <v>200</v>
      </c>
      <c r="B1" s="242"/>
      <c r="C1" s="242"/>
      <c r="D1" s="242"/>
      <c r="E1" s="242"/>
      <c r="F1" s="242"/>
      <c r="G1" s="242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199" t="s">
        <v>201</v>
      </c>
      <c r="B3" s="199"/>
      <c r="C3" s="199"/>
      <c r="D3" s="199"/>
      <c r="E3" s="199"/>
      <c r="F3" s="199"/>
      <c r="G3" s="199"/>
    </row>
    <row r="4" spans="1:7" ht="25.5" customHeight="1" x14ac:dyDescent="0.25">
      <c r="A4" s="202" t="s">
        <v>47</v>
      </c>
      <c r="B4" s="202"/>
      <c r="C4" s="202"/>
      <c r="D4" s="202"/>
      <c r="E4" s="202"/>
      <c r="F4" s="202"/>
      <c r="G4" s="202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47" t="s">
        <v>13</v>
      </c>
      <c r="B6" s="247" t="s">
        <v>98</v>
      </c>
      <c r="C6" s="247" t="s">
        <v>127</v>
      </c>
      <c r="D6" s="247" t="s">
        <v>100</v>
      </c>
      <c r="E6" s="226" t="s">
        <v>170</v>
      </c>
      <c r="F6" s="247" t="s">
        <v>102</v>
      </c>
      <c r="G6" s="247"/>
    </row>
    <row r="7" spans="1:7" x14ac:dyDescent="0.25">
      <c r="A7" s="247"/>
      <c r="B7" s="247"/>
      <c r="C7" s="247"/>
      <c r="D7" s="247"/>
      <c r="E7" s="227"/>
      <c r="F7" s="2" t="s">
        <v>173</v>
      </c>
      <c r="G7" s="2" t="s">
        <v>104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5"/>
      <c r="B9" s="243" t="s">
        <v>202</v>
      </c>
      <c r="C9" s="244"/>
      <c r="D9" s="244"/>
      <c r="E9" s="244"/>
      <c r="F9" s="244"/>
      <c r="G9" s="245"/>
    </row>
    <row r="10" spans="1:7" ht="27" customHeight="1" x14ac:dyDescent="0.25">
      <c r="A10" s="2"/>
      <c r="B10" s="155"/>
      <c r="C10" s="8" t="s">
        <v>203</v>
      </c>
      <c r="D10" s="155"/>
      <c r="E10" s="163"/>
      <c r="F10" s="149"/>
      <c r="G10" s="26">
        <v>0</v>
      </c>
    </row>
    <row r="11" spans="1:7" x14ac:dyDescent="0.25">
      <c r="A11" s="2"/>
      <c r="B11" s="234" t="s">
        <v>204</v>
      </c>
      <c r="C11" s="234"/>
      <c r="D11" s="234"/>
      <c r="E11" s="246"/>
      <c r="F11" s="236"/>
      <c r="G11" s="236"/>
    </row>
    <row r="12" spans="1:7" s="109" customFormat="1" ht="38.25" customHeight="1" x14ac:dyDescent="0.25">
      <c r="A12" s="2">
        <v>1</v>
      </c>
      <c r="B12" s="8" t="str">
        <f>'Прил.5 Расчет СМР и ОБ'!B22</f>
        <v>БЦ.54.14</v>
      </c>
      <c r="C12" s="8" t="str">
        <f>'Прил.5 Расчет СМР и ОБ'!C22</f>
        <v>Стационарная камера видеонаблюдения</v>
      </c>
      <c r="D12" s="2" t="str">
        <f>'Прил.5 Расчет СМР и ОБ'!D22</f>
        <v>шт</v>
      </c>
      <c r="E12" s="154">
        <f>'Прил.5 Расчет СМР и ОБ'!E22</f>
        <v>35</v>
      </c>
      <c r="F12" s="149">
        <f>'Прил.5 Расчет СМР и ОБ'!F22</f>
        <v>34095.85</v>
      </c>
      <c r="G12" s="26">
        <f>ROUND(E12*F12,2)</f>
        <v>1193354.75</v>
      </c>
    </row>
    <row r="13" spans="1:7" s="109" customFormat="1" ht="15.75" customHeight="1" x14ac:dyDescent="0.25">
      <c r="A13" s="2">
        <v>2</v>
      </c>
      <c r="B13" s="8" t="str">
        <f>'Прил.5 Расчет СМР и ОБ'!B24</f>
        <v>61.3.01.02-0071</v>
      </c>
      <c r="C13" s="8" t="str">
        <f>'Прил.5 Расчет СМР и ОБ'!C24</f>
        <v>Объектив вариофокальный LTC3364/50</v>
      </c>
      <c r="D13" s="2" t="str">
        <f>'Прил.5 Расчет СМР и ОБ'!D24</f>
        <v>10 шт</v>
      </c>
      <c r="E13" s="154">
        <f>'Прил.5 Расчет СМР и ОБ'!E24</f>
        <v>1.0000709177167999</v>
      </c>
      <c r="F13" s="149">
        <f>'Прил.5 Расчет СМР и ОБ'!F24</f>
        <v>10133.5</v>
      </c>
      <c r="G13" s="26">
        <f>ROUND(E13*F13,2)</f>
        <v>10134.219999999999</v>
      </c>
    </row>
    <row r="14" spans="1:7" ht="25.5" customHeight="1" x14ac:dyDescent="0.25">
      <c r="A14" s="2"/>
      <c r="B14" s="8"/>
      <c r="C14" s="8" t="s">
        <v>205</v>
      </c>
      <c r="D14" s="8"/>
      <c r="E14" s="40"/>
      <c r="F14" s="149"/>
      <c r="G14" s="26">
        <f>SUM(G12:G13)</f>
        <v>1203488.97</v>
      </c>
    </row>
    <row r="15" spans="1:7" ht="19.5" customHeight="1" x14ac:dyDescent="0.25">
      <c r="A15" s="2"/>
      <c r="B15" s="8"/>
      <c r="C15" s="8" t="s">
        <v>206</v>
      </c>
      <c r="D15" s="8"/>
      <c r="E15" s="40"/>
      <c r="F15" s="149"/>
      <c r="G15" s="26">
        <f>G10+G14</f>
        <v>1203488.97</v>
      </c>
    </row>
    <row r="16" spans="1:7" x14ac:dyDescent="0.25">
      <c r="A16" s="24"/>
      <c r="B16" s="164"/>
      <c r="C16" s="24"/>
      <c r="D16" s="24"/>
      <c r="E16" s="24"/>
      <c r="F16" s="24"/>
      <c r="G16" s="24"/>
    </row>
    <row r="17" spans="1:7" x14ac:dyDescent="0.25">
      <c r="A17" s="4" t="s">
        <v>198</v>
      </c>
      <c r="B17" s="12"/>
      <c r="C17" s="12"/>
      <c r="D17" s="24"/>
      <c r="E17" s="24"/>
      <c r="F17" s="24"/>
      <c r="G17" s="24"/>
    </row>
    <row r="18" spans="1:7" x14ac:dyDescent="0.25">
      <c r="A18" s="162" t="s">
        <v>76</v>
      </c>
      <c r="B18" s="12"/>
      <c r="C18" s="12"/>
      <c r="D18" s="24"/>
      <c r="E18" s="24"/>
      <c r="F18" s="24"/>
      <c r="G18" s="24"/>
    </row>
    <row r="19" spans="1:7" x14ac:dyDescent="0.25">
      <c r="A19" s="4"/>
      <c r="B19" s="12"/>
      <c r="C19" s="12"/>
      <c r="D19" s="24"/>
      <c r="E19" s="24"/>
      <c r="F19" s="24"/>
      <c r="G19" s="24"/>
    </row>
    <row r="20" spans="1:7" x14ac:dyDescent="0.25">
      <c r="A20" s="4" t="s">
        <v>199</v>
      </c>
      <c r="B20" s="12"/>
      <c r="C20" s="12"/>
      <c r="D20" s="24"/>
      <c r="E20" s="24"/>
      <c r="F20" s="24"/>
      <c r="G20" s="24"/>
    </row>
    <row r="21" spans="1:7" x14ac:dyDescent="0.25">
      <c r="A21" s="162" t="s">
        <v>78</v>
      </c>
      <c r="B21" s="12"/>
      <c r="C21" s="12"/>
      <c r="D21" s="24"/>
      <c r="E21" s="24"/>
      <c r="F21" s="24"/>
      <c r="G21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2023-11-26T05:31:58Z</cp:lastPrinted>
  <dcterms:created xsi:type="dcterms:W3CDTF">2020-09-30T08:50:27Z</dcterms:created>
  <dcterms:modified xsi:type="dcterms:W3CDTF">2023-11-26T05:32:11Z</dcterms:modified>
  <cp:category/>
</cp:coreProperties>
</file>