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B290D7DF-A3B4-49CA-88EF-F0DCCB59BC6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Прил.3!$A$1:$H$30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3" i="9"/>
  <c r="G13" i="9" s="1"/>
  <c r="E13" i="9"/>
  <c r="D13" i="9"/>
  <c r="C13" i="9"/>
  <c r="B13" i="9"/>
  <c r="F12" i="9"/>
  <c r="G12" i="9" s="1"/>
  <c r="G14" i="9" s="1"/>
  <c r="E12" i="9"/>
  <c r="D12" i="9"/>
  <c r="C12" i="9"/>
  <c r="B12" i="9"/>
  <c r="G33" i="8"/>
  <c r="H33" i="8" s="1"/>
  <c r="J32" i="8"/>
  <c r="J33" i="8" s="1"/>
  <c r="C17" i="7" s="1"/>
  <c r="I32" i="8"/>
  <c r="G32" i="8"/>
  <c r="G31" i="8"/>
  <c r="G34" i="8" s="1"/>
  <c r="H34" i="8" s="1"/>
  <c r="I30" i="8"/>
  <c r="J30" i="8" s="1"/>
  <c r="J31" i="8" s="1"/>
  <c r="G30" i="8"/>
  <c r="H30" i="8" s="1"/>
  <c r="G25" i="8"/>
  <c r="J24" i="8"/>
  <c r="J25" i="8" s="1"/>
  <c r="J26" i="8" s="1"/>
  <c r="C25" i="7" s="1"/>
  <c r="I24" i="8"/>
  <c r="G24" i="8"/>
  <c r="J23" i="8"/>
  <c r="J22" i="8"/>
  <c r="F22" i="8"/>
  <c r="G22" i="8" s="1"/>
  <c r="J19" i="8"/>
  <c r="G19" i="8"/>
  <c r="E14" i="8"/>
  <c r="I13" i="8"/>
  <c r="J13" i="8" s="1"/>
  <c r="J14" i="8" s="1"/>
  <c r="G13" i="8"/>
  <c r="G14" i="8" s="1"/>
  <c r="C13" i="7"/>
  <c r="C14" i="7" s="1"/>
  <c r="C12" i="7"/>
  <c r="H21" i="6"/>
  <c r="H20" i="6"/>
  <c r="H19" i="6"/>
  <c r="H18" i="6"/>
  <c r="H17" i="6"/>
  <c r="H16" i="6"/>
  <c r="H13" i="6"/>
  <c r="H12" i="6"/>
  <c r="F12" i="6"/>
  <c r="H12" i="5"/>
  <c r="H14" i="5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4" i="8" l="1"/>
  <c r="C16" i="7"/>
  <c r="J34" i="8"/>
  <c r="J35" i="8" s="1"/>
  <c r="H32" i="8"/>
  <c r="C11" i="7"/>
  <c r="G23" i="8"/>
  <c r="G26" i="8" s="1"/>
  <c r="H22" i="8" s="1"/>
  <c r="H25" i="8"/>
  <c r="G15" i="9"/>
  <c r="G27" i="8"/>
  <c r="J27" i="8" s="1"/>
  <c r="C26" i="7" s="1"/>
  <c r="H31" i="8"/>
  <c r="G38" i="8"/>
  <c r="G35" i="8"/>
  <c r="D37" i="8"/>
  <c r="J37" i="8" s="1"/>
  <c r="D36" i="8"/>
  <c r="J36" i="8" s="1"/>
  <c r="J38" i="8" s="1"/>
  <c r="J39" i="8" s="1"/>
  <c r="J40" i="8" s="1"/>
  <c r="D18" i="4"/>
  <c r="D17" i="4" s="1"/>
  <c r="D23" i="4" s="1"/>
  <c r="D24" i="4" s="1"/>
  <c r="F13" i="5"/>
  <c r="D19" i="4"/>
  <c r="H13" i="5"/>
  <c r="H13" i="8"/>
  <c r="G39" i="8" l="1"/>
  <c r="G40" i="8" s="1"/>
  <c r="H23" i="8"/>
  <c r="C18" i="7"/>
  <c r="C22" i="7"/>
  <c r="C20" i="7"/>
  <c r="C19" i="7" l="1"/>
  <c r="C24" i="7" s="1"/>
  <c r="C29" i="7" l="1"/>
  <c r="C30" i="7" s="1"/>
  <c r="D24" i="7"/>
  <c r="D12" i="7"/>
  <c r="C27" i="7"/>
  <c r="D15" i="7"/>
  <c r="D17" i="7"/>
  <c r="D14" i="7"/>
  <c r="D13" i="7"/>
  <c r="D11" i="7"/>
  <c r="D16" i="7"/>
  <c r="D18" i="7"/>
  <c r="D22" i="7"/>
  <c r="D20" i="7"/>
  <c r="C37" i="7" l="1"/>
  <c r="C36" i="7"/>
  <c r="C38" i="7" l="1"/>
  <c r="C39" i="7" l="1"/>
  <c r="C40" i="7" l="1"/>
  <c r="E39" i="7"/>
  <c r="E40" i="7" l="1"/>
  <c r="E33" i="7"/>
  <c r="E32" i="7"/>
  <c r="E31" i="7"/>
  <c r="E15" i="7"/>
  <c r="E35" i="7"/>
  <c r="E12" i="7"/>
  <c r="C41" i="7"/>
  <c r="D11" i="10" s="1"/>
  <c r="E34" i="7"/>
  <c r="E14" i="7"/>
  <c r="E25" i="7"/>
  <c r="E17" i="7"/>
  <c r="E13" i="7"/>
  <c r="E16" i="7"/>
  <c r="E26" i="7"/>
  <c r="E11" i="7"/>
  <c r="E20" i="7"/>
  <c r="E18" i="7"/>
  <c r="E22" i="7"/>
  <c r="E24" i="7"/>
  <c r="E27" i="7"/>
  <c r="E29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<sst xmlns="http://schemas.openxmlformats.org/spreadsheetml/2006/main" count="521" uniqueCount="369">
  <si>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</si>
  <si>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</si>
  <si>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</si>
  <si>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</si>
  <si>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</si>
  <si>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</si>
  <si>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</si>
  <si>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</si>
  <si>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</si>
  <si>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</si>
  <si>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</si>
  <si>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</si>
  <si>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</si>
  <si>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</si>
  <si>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</si>
  <si>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</si>
  <si>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</si>
  <si>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</si>
  <si>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</si>
  <si>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</si>
  <si>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</si>
  <si>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</si>
  <si>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</si>
  <si>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</si>
  <si>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</si>
  <si>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</si>
  <si>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</si>
  <si>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</si>
  <si>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</si>
  <si>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</si>
  <si>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</si>
  <si>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</si>
  <si>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</si>
  <si>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</si>
  <si>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</si>
  <si>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</si>
  <si>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</si>
  <si>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</si>
  <si>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</si>
  <si>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</si>
  <si>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</si>
  <si>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</si>
  <si>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</si>
  <si>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</si>
  <si>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</si>
  <si>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</si>
  <si>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</si>
  <si>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330 кВ</t>
  </si>
  <si>
    <t>Сопоставимый уровень цен: 4 квартал 2019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</si>
  <si>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</si>
  <si>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</si>
  <si>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</si>
  <si>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</si>
  <si>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</si>
  <si>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</si>
  <si>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</si>
  <si>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</si>
  <si>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</si>
  <si>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</si>
  <si>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</si>
  <si>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- 52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</si>
  <si>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</si>
  <si>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</si>
  <si>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</si>
  <si>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</si>
  <si>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</si>
  <si>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</si>
  <si>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</si>
  <si>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</si>
  <si>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</si>
  <si>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</si>
  <si>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</si>
  <si>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</si>
  <si>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</si>
  <si>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</si>
  <si>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</si>
  <si>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</si>
  <si>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</si>
  <si>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</si>
  <si>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</si>
  <si>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</si>
  <si>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</si>
  <si>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</si>
  <si>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</si>
  <si>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</si>
  <si>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</si>
  <si>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</si>
  <si>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</si>
  <si>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</si>
  <si>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</si>
  <si>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Комплекс стационарных камер охранного (технологического) видеонаблюдения ПС 330 кВ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</si>
  <si>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</si>
  <si>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</si>
  <si>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</si>
  <si>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</si>
  <si>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</si>
  <si>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</si>
  <si>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</si>
  <si>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</si>
  <si>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</si>
  <si>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</si>
  <si>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</si>
  <si>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</si>
  <si>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</si>
  <si>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</si>
  <si>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</si>
  <si>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</si>
  <si>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</si>
  <si>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</si>
  <si>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</si>
  <si>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</si>
  <si>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</si>
  <si>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</si>
  <si>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</si>
  <si>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</si>
  <si>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</si>
  <si>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</si>
  <si>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</si>
  <si>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</si>
  <si>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</si>
  <si>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</si>
  <si>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</si>
  <si>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</si>
  <si>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</si>
  <si>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</si>
  <si>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</si>
  <si>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</si>
  <si>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</si>
  <si>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</si>
  <si>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</si>
  <si>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</si>
  <si>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</si>
  <si>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</si>
  <si>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</si>
  <si>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</si>
  <si>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</si>
  <si>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</si>
  <si>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</si>
  <si>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</si>
  <si>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</si>
  <si>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</si>
  <si>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</si>
  <si>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</si>
  <si>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</si>
  <si>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</si>
  <si>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</si>
  <si>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</si>
  <si>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</si>
  <si>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</si>
  <si>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</si>
  <si>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</si>
  <si>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</si>
  <si>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</si>
  <si>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</si>
  <si>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</si>
  <si>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</si>
  <si>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</si>
  <si>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</si>
  <si>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</si>
  <si>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</si>
  <si>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</si>
  <si>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</si>
  <si>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</si>
  <si>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</si>
  <si>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</si>
  <si>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</si>
  <si>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</si>
  <si>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</si>
  <si>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</si>
  <si>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</si>
  <si>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</si>
  <si>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</si>
  <si>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</si>
  <si>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</si>
  <si>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</si>
  <si>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</si>
  <si>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</si>
  <si>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</si>
  <si>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</si>
  <si>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</si>
  <si>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</si>
  <si>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</si>
  <si>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</si>
  <si>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</si>
  <si>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</si>
  <si>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</si>
  <si>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</si>
  <si>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</si>
  <si>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</si>
  <si>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</si>
  <si>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</si>
  <si>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</si>
  <si>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</si>
  <si>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</si>
  <si>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</si>
  <si>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</si>
  <si>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</si>
  <si>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</si>
  <si>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</si>
  <si>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</si>
  <si>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</si>
  <si>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</si>
  <si>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</si>
  <si>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</si>
  <si>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</si>
  <si>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</si>
  <si>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</si>
  <si>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</si>
  <si>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</si>
  <si>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</si>
  <si>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</si>
  <si>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</si>
  <si>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</si>
  <si>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</si>
  <si>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</si>
  <si>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З1_ПС_стац.кам._330_кВ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</si>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</sst>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28</xdr:row>
      <xdr:rowOff>112485</xdr:rowOff>
    </xdr:from>
    <xdr:to>
      <xdr:col>2</xdr:col>
      <xdr:colOff>1186102</xdr:colOff>
      <xdr:row>31</xdr:row>
      <xdr:rowOff>28459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C387DE-33C3-4F7C-AB81-227ACF8F9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13866585"/>
          <a:ext cx="944802" cy="516049"/>
        </a:xfrm>
        <a:prstGeom prst="rect">
          <a:avLst/>
        </a:prstGeom>
      </xdr:spPr>
    </xdr:pic>
    <xdr:clientData/>
  </xdr:twoCellAnchor>
  <xdr:twoCellAnchor editAs="oneCell">
    <xdr:from>
      <xdr:col>2</xdr:col>
      <xdr:colOff>336551</xdr:colOff>
      <xdr:row>26</xdr:row>
      <xdr:rowOff>320675</xdr:rowOff>
    </xdr:from>
    <xdr:to>
      <xdr:col>2</xdr:col>
      <xdr:colOff>1174750</xdr:colOff>
      <xdr:row>28</xdr:row>
      <xdr:rowOff>91695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A4C80D5-31A5-4372-9D0E-61039F4EE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1" y="13398500"/>
          <a:ext cx="838199" cy="447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496661</xdr:colOff>
      <xdr:row>22</xdr:row>
      <xdr:rowOff>120650</xdr:rowOff>
    </xdr:from>
    <xdr:to>
      <xdr:col>2</xdr:col>
      <xdr:colOff>1441463</xdr:colOff>
      <xdr:row>25</xdr:row>
      <xdr:rowOff>36623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0B51A3-2F0C-4E05-B247-EACE3B750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5577114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591912</xdr:colOff>
      <xdr:row>20</xdr:row>
      <xdr:rowOff>52614</xdr:rowOff>
    </xdr:from>
    <xdr:to>
      <xdr:col>2</xdr:col>
      <xdr:colOff>1430111</xdr:colOff>
      <xdr:row>22</xdr:row>
      <xdr:rowOff>99860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241E6D1-75A4-4E56-87D2-CB09285E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6" y="5100864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24</xdr:row>
      <xdr:rowOff>161925</xdr:rowOff>
    </xdr:from>
    <xdr:to>
      <xdr:col>2</xdr:col>
      <xdr:colOff>1068627</xdr:colOff>
      <xdr:row>27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4265E2-59B7-4231-9F02-9974BDF47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553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22</xdr:row>
      <xdr:rowOff>85725</xdr:rowOff>
    </xdr:from>
    <xdr:to>
      <xdr:col>2</xdr:col>
      <xdr:colOff>1057275</xdr:colOff>
      <xdr:row>24</xdr:row>
      <xdr:rowOff>141135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24B4B10-F7BD-438E-85F2-638AC0028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6076950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85725</xdr:rowOff>
    </xdr:from>
    <xdr:to>
      <xdr:col>1</xdr:col>
      <xdr:colOff>1725852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E2193E-B29F-49C6-98C9-6A4ACF9E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E623F80-4C2A-414E-891A-C4519113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473375</xdr:colOff>
      <xdr:row>42</xdr:row>
      <xdr:rowOff>116006</xdr:rowOff>
    </xdr:from>
    <xdr:to>
      <xdr:col>1</xdr:col>
      <xdr:colOff>1420662</xdr:colOff>
      <xdr:row>45</xdr:row>
      <xdr:rowOff>77001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60DEB1-C885-44E5-990B-1861D1B4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75" y="9657571"/>
          <a:ext cx="947287" cy="507647"/>
        </a:xfrm>
        <a:prstGeom prst="rect">
          <a:avLst/>
        </a:prstGeom>
      </xdr:spPr>
    </xdr:pic>
    <xdr:clientData/>
  </xdr:twoCellAnchor>
  <xdr:twoCellAnchor editAs="oneCell">
    <xdr:from>
      <xdr:col>1</xdr:col>
      <xdr:colOff>568626</xdr:colOff>
      <xdr:row>40</xdr:row>
      <xdr:rowOff>29038</xdr:rowOff>
    </xdr:from>
    <xdr:to>
      <xdr:col>1</xdr:col>
      <xdr:colOff>1409310</xdr:colOff>
      <xdr:row>42</xdr:row>
      <xdr:rowOff>95216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7590274-BD17-40D3-8928-B83C33DA8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26" y="9197886"/>
          <a:ext cx="840684" cy="438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17</xdr:row>
      <xdr:rowOff>76200</xdr:rowOff>
    </xdr:from>
    <xdr:to>
      <xdr:col>2</xdr:col>
      <xdr:colOff>259002</xdr:colOff>
      <xdr:row>20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127267-FEC5-43C5-B749-C22BEAA6B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43719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581026</xdr:colOff>
      <xdr:row>14</xdr:row>
      <xdr:rowOff>228600</xdr:rowOff>
    </xdr:from>
    <xdr:to>
      <xdr:col>2</xdr:col>
      <xdr:colOff>247650</xdr:colOff>
      <xdr:row>17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78C9BAF-9AFB-47D9-B10D-424C56D61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38957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08723C-EB7E-4781-A25F-DB478E8BA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38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99C1474-DDC4-418A-A3B3-FB279E888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27</xdr:row>
      <xdr:rowOff>111125</xdr:rowOff>
    </xdr:from>
    <xdr:to>
      <xdr:col>1</xdr:col>
      <xdr:colOff>1770302</xdr:colOff>
      <xdr:row>30</xdr:row>
      <xdr:rowOff>63838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158B3AA-4746-4438-9129-1283D2220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941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920751</xdr:colOff>
      <xdr:row>25</xdr:row>
      <xdr:rowOff>15875</xdr:rowOff>
    </xdr:from>
    <xdr:to>
      <xdr:col>1</xdr:col>
      <xdr:colOff>1758950</xdr:colOff>
      <xdr:row>27</xdr:row>
      <xdr:rowOff>90335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FD49A2A-EE30-4234-96B3-D9010FEC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8937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8" t="s">
        <v>0</v>
      </c>
      <c r="B2" s="308"/>
      <c r="C2" s="308"/>
    </row>
    <row r="3" spans="1:3" x14ac:dyDescent="0.25">
      <c r="A3" s="1"/>
      <c r="B3" s="1"/>
      <c r="C3" s="1"/>
    </row>
    <row r="4" spans="1:3" x14ac:dyDescent="0.25">
      <c r="A4" s="309" t="s">
        <v>1</v>
      </c>
      <c r="B4" s="309"/>
      <c r="C4" s="3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0" t="s">
        <v>3</v>
      </c>
      <c r="C6" s="310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296" customWidth="1"/>
    <col min="2" max="2" width="16.42578125" style="296" customWidth="1"/>
    <col min="3" max="3" width="37.140625" style="296" customWidth="1"/>
    <col min="4" max="4" width="49" style="296" customWidth="1"/>
    <col min="5" max="5" width="9.140625" style="296" customWidth="1"/>
  </cols>
  <sheetData>
    <row r="1" spans="1:4" ht="15.75" customHeight="1" x14ac:dyDescent="0.25">
      <c r="A1" s="295"/>
      <c r="B1" s="295"/>
      <c r="C1" s="295"/>
      <c r="D1" s="295" t="s">
        <v>208</v>
      </c>
    </row>
    <row r="2" spans="1:4" ht="15.75" customHeight="1" x14ac:dyDescent="0.25">
      <c r="A2" s="295"/>
      <c r="B2" s="295"/>
      <c r="C2" s="295"/>
      <c r="D2" s="295"/>
    </row>
    <row r="3" spans="1:4" ht="15.75" customHeight="1" x14ac:dyDescent="0.25">
      <c r="A3" s="295"/>
      <c r="B3" s="297" t="s">
        <v>209</v>
      </c>
      <c r="C3" s="295"/>
      <c r="D3" s="295"/>
    </row>
    <row r="4" spans="1:4" ht="15.75" customHeight="1" x14ac:dyDescent="0.25">
      <c r="A4" s="295"/>
      <c r="B4" s="295"/>
      <c r="C4" s="295"/>
      <c r="D4" s="295"/>
    </row>
    <row r="5" spans="1:4" ht="47.25" customHeight="1" x14ac:dyDescent="0.25">
      <c r="A5" s="357" t="s">
        <v>210</v>
      </c>
      <c r="B5" s="357"/>
      <c r="C5" s="357"/>
      <c r="D5" s="298" t="str">
        <f>'Прил.5 Расчет СМР и ОБ'!D6:J6</f>
        <v>Постоянная часть ПС, комплекс стационарных камер охранного (технологического) видеонаблюдения ПС 330 кВ</v>
      </c>
    </row>
    <row r="6" spans="1:4" ht="15.75" customHeight="1" x14ac:dyDescent="0.25">
      <c r="A6" s="295" t="s">
        <v>49</v>
      </c>
      <c r="B6" s="295"/>
      <c r="C6" s="295"/>
      <c r="D6" s="295"/>
    </row>
    <row r="7" spans="1:4" ht="15.75" customHeight="1" x14ac:dyDescent="0.25">
      <c r="A7" s="295"/>
      <c r="B7" s="295"/>
      <c r="C7" s="295"/>
      <c r="D7" s="295"/>
    </row>
    <row r="8" spans="1:4" x14ac:dyDescent="0.25">
      <c r="A8" s="321" t="s">
        <v>5</v>
      </c>
      <c r="B8" s="321" t="s">
        <v>6</v>
      </c>
      <c r="C8" s="321" t="s">
        <v>211</v>
      </c>
      <c r="D8" s="321" t="s">
        <v>212</v>
      </c>
    </row>
    <row r="9" spans="1:4" x14ac:dyDescent="0.25">
      <c r="A9" s="321"/>
      <c r="B9" s="321"/>
      <c r="C9" s="321"/>
      <c r="D9" s="321"/>
    </row>
    <row r="10" spans="1:4" ht="15.75" customHeight="1" x14ac:dyDescent="0.25">
      <c r="A10" s="299">
        <v>1</v>
      </c>
      <c r="B10" s="299">
        <v>2</v>
      </c>
      <c r="C10" s="299">
        <v>3</v>
      </c>
      <c r="D10" s="299">
        <v>4</v>
      </c>
    </row>
    <row r="11" spans="1:4" ht="63" customHeight="1" x14ac:dyDescent="0.25">
      <c r="A11" s="305" t="s">
        <v>213</v>
      </c>
      <c r="B11" s="305" t="s">
        <v>214</v>
      </c>
      <c r="C11" s="306" t="s">
        <v>215</v>
      </c>
      <c r="D11" s="300">
        <f>'Прил.4 РМ'!C41/1000</f>
        <v>12603.048570000001</v>
      </c>
    </row>
    <row r="13" spans="1:4" x14ac:dyDescent="0.25">
      <c r="A13" s="301" t="s">
        <v>216</v>
      </c>
      <c r="B13" s="302"/>
      <c r="C13" s="302"/>
      <c r="D13" s="303"/>
    </row>
    <row r="14" spans="1:4" x14ac:dyDescent="0.25">
      <c r="A14" s="304" t="s">
        <v>76</v>
      </c>
      <c r="B14" s="302"/>
      <c r="C14" s="302"/>
      <c r="D14" s="303"/>
    </row>
    <row r="15" spans="1:4" x14ac:dyDescent="0.25">
      <c r="A15" s="301"/>
      <c r="B15" s="302"/>
      <c r="C15" s="302"/>
      <c r="D15" s="303"/>
    </row>
    <row r="16" spans="1:4" x14ac:dyDescent="0.25">
      <c r="A16" s="301" t="s">
        <v>77</v>
      </c>
      <c r="B16" s="302"/>
      <c r="C16" s="302"/>
      <c r="D16" s="303"/>
    </row>
    <row r="17" spans="1:4" x14ac:dyDescent="0.25">
      <c r="A17" s="304" t="s">
        <v>78</v>
      </c>
      <c r="B17" s="302"/>
      <c r="C17" s="302"/>
      <c r="D17" s="303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3" sqref="D2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5" t="s">
        <v>217</v>
      </c>
      <c r="C4" s="315"/>
      <c r="D4" s="315"/>
    </row>
    <row r="5" spans="2:5" ht="18.75" customHeight="1" x14ac:dyDescent="0.25">
      <c r="B5" s="245"/>
    </row>
    <row r="6" spans="2:5" ht="15.75" customHeight="1" x14ac:dyDescent="0.25">
      <c r="B6" s="316" t="s">
        <v>218</v>
      </c>
      <c r="C6" s="316"/>
      <c r="D6" s="316"/>
    </row>
    <row r="7" spans="2:5" x14ac:dyDescent="0.25">
      <c r="B7" s="358"/>
      <c r="C7" s="358"/>
      <c r="D7" s="358"/>
      <c r="E7" s="358"/>
    </row>
    <row r="8" spans="2:5" x14ac:dyDescent="0.25">
      <c r="B8" s="282"/>
      <c r="C8" s="282"/>
      <c r="D8" s="282"/>
      <c r="E8" s="282"/>
    </row>
    <row r="9" spans="2:5" ht="47.25" customHeight="1" x14ac:dyDescent="0.25">
      <c r="B9" s="267" t="s">
        <v>219</v>
      </c>
      <c r="C9" s="267" t="s">
        <v>220</v>
      </c>
      <c r="D9" s="267" t="s">
        <v>221</v>
      </c>
    </row>
    <row r="10" spans="2:5" ht="15.75" customHeight="1" x14ac:dyDescent="0.25">
      <c r="B10" s="267">
        <v>1</v>
      </c>
      <c r="C10" s="267">
        <v>2</v>
      </c>
      <c r="D10" s="267">
        <v>3</v>
      </c>
    </row>
    <row r="11" spans="2:5" ht="45" customHeight="1" x14ac:dyDescent="0.25">
      <c r="B11" s="267" t="s">
        <v>222</v>
      </c>
      <c r="C11" s="267" t="s">
        <v>223</v>
      </c>
      <c r="D11" s="267">
        <v>44.29</v>
      </c>
    </row>
    <row r="12" spans="2:5" ht="29.25" customHeight="1" x14ac:dyDescent="0.25">
      <c r="B12" s="267" t="s">
        <v>224</v>
      </c>
      <c r="C12" s="267" t="s">
        <v>223</v>
      </c>
      <c r="D12" s="267">
        <v>13.47</v>
      </c>
    </row>
    <row r="13" spans="2:5" ht="29.25" customHeight="1" x14ac:dyDescent="0.25">
      <c r="B13" s="267" t="s">
        <v>225</v>
      </c>
      <c r="C13" s="267" t="s">
        <v>223</v>
      </c>
      <c r="D13" s="267">
        <v>8.0399999999999991</v>
      </c>
    </row>
    <row r="14" spans="2:5" ht="30.75" customHeight="1" x14ac:dyDescent="0.25">
      <c r="B14" s="267" t="s">
        <v>226</v>
      </c>
      <c r="C14" s="163" t="s">
        <v>227</v>
      </c>
      <c r="D14" s="267">
        <v>6.26</v>
      </c>
    </row>
    <row r="15" spans="2:5" ht="89.25" customHeight="1" x14ac:dyDescent="0.25">
      <c r="B15" s="267" t="s">
        <v>228</v>
      </c>
      <c r="C15" s="267" t="s">
        <v>229</v>
      </c>
      <c r="D15" s="246">
        <v>3.9E-2</v>
      </c>
    </row>
    <row r="16" spans="2:5" ht="78.75" customHeight="1" x14ac:dyDescent="0.25">
      <c r="B16" s="267" t="s">
        <v>230</v>
      </c>
      <c r="C16" s="267" t="s">
        <v>231</v>
      </c>
      <c r="D16" s="246">
        <v>2.1000000000000001E-2</v>
      </c>
    </row>
    <row r="17" spans="2:4" ht="34.5" customHeight="1" x14ac:dyDescent="0.25">
      <c r="B17" s="267"/>
      <c r="C17" s="267"/>
      <c r="D17" s="267"/>
    </row>
    <row r="18" spans="2:4" ht="31.5" customHeight="1" x14ac:dyDescent="0.25">
      <c r="B18" s="267" t="s">
        <v>232</v>
      </c>
      <c r="C18" s="267" t="s">
        <v>233</v>
      </c>
      <c r="D18" s="246">
        <v>2.1399999999999999E-2</v>
      </c>
    </row>
    <row r="19" spans="2:4" ht="31.5" customHeight="1" x14ac:dyDescent="0.25">
      <c r="B19" s="267" t="s">
        <v>159</v>
      </c>
      <c r="C19" s="267" t="s">
        <v>234</v>
      </c>
      <c r="D19" s="246">
        <v>2E-3</v>
      </c>
    </row>
    <row r="20" spans="2:4" ht="24" customHeight="1" x14ac:dyDescent="0.25">
      <c r="B20" s="267" t="s">
        <v>161</v>
      </c>
      <c r="C20" s="267" t="s">
        <v>235</v>
      </c>
      <c r="D20" s="246">
        <v>0.03</v>
      </c>
    </row>
    <row r="21" spans="2:4" ht="18.75" customHeight="1" x14ac:dyDescent="0.25">
      <c r="B21" s="247"/>
    </row>
    <row r="22" spans="2:4" ht="18.75" customHeight="1" x14ac:dyDescent="0.25">
      <c r="B22" s="247"/>
    </row>
    <row r="23" spans="2:4" ht="18.75" customHeight="1" x14ac:dyDescent="0.25">
      <c r="B23" s="247"/>
    </row>
    <row r="24" spans="2:4" ht="18.75" customHeight="1" x14ac:dyDescent="0.25">
      <c r="B24" s="247"/>
    </row>
    <row r="27" spans="2:4" x14ac:dyDescent="0.25">
      <c r="B27" s="4" t="s">
        <v>236</v>
      </c>
      <c r="C27" s="14"/>
    </row>
    <row r="28" spans="2:4" x14ac:dyDescent="0.25">
      <c r="B28" s="236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200</v>
      </c>
      <c r="C30" s="14"/>
    </row>
    <row r="31" spans="2:4" x14ac:dyDescent="0.25">
      <c r="B31" s="236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style="248" customWidth="1"/>
    <col min="2" max="2" width="44.85546875" style="248" customWidth="1"/>
    <col min="3" max="3" width="13" style="248" customWidth="1"/>
    <col min="4" max="4" width="22.85546875" style="248" customWidth="1"/>
    <col min="5" max="5" width="21.5703125" style="248" customWidth="1"/>
    <col min="6" max="6" width="43.85546875" style="248" customWidth="1"/>
    <col min="7" max="7" width="9.140625" style="248" customWidth="1"/>
  </cols>
  <sheetData>
    <row r="2" spans="1:7" ht="17.25" customHeight="1" x14ac:dyDescent="0.25">
      <c r="A2" s="316" t="s">
        <v>237</v>
      </c>
      <c r="B2" s="316"/>
      <c r="C2" s="316"/>
      <c r="D2" s="316"/>
      <c r="E2" s="316"/>
      <c r="F2" s="316"/>
    </row>
    <row r="4" spans="1:7" ht="18" customHeight="1" x14ac:dyDescent="0.25">
      <c r="A4" s="249" t="s">
        <v>238</v>
      </c>
      <c r="B4" s="250"/>
      <c r="C4" s="250"/>
      <c r="D4" s="250"/>
      <c r="E4" s="250"/>
      <c r="F4" s="250"/>
      <c r="G4" s="250"/>
    </row>
    <row r="5" spans="1:7" ht="15.75" customHeight="1" x14ac:dyDescent="0.25">
      <c r="A5" s="251" t="s">
        <v>13</v>
      </c>
      <c r="B5" s="251" t="s">
        <v>239</v>
      </c>
      <c r="C5" s="251" t="s">
        <v>240</v>
      </c>
      <c r="D5" s="251" t="s">
        <v>241</v>
      </c>
      <c r="E5" s="251" t="s">
        <v>242</v>
      </c>
      <c r="F5" s="251" t="s">
        <v>243</v>
      </c>
      <c r="G5" s="250"/>
    </row>
    <row r="6" spans="1:7" ht="15.75" customHeight="1" x14ac:dyDescent="0.25">
      <c r="A6" s="251">
        <v>1</v>
      </c>
      <c r="B6" s="251">
        <v>2</v>
      </c>
      <c r="C6" s="251">
        <v>3</v>
      </c>
      <c r="D6" s="251">
        <v>4</v>
      </c>
      <c r="E6" s="251">
        <v>5</v>
      </c>
      <c r="F6" s="251">
        <v>6</v>
      </c>
      <c r="G6" s="250"/>
    </row>
    <row r="7" spans="1:7" ht="110.25" customHeight="1" x14ac:dyDescent="0.25">
      <c r="A7" s="252" t="s">
        <v>244</v>
      </c>
      <c r="B7" s="253" t="s">
        <v>245</v>
      </c>
      <c r="C7" s="254" t="s">
        <v>246</v>
      </c>
      <c r="D7" s="254" t="s">
        <v>247</v>
      </c>
      <c r="E7" s="255">
        <v>47872.94</v>
      </c>
      <c r="F7" s="253" t="s">
        <v>248</v>
      </c>
      <c r="G7" s="250"/>
    </row>
    <row r="8" spans="1:7" ht="31.5" customHeight="1" x14ac:dyDescent="0.25">
      <c r="A8" s="252" t="s">
        <v>249</v>
      </c>
      <c r="B8" s="253" t="s">
        <v>250</v>
      </c>
      <c r="C8" s="254" t="s">
        <v>251</v>
      </c>
      <c r="D8" s="254" t="s">
        <v>252</v>
      </c>
      <c r="E8" s="255">
        <f>1973/12</f>
        <v>164.41666666667001</v>
      </c>
      <c r="F8" s="256" t="s">
        <v>253</v>
      </c>
      <c r="G8" s="257"/>
    </row>
    <row r="9" spans="1:7" ht="15.75" customHeight="1" x14ac:dyDescent="0.25">
      <c r="A9" s="252" t="s">
        <v>254</v>
      </c>
      <c r="B9" s="253" t="s">
        <v>255</v>
      </c>
      <c r="C9" s="254" t="s">
        <v>256</v>
      </c>
      <c r="D9" s="254" t="s">
        <v>247</v>
      </c>
      <c r="E9" s="255">
        <v>1</v>
      </c>
      <c r="F9" s="256"/>
      <c r="G9" s="258"/>
    </row>
    <row r="10" spans="1:7" ht="15.75" customHeight="1" x14ac:dyDescent="0.25">
      <c r="A10" s="252" t="s">
        <v>257</v>
      </c>
      <c r="B10" s="253" t="s">
        <v>258</v>
      </c>
      <c r="C10" s="254"/>
      <c r="D10" s="254"/>
      <c r="E10" s="259">
        <v>4.9000000000000004</v>
      </c>
      <c r="F10" s="256" t="s">
        <v>259</v>
      </c>
      <c r="G10" s="258"/>
    </row>
    <row r="11" spans="1:7" ht="78.75" customHeight="1" x14ac:dyDescent="0.25">
      <c r="A11" s="252" t="s">
        <v>260</v>
      </c>
      <c r="B11" s="253" t="s">
        <v>261</v>
      </c>
      <c r="C11" s="254" t="s">
        <v>262</v>
      </c>
      <c r="D11" s="254" t="s">
        <v>247</v>
      </c>
      <c r="E11" s="260">
        <v>1.522</v>
      </c>
      <c r="F11" s="253" t="s">
        <v>263</v>
      </c>
      <c r="G11" s="250"/>
    </row>
    <row r="12" spans="1:7" ht="78.75" customHeight="1" x14ac:dyDescent="0.25">
      <c r="A12" s="252" t="s">
        <v>264</v>
      </c>
      <c r="B12" s="261" t="s">
        <v>265</v>
      </c>
      <c r="C12" s="254" t="s">
        <v>266</v>
      </c>
      <c r="D12" s="254" t="s">
        <v>247</v>
      </c>
      <c r="E12" s="262">
        <v>1.139</v>
      </c>
      <c r="F12" s="263" t="s">
        <v>267</v>
      </c>
      <c r="G12" s="258"/>
    </row>
    <row r="13" spans="1:7" ht="63" customHeight="1" x14ac:dyDescent="0.25">
      <c r="A13" s="252" t="s">
        <v>268</v>
      </c>
      <c r="B13" s="264" t="s">
        <v>269</v>
      </c>
      <c r="C13" s="254" t="s">
        <v>270</v>
      </c>
      <c r="D13" s="254" t="s">
        <v>271</v>
      </c>
      <c r="E13" s="265">
        <f>((E7*E9/E8)*E11)*E12</f>
        <v>504.75733271476997</v>
      </c>
      <c r="F13" s="253" t="s">
        <v>272</v>
      </c>
      <c r="G13" s="25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59" t="s">
        <v>273</v>
      </c>
      <c r="B1" s="359"/>
      <c r="C1" s="359"/>
      <c r="D1" s="359"/>
      <c r="E1" s="359"/>
      <c r="F1" s="359"/>
      <c r="G1" s="359"/>
      <c r="H1" s="359"/>
      <c r="I1" s="359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1" t="e">
        <f>#REF!</f>
        <v>#REF!</v>
      </c>
      <c r="B3" s="311"/>
      <c r="C3" s="311"/>
      <c r="D3" s="311"/>
      <c r="E3" s="311"/>
      <c r="F3" s="311"/>
      <c r="G3" s="311"/>
      <c r="H3" s="311"/>
      <c r="I3" s="311"/>
    </row>
    <row r="4" spans="1:13" s="4" customFormat="1" ht="15.75" customHeight="1" x14ac:dyDescent="0.2">
      <c r="A4" s="360"/>
      <c r="B4" s="360"/>
      <c r="C4" s="360"/>
      <c r="D4" s="360"/>
      <c r="E4" s="360"/>
      <c r="F4" s="360"/>
      <c r="G4" s="360"/>
      <c r="H4" s="360"/>
      <c r="I4" s="360"/>
    </row>
    <row r="5" spans="1:13" s="31" customFormat="1" ht="36.6" customHeight="1" x14ac:dyDescent="0.35">
      <c r="A5" s="361" t="s">
        <v>13</v>
      </c>
      <c r="B5" s="361" t="s">
        <v>274</v>
      </c>
      <c r="C5" s="361" t="s">
        <v>275</v>
      </c>
      <c r="D5" s="361" t="s">
        <v>276</v>
      </c>
      <c r="E5" s="356" t="s">
        <v>277</v>
      </c>
      <c r="F5" s="356"/>
      <c r="G5" s="356"/>
      <c r="H5" s="356"/>
      <c r="I5" s="356"/>
    </row>
    <row r="6" spans="1:13" s="26" customFormat="1" ht="31.5" customHeight="1" x14ac:dyDescent="0.2">
      <c r="A6" s="361"/>
      <c r="B6" s="361"/>
      <c r="C6" s="361"/>
      <c r="D6" s="361"/>
      <c r="E6" s="32" t="s">
        <v>86</v>
      </c>
      <c r="F6" s="32" t="s">
        <v>87</v>
      </c>
      <c r="G6" s="32" t="s">
        <v>43</v>
      </c>
      <c r="H6" s="32" t="s">
        <v>278</v>
      </c>
      <c r="I6" s="32" t="s">
        <v>279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149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280</v>
      </c>
      <c r="C9" s="9" t="s">
        <v>281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282</v>
      </c>
      <c r="C11" s="9" t="s">
        <v>230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283</v>
      </c>
      <c r="C12" s="9" t="s">
        <v>284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285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233</v>
      </c>
      <c r="C14" s="9" t="s">
        <v>286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287</v>
      </c>
      <c r="C16" s="9" t="s">
        <v>288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289</v>
      </c>
    </row>
    <row r="17" spans="1:10" s="26" customFormat="1" ht="81.75" customHeight="1" x14ac:dyDescent="0.2">
      <c r="A17" s="33">
        <v>7</v>
      </c>
      <c r="B17" s="9" t="s">
        <v>287</v>
      </c>
      <c r="C17" s="136" t="s">
        <v>290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291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292</v>
      </c>
      <c r="C20" s="9" t="s">
        <v>161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293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294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295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296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297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6" t="s">
        <v>298</v>
      </c>
      <c r="O2" s="366"/>
    </row>
    <row r="3" spans="1:16" x14ac:dyDescent="0.25">
      <c r="A3" s="367" t="s">
        <v>299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</row>
    <row r="5" spans="1:16" s="49" customFormat="1" ht="37.5" customHeight="1" x14ac:dyDescent="0.25">
      <c r="A5" s="368" t="s">
        <v>300</v>
      </c>
      <c r="B5" s="371" t="s">
        <v>301</v>
      </c>
      <c r="C5" s="374" t="s">
        <v>302</v>
      </c>
      <c r="D5" s="377" t="s">
        <v>303</v>
      </c>
      <c r="E5" s="378"/>
      <c r="F5" s="378"/>
      <c r="G5" s="378"/>
      <c r="H5" s="378"/>
      <c r="I5" s="377" t="s">
        <v>304</v>
      </c>
      <c r="J5" s="378"/>
      <c r="K5" s="378"/>
      <c r="L5" s="378"/>
      <c r="M5" s="378"/>
      <c r="N5" s="378"/>
      <c r="O5" s="52" t="s">
        <v>305</v>
      </c>
    </row>
    <row r="6" spans="1:16" s="55" customFormat="1" ht="150" customHeight="1" x14ac:dyDescent="0.25">
      <c r="A6" s="369"/>
      <c r="B6" s="372"/>
      <c r="C6" s="375"/>
      <c r="D6" s="374" t="s">
        <v>306</v>
      </c>
      <c r="E6" s="379" t="s">
        <v>307</v>
      </c>
      <c r="F6" s="380"/>
      <c r="G6" s="381"/>
      <c r="H6" s="53" t="s">
        <v>308</v>
      </c>
      <c r="I6" s="382" t="s">
        <v>309</v>
      </c>
      <c r="J6" s="382" t="s">
        <v>306</v>
      </c>
      <c r="K6" s="383" t="s">
        <v>307</v>
      </c>
      <c r="L6" s="383"/>
      <c r="M6" s="383"/>
      <c r="N6" s="53" t="s">
        <v>308</v>
      </c>
      <c r="O6" s="54" t="s">
        <v>310</v>
      </c>
    </row>
    <row r="7" spans="1:16" s="55" customFormat="1" ht="30.75" customHeight="1" x14ac:dyDescent="0.25">
      <c r="A7" s="370"/>
      <c r="B7" s="373"/>
      <c r="C7" s="376"/>
      <c r="D7" s="376"/>
      <c r="E7" s="52" t="s">
        <v>86</v>
      </c>
      <c r="F7" s="52" t="s">
        <v>87</v>
      </c>
      <c r="G7" s="52" t="s">
        <v>43</v>
      </c>
      <c r="H7" s="56" t="s">
        <v>311</v>
      </c>
      <c r="I7" s="382"/>
      <c r="J7" s="382"/>
      <c r="K7" s="52" t="s">
        <v>86</v>
      </c>
      <c r="L7" s="52" t="s">
        <v>87</v>
      </c>
      <c r="M7" s="52" t="s">
        <v>43</v>
      </c>
      <c r="N7" s="56" t="s">
        <v>311</v>
      </c>
      <c r="O7" s="52" t="s">
        <v>312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8" t="s">
        <v>313</v>
      </c>
      <c r="C9" s="58" t="s">
        <v>314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0"/>
      <c r="C10" s="62" t="s">
        <v>315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8" t="s">
        <v>316</v>
      </c>
      <c r="C11" s="62" t="s">
        <v>317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0"/>
      <c r="C12" s="62" t="s">
        <v>318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8" t="s">
        <v>319</v>
      </c>
      <c r="C13" s="58" t="s">
        <v>320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0"/>
      <c r="C14" s="62" t="s">
        <v>321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322</v>
      </c>
      <c r="C15" s="62" t="s">
        <v>323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324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325</v>
      </c>
    </row>
    <row r="19" spans="1:15" ht="30.75" customHeight="1" x14ac:dyDescent="0.25">
      <c r="L19" s="74"/>
    </row>
    <row r="20" spans="1:15" ht="15" customHeight="1" outlineLevel="1" x14ac:dyDescent="0.25">
      <c r="G20" s="365" t="s">
        <v>326</v>
      </c>
      <c r="H20" s="365"/>
      <c r="I20" s="365"/>
      <c r="J20" s="365"/>
      <c r="K20" s="365"/>
      <c r="L20" s="365"/>
      <c r="M20" s="365"/>
      <c r="N20" s="365"/>
      <c r="O20" s="51"/>
    </row>
    <row r="21" spans="1:15" ht="15.75" customHeight="1" outlineLevel="1" x14ac:dyDescent="0.25">
      <c r="G21" s="75"/>
      <c r="H21" s="75" t="s">
        <v>327</v>
      </c>
      <c r="I21" s="75" t="s">
        <v>328</v>
      </c>
      <c r="J21" s="76" t="s">
        <v>329</v>
      </c>
      <c r="K21" s="77" t="s">
        <v>330</v>
      </c>
      <c r="L21" s="75" t="s">
        <v>331</v>
      </c>
      <c r="M21" s="75" t="s">
        <v>332</v>
      </c>
      <c r="N21" s="76" t="s">
        <v>333</v>
      </c>
      <c r="O21" s="78"/>
    </row>
    <row r="22" spans="1:15" ht="15.75" customHeight="1" outlineLevel="1" x14ac:dyDescent="0.25">
      <c r="G22" s="363" t="s">
        <v>334</v>
      </c>
      <c r="H22" s="362">
        <v>6.09</v>
      </c>
      <c r="I22" s="364">
        <v>6.44</v>
      </c>
      <c r="J22" s="362">
        <v>5.77</v>
      </c>
      <c r="K22" s="364">
        <v>5.77</v>
      </c>
      <c r="L22" s="362">
        <v>5.23</v>
      </c>
      <c r="M22" s="362">
        <v>5.77</v>
      </c>
      <c r="N22" s="79">
        <v>6.29</v>
      </c>
      <c r="O22" s="50" t="s">
        <v>335</v>
      </c>
    </row>
    <row r="23" spans="1:15" ht="15.75" customHeight="1" outlineLevel="1" x14ac:dyDescent="0.25">
      <c r="G23" s="363"/>
      <c r="H23" s="362"/>
      <c r="I23" s="364"/>
      <c r="J23" s="362"/>
      <c r="K23" s="364"/>
      <c r="L23" s="362"/>
      <c r="M23" s="362"/>
      <c r="N23" s="79">
        <v>6.56</v>
      </c>
      <c r="O23" s="50" t="s">
        <v>336</v>
      </c>
    </row>
    <row r="24" spans="1:15" ht="15.75" customHeight="1" outlineLevel="1" x14ac:dyDescent="0.25">
      <c r="G24" s="80" t="s">
        <v>337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311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338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339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278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84" t="s">
        <v>340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</row>
    <row r="4" spans="1:18" ht="36.75" customHeight="1" x14ac:dyDescent="0.25">
      <c r="A4" s="368" t="s">
        <v>300</v>
      </c>
      <c r="B4" s="371" t="s">
        <v>301</v>
      </c>
      <c r="C4" s="374" t="s">
        <v>341</v>
      </c>
      <c r="D4" s="374" t="s">
        <v>342</v>
      </c>
      <c r="E4" s="377" t="s">
        <v>343</v>
      </c>
      <c r="F4" s="378"/>
      <c r="G4" s="378"/>
      <c r="H4" s="378"/>
      <c r="I4" s="378"/>
      <c r="J4" s="378"/>
      <c r="K4" s="378"/>
      <c r="L4" s="378"/>
      <c r="M4" s="378"/>
      <c r="N4" s="385" t="s">
        <v>344</v>
      </c>
      <c r="O4" s="386"/>
      <c r="P4" s="386"/>
      <c r="Q4" s="386"/>
      <c r="R4" s="387"/>
    </row>
    <row r="5" spans="1:18" ht="60" customHeight="1" x14ac:dyDescent="0.25">
      <c r="A5" s="369"/>
      <c r="B5" s="372"/>
      <c r="C5" s="375"/>
      <c r="D5" s="375"/>
      <c r="E5" s="382" t="s">
        <v>345</v>
      </c>
      <c r="F5" s="382" t="s">
        <v>346</v>
      </c>
      <c r="G5" s="379" t="s">
        <v>307</v>
      </c>
      <c r="H5" s="380"/>
      <c r="I5" s="380"/>
      <c r="J5" s="381"/>
      <c r="K5" s="382" t="s">
        <v>347</v>
      </c>
      <c r="L5" s="382"/>
      <c r="M5" s="382"/>
      <c r="N5" s="88" t="s">
        <v>348</v>
      </c>
      <c r="O5" s="88" t="s">
        <v>349</v>
      </c>
      <c r="P5" s="89" t="s">
        <v>350</v>
      </c>
      <c r="Q5" s="90" t="s">
        <v>351</v>
      </c>
      <c r="R5" s="89" t="s">
        <v>352</v>
      </c>
    </row>
    <row r="6" spans="1:18" ht="49.5" customHeight="1" x14ac:dyDescent="0.25">
      <c r="A6" s="370"/>
      <c r="B6" s="373"/>
      <c r="C6" s="376"/>
      <c r="D6" s="376"/>
      <c r="E6" s="382"/>
      <c r="F6" s="382"/>
      <c r="G6" s="52" t="s">
        <v>86</v>
      </c>
      <c r="H6" s="52" t="s">
        <v>87</v>
      </c>
      <c r="I6" s="91" t="s">
        <v>43</v>
      </c>
      <c r="J6" s="91" t="s">
        <v>278</v>
      </c>
      <c r="K6" s="52" t="s">
        <v>348</v>
      </c>
      <c r="L6" s="52" t="s">
        <v>349</v>
      </c>
      <c r="M6" s="52" t="s">
        <v>350</v>
      </c>
      <c r="N6" s="91" t="s">
        <v>353</v>
      </c>
      <c r="O6" s="91" t="s">
        <v>354</v>
      </c>
      <c r="P6" s="91" t="s">
        <v>355</v>
      </c>
      <c r="Q6" s="92" t="s">
        <v>356</v>
      </c>
      <c r="R6" s="93" t="s">
        <v>357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8">
        <v>1</v>
      </c>
      <c r="B9" s="368" t="s">
        <v>358</v>
      </c>
      <c r="C9" s="388" t="s">
        <v>314</v>
      </c>
      <c r="D9" s="98" t="s">
        <v>359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70"/>
      <c r="B10" s="369"/>
      <c r="C10" s="389"/>
      <c r="D10" s="98" t="s">
        <v>360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68">
        <v>2</v>
      </c>
      <c r="B11" s="369"/>
      <c r="C11" s="388" t="s">
        <v>361</v>
      </c>
      <c r="D11" s="103" t="s">
        <v>359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70"/>
      <c r="B12" s="370"/>
      <c r="C12" s="389"/>
      <c r="D12" s="103" t="s">
        <v>360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68">
        <v>3</v>
      </c>
      <c r="B13" s="368" t="s">
        <v>316</v>
      </c>
      <c r="C13" s="390" t="s">
        <v>317</v>
      </c>
      <c r="D13" s="98" t="s">
        <v>362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70"/>
      <c r="B14" s="369"/>
      <c r="C14" s="391"/>
      <c r="D14" s="98" t="s">
        <v>360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68">
        <v>4</v>
      </c>
      <c r="B15" s="369"/>
      <c r="C15" s="392" t="s">
        <v>318</v>
      </c>
      <c r="D15" s="104" t="s">
        <v>362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70"/>
      <c r="B16" s="370"/>
      <c r="C16" s="393"/>
      <c r="D16" s="104" t="s">
        <v>360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68">
        <v>5</v>
      </c>
      <c r="B17" s="383" t="s">
        <v>319</v>
      </c>
      <c r="C17" s="388" t="s">
        <v>363</v>
      </c>
      <c r="D17" s="98" t="s">
        <v>364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70"/>
      <c r="B18" s="383"/>
      <c r="C18" s="389"/>
      <c r="D18" s="98" t="s">
        <v>360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68">
        <v>6</v>
      </c>
      <c r="B19" s="383"/>
      <c r="C19" s="388" t="s">
        <v>321</v>
      </c>
      <c r="D19" s="104" t="s">
        <v>362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70"/>
      <c r="B20" s="383"/>
      <c r="C20" s="389"/>
      <c r="D20" s="104" t="s">
        <v>360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68">
        <v>7</v>
      </c>
      <c r="B21" s="368" t="s">
        <v>322</v>
      </c>
      <c r="C21" s="388" t="s">
        <v>323</v>
      </c>
      <c r="D21" s="104" t="s">
        <v>365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70"/>
      <c r="B22" s="370"/>
      <c r="C22" s="389"/>
      <c r="D22" s="105" t="s">
        <v>360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366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4" t="s">
        <v>367</v>
      </c>
      <c r="E26" s="394"/>
      <c r="F26" s="394"/>
      <c r="G26" s="394"/>
      <c r="H26" s="394"/>
      <c r="I26" s="394"/>
      <c r="J26" s="394"/>
      <c r="K26" s="394"/>
      <c r="L26" s="120"/>
      <c r="R26" s="121"/>
    </row>
    <row r="27" spans="1:18" outlineLevel="1" x14ac:dyDescent="0.25">
      <c r="D27" s="122"/>
      <c r="E27" s="122" t="s">
        <v>327</v>
      </c>
      <c r="F27" s="122" t="s">
        <v>328</v>
      </c>
      <c r="G27" s="122" t="s">
        <v>329</v>
      </c>
      <c r="H27" s="123" t="s">
        <v>330</v>
      </c>
      <c r="I27" s="123" t="s">
        <v>331</v>
      </c>
      <c r="J27" s="123" t="s">
        <v>332</v>
      </c>
      <c r="K27" s="110" t="s">
        <v>333</v>
      </c>
      <c r="L27" s="51"/>
    </row>
    <row r="28" spans="1:18" outlineLevel="1" x14ac:dyDescent="0.25">
      <c r="D28" s="395" t="s">
        <v>334</v>
      </c>
      <c r="E28" s="397">
        <v>6.09</v>
      </c>
      <c r="F28" s="399">
        <v>6.63</v>
      </c>
      <c r="G28" s="397">
        <v>5.77</v>
      </c>
      <c r="H28" s="401">
        <v>5.77</v>
      </c>
      <c r="I28" s="401">
        <v>6.35</v>
      </c>
      <c r="J28" s="397">
        <v>5.77</v>
      </c>
      <c r="K28" s="124">
        <v>6.29</v>
      </c>
      <c r="L28" s="86" t="s">
        <v>335</v>
      </c>
      <c r="M28" s="51"/>
    </row>
    <row r="29" spans="1:18" outlineLevel="1" x14ac:dyDescent="0.25">
      <c r="D29" s="396"/>
      <c r="E29" s="398"/>
      <c r="F29" s="400"/>
      <c r="G29" s="398"/>
      <c r="H29" s="402"/>
      <c r="I29" s="402"/>
      <c r="J29" s="398"/>
      <c r="K29" s="124">
        <v>6.56</v>
      </c>
      <c r="L29" s="86" t="s">
        <v>336</v>
      </c>
      <c r="M29" s="51"/>
    </row>
    <row r="30" spans="1:18" outlineLevel="1" x14ac:dyDescent="0.25">
      <c r="D30" s="125" t="s">
        <v>337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5" t="s">
        <v>311</v>
      </c>
      <c r="E31" s="397">
        <v>11.37</v>
      </c>
      <c r="F31" s="399">
        <v>13.56</v>
      </c>
      <c r="G31" s="397">
        <v>15.91</v>
      </c>
      <c r="H31" s="401">
        <v>15.91</v>
      </c>
      <c r="I31" s="401">
        <v>14.03</v>
      </c>
      <c r="J31" s="397">
        <v>15.91</v>
      </c>
      <c r="K31" s="124">
        <v>8.2899999999999991</v>
      </c>
      <c r="L31" s="86" t="s">
        <v>335</v>
      </c>
      <c r="R31" s="115"/>
    </row>
    <row r="32" spans="1:18" s="86" customFormat="1" outlineLevel="1" x14ac:dyDescent="0.25">
      <c r="D32" s="396"/>
      <c r="E32" s="398"/>
      <c r="F32" s="400"/>
      <c r="G32" s="398"/>
      <c r="H32" s="402"/>
      <c r="I32" s="402"/>
      <c r="J32" s="398"/>
      <c r="K32" s="124">
        <v>11.84</v>
      </c>
      <c r="L32" s="86" t="s">
        <v>336</v>
      </c>
      <c r="R32" s="115"/>
    </row>
    <row r="33" spans="4:18" s="86" customFormat="1" ht="15" customHeight="1" outlineLevel="1" x14ac:dyDescent="0.25">
      <c r="D33" s="128" t="s">
        <v>338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368</v>
      </c>
      <c r="R33" s="115"/>
    </row>
    <row r="34" spans="4:18" s="86" customFormat="1" outlineLevel="1" x14ac:dyDescent="0.25">
      <c r="D34" s="128" t="s">
        <v>339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368</v>
      </c>
      <c r="R34" s="115"/>
    </row>
    <row r="35" spans="4:18" s="86" customFormat="1" outlineLevel="1" x14ac:dyDescent="0.25">
      <c r="D35" s="125" t="s">
        <v>278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08" t="s">
        <v>10</v>
      </c>
      <c r="B2" s="308"/>
      <c r="C2" s="308"/>
      <c r="D2" s="30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1"/>
    </row>
    <row r="5" spans="1:4" x14ac:dyDescent="0.25">
      <c r="A5" s="6"/>
      <c r="B5" s="1"/>
      <c r="C5" s="1"/>
    </row>
    <row r="6" spans="1:4" x14ac:dyDescent="0.25">
      <c r="A6" s="308" t="s">
        <v>12</v>
      </c>
      <c r="B6" s="308"/>
      <c r="C6" s="308"/>
      <c r="D6" s="30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2" t="s">
        <v>5</v>
      </c>
      <c r="B15" s="313" t="s">
        <v>15</v>
      </c>
      <c r="C15" s="313"/>
      <c r="D15" s="313"/>
    </row>
    <row r="16" spans="1:4" x14ac:dyDescent="0.25">
      <c r="A16" s="312"/>
      <c r="B16" s="312" t="s">
        <v>17</v>
      </c>
      <c r="C16" s="313" t="s">
        <v>28</v>
      </c>
      <c r="D16" s="313"/>
    </row>
    <row r="17" spans="1:4" ht="39" customHeight="1" x14ac:dyDescent="0.25">
      <c r="A17" s="312"/>
      <c r="B17" s="312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4" t="s">
        <v>29</v>
      </c>
      <c r="B2" s="314"/>
      <c r="C2" s="314"/>
      <c r="D2" s="314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8" zoomScaleNormal="55" zoomScaleSheetLayoutView="100" workbookViewId="0">
      <selection activeCell="D28" sqref="D28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15" t="s">
        <v>45</v>
      </c>
      <c r="C3" s="315"/>
      <c r="D3" s="315"/>
    </row>
    <row r="4" spans="2:4" x14ac:dyDescent="0.25">
      <c r="B4" s="316" t="s">
        <v>46</v>
      </c>
      <c r="C4" s="316"/>
      <c r="D4" s="316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45.75" customHeight="1" x14ac:dyDescent="0.25">
      <c r="B7" s="317" t="s">
        <v>47</v>
      </c>
      <c r="C7" s="318"/>
      <c r="D7" s="318"/>
    </row>
    <row r="8" spans="2:4" ht="31.5" customHeight="1" x14ac:dyDescent="0.25">
      <c r="B8" s="318" t="s">
        <v>48</v>
      </c>
      <c r="C8" s="318"/>
      <c r="D8" s="318"/>
    </row>
    <row r="9" spans="2:4" x14ac:dyDescent="0.25">
      <c r="B9" s="318" t="s">
        <v>49</v>
      </c>
      <c r="C9" s="318"/>
      <c r="D9" s="318"/>
    </row>
    <row r="10" spans="2:4" x14ac:dyDescent="0.25">
      <c r="B10" s="266"/>
    </row>
    <row r="11" spans="2:4" x14ac:dyDescent="0.25">
      <c r="B11" s="267" t="s">
        <v>33</v>
      </c>
      <c r="C11" s="267" t="s">
        <v>50</v>
      </c>
      <c r="D11" s="161" t="s">
        <v>51</v>
      </c>
    </row>
    <row r="12" spans="2:4" ht="157.5" customHeight="1" x14ac:dyDescent="0.25">
      <c r="B12" s="267">
        <v>1</v>
      </c>
      <c r="C12" s="161" t="s">
        <v>52</v>
      </c>
      <c r="D12" s="307" t="s">
        <v>53</v>
      </c>
    </row>
    <row r="13" spans="2:4" ht="31.5" customHeight="1" x14ac:dyDescent="0.25">
      <c r="B13" s="267">
        <v>2</v>
      </c>
      <c r="C13" s="161" t="s">
        <v>54</v>
      </c>
      <c r="D13" s="307" t="s">
        <v>55</v>
      </c>
    </row>
    <row r="14" spans="2:4" x14ac:dyDescent="0.25">
      <c r="B14" s="267">
        <v>3</v>
      </c>
      <c r="C14" s="161" t="s">
        <v>56</v>
      </c>
      <c r="D14" s="307" t="s">
        <v>57</v>
      </c>
    </row>
    <row r="15" spans="2:4" x14ac:dyDescent="0.25">
      <c r="B15" s="267">
        <v>4</v>
      </c>
      <c r="C15" s="161" t="s">
        <v>58</v>
      </c>
      <c r="D15" s="307">
        <v>1</v>
      </c>
    </row>
    <row r="16" spans="2:4" ht="94.5" customHeight="1" x14ac:dyDescent="0.25">
      <c r="B16" s="267">
        <v>5</v>
      </c>
      <c r="C16" s="163" t="s">
        <v>59</v>
      </c>
      <c r="D16" s="161" t="s">
        <v>60</v>
      </c>
    </row>
    <row r="17" spans="2:6" ht="78.75" customHeight="1" x14ac:dyDescent="0.25">
      <c r="B17" s="267">
        <v>6</v>
      </c>
      <c r="C17" s="163" t="s">
        <v>61</v>
      </c>
      <c r="D17" s="164">
        <f>D18+D19</f>
        <v>8664.2397834000003</v>
      </c>
    </row>
    <row r="18" spans="2:6" x14ac:dyDescent="0.25">
      <c r="B18" s="165" t="s">
        <v>62</v>
      </c>
      <c r="C18" s="161" t="s">
        <v>63</v>
      </c>
      <c r="D18" s="164">
        <f>'Прил.2 Расч стоим'!F12</f>
        <v>117.4049984</v>
      </c>
    </row>
    <row r="19" spans="2:6" ht="15.75" customHeight="1" x14ac:dyDescent="0.25">
      <c r="B19" s="165" t="s">
        <v>64</v>
      </c>
      <c r="C19" s="161" t="s">
        <v>65</v>
      </c>
      <c r="D19" s="164">
        <f>'Прил.2 Расч стоим'!H12</f>
        <v>8546.8347850000009</v>
      </c>
    </row>
    <row r="20" spans="2:6" ht="16.5" customHeight="1" x14ac:dyDescent="0.25">
      <c r="B20" s="165" t="s">
        <v>66</v>
      </c>
      <c r="C20" s="161" t="s">
        <v>67</v>
      </c>
      <c r="D20" s="164"/>
      <c r="F20" s="166"/>
    </row>
    <row r="21" spans="2:6" ht="35.25" customHeight="1" x14ac:dyDescent="0.25">
      <c r="B21" s="165" t="s">
        <v>68</v>
      </c>
      <c r="C21" s="167" t="s">
        <v>69</v>
      </c>
      <c r="D21" s="164"/>
    </row>
    <row r="22" spans="2:6" x14ac:dyDescent="0.25">
      <c r="B22" s="267">
        <v>7</v>
      </c>
      <c r="C22" s="167" t="s">
        <v>70</v>
      </c>
      <c r="D22" s="286" t="s">
        <v>71</v>
      </c>
    </row>
    <row r="23" spans="2:6" ht="123" customHeight="1" x14ac:dyDescent="0.25">
      <c r="B23" s="267">
        <v>8</v>
      </c>
      <c r="C23" s="168" t="s">
        <v>72</v>
      </c>
      <c r="D23" s="164">
        <f>D17</f>
        <v>8664.2397834000003</v>
      </c>
    </row>
    <row r="24" spans="2:6" ht="60.75" customHeight="1" x14ac:dyDescent="0.25">
      <c r="B24" s="267">
        <v>9</v>
      </c>
      <c r="C24" s="163" t="s">
        <v>73</v>
      </c>
      <c r="D24" s="164">
        <f>D23/D15</f>
        <v>8664.2397834000003</v>
      </c>
    </row>
    <row r="25" spans="2:6" ht="118.5" customHeight="1" x14ac:dyDescent="0.25">
      <c r="B25" s="267">
        <v>10</v>
      </c>
      <c r="C25" s="161" t="s">
        <v>74</v>
      </c>
      <c r="D25" s="161"/>
    </row>
    <row r="26" spans="2:6" x14ac:dyDescent="0.25">
      <c r="B26" s="169"/>
      <c r="C26" s="170"/>
      <c r="D26" s="170"/>
    </row>
    <row r="27" spans="2:6" ht="37.5" customHeight="1" x14ac:dyDescent="0.25">
      <c r="B27" s="171"/>
    </row>
    <row r="28" spans="2:6" x14ac:dyDescent="0.25">
      <c r="B28" s="159" t="s">
        <v>75</v>
      </c>
    </row>
    <row r="29" spans="2:6" x14ac:dyDescent="0.25">
      <c r="B29" s="171" t="s">
        <v>76</v>
      </c>
    </row>
    <row r="31" spans="2:6" x14ac:dyDescent="0.25">
      <c r="B31" s="159" t="s">
        <v>77</v>
      </c>
    </row>
    <row r="32" spans="2:6" x14ac:dyDescent="0.25">
      <c r="B32" s="171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F23" sqref="F23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15" t="s">
        <v>79</v>
      </c>
      <c r="C3" s="315"/>
      <c r="D3" s="315"/>
      <c r="E3" s="315"/>
      <c r="F3" s="315"/>
      <c r="G3" s="315"/>
      <c r="H3" s="315"/>
      <c r="I3" s="315"/>
      <c r="J3" s="315"/>
      <c r="K3" s="171"/>
    </row>
    <row r="4" spans="2:12" x14ac:dyDescent="0.25">
      <c r="B4" s="316" t="s">
        <v>80</v>
      </c>
      <c r="C4" s="316"/>
      <c r="D4" s="316"/>
      <c r="E4" s="316"/>
      <c r="F4" s="316"/>
      <c r="G4" s="316"/>
      <c r="H4" s="316"/>
      <c r="I4" s="316"/>
      <c r="J4" s="316"/>
      <c r="K4" s="316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20" t="s">
        <v>81</v>
      </c>
      <c r="C6" s="320"/>
      <c r="D6" s="320"/>
      <c r="E6" s="320"/>
      <c r="F6" s="320"/>
      <c r="G6" s="320"/>
      <c r="H6" s="320"/>
      <c r="I6" s="320"/>
      <c r="J6" s="320"/>
      <c r="K6" s="171"/>
      <c r="L6" s="172"/>
    </row>
    <row r="7" spans="2:12" x14ac:dyDescent="0.25">
      <c r="B7" s="318" t="s">
        <v>49</v>
      </c>
      <c r="C7" s="318"/>
      <c r="D7" s="318"/>
      <c r="E7" s="318"/>
      <c r="F7" s="318"/>
      <c r="G7" s="318"/>
      <c r="H7" s="318"/>
      <c r="I7" s="318"/>
      <c r="J7" s="318"/>
      <c r="K7" s="318"/>
      <c r="L7" s="172"/>
    </row>
    <row r="8" spans="2:12" x14ac:dyDescent="0.25">
      <c r="B8" s="266"/>
    </row>
    <row r="9" spans="2:12" ht="15.75" customHeight="1" x14ac:dyDescent="0.25">
      <c r="B9" s="321" t="s">
        <v>33</v>
      </c>
      <c r="C9" s="321" t="s">
        <v>82</v>
      </c>
      <c r="D9" s="321" t="s">
        <v>51</v>
      </c>
      <c r="E9" s="321"/>
      <c r="F9" s="321"/>
      <c r="G9" s="321"/>
      <c r="H9" s="321"/>
      <c r="I9" s="321"/>
      <c r="J9" s="321"/>
    </row>
    <row r="10" spans="2:12" ht="15.75" customHeight="1" x14ac:dyDescent="0.25">
      <c r="B10" s="321"/>
      <c r="C10" s="321"/>
      <c r="D10" s="321" t="s">
        <v>83</v>
      </c>
      <c r="E10" s="321" t="s">
        <v>84</v>
      </c>
      <c r="F10" s="321" t="s">
        <v>85</v>
      </c>
      <c r="G10" s="321"/>
      <c r="H10" s="321"/>
      <c r="I10" s="321"/>
      <c r="J10" s="321"/>
    </row>
    <row r="11" spans="2:12" ht="31.5" customHeight="1" x14ac:dyDescent="0.25">
      <c r="B11" s="321"/>
      <c r="C11" s="321"/>
      <c r="D11" s="321"/>
      <c r="E11" s="321"/>
      <c r="F11" s="267" t="s">
        <v>86</v>
      </c>
      <c r="G11" s="267" t="s">
        <v>87</v>
      </c>
      <c r="H11" s="267" t="s">
        <v>43</v>
      </c>
      <c r="I11" s="267" t="s">
        <v>88</v>
      </c>
      <c r="J11" s="267" t="s">
        <v>89</v>
      </c>
    </row>
    <row r="12" spans="2:12" ht="47.25" customHeight="1" x14ac:dyDescent="0.25">
      <c r="B12" s="268">
        <v>1</v>
      </c>
      <c r="C12" s="285" t="s">
        <v>90</v>
      </c>
      <c r="D12" s="173"/>
      <c r="E12" s="162"/>
      <c r="F12" s="322">
        <f>(Прил.3!H12+Прил.3!H14+Прил.3!H15+Прил.3!H19)*7.24/1000</f>
        <v>117.4049984</v>
      </c>
      <c r="G12" s="323"/>
      <c r="H12" s="174">
        <f>Прил.3!H16*4.78/1000</f>
        <v>8546.8347850000009</v>
      </c>
      <c r="I12" s="175"/>
      <c r="J12" s="176"/>
    </row>
    <row r="13" spans="2:12" ht="15.75" customHeight="1" x14ac:dyDescent="0.25">
      <c r="B13" s="319" t="s">
        <v>91</v>
      </c>
      <c r="C13" s="319"/>
      <c r="D13" s="319"/>
      <c r="E13" s="319"/>
      <c r="F13" s="324">
        <f>F12</f>
        <v>117.4049984</v>
      </c>
      <c r="G13" s="325"/>
      <c r="H13" s="177">
        <f>H12</f>
        <v>8546.8347850000009</v>
      </c>
      <c r="I13" s="178"/>
      <c r="J13" s="179"/>
    </row>
    <row r="14" spans="2:12" ht="28.5" customHeight="1" x14ac:dyDescent="0.25">
      <c r="B14" s="319" t="s">
        <v>92</v>
      </c>
      <c r="C14" s="319"/>
      <c r="D14" s="319"/>
      <c r="E14" s="319"/>
      <c r="F14" s="324">
        <f>F12</f>
        <v>117.4049984</v>
      </c>
      <c r="G14" s="325"/>
      <c r="H14" s="177">
        <f>H12</f>
        <v>8546.8347850000009</v>
      </c>
      <c r="I14" s="178"/>
      <c r="J14" s="179"/>
    </row>
    <row r="15" spans="2:12" x14ac:dyDescent="0.25">
      <c r="B15" s="266"/>
    </row>
    <row r="18" spans="2:3" x14ac:dyDescent="0.25">
      <c r="B18" s="180" t="s">
        <v>93</v>
      </c>
      <c r="C18" s="159" t="s">
        <v>94</v>
      </c>
    </row>
    <row r="22" spans="2:3" x14ac:dyDescent="0.25">
      <c r="B22" s="159" t="s">
        <v>75</v>
      </c>
    </row>
    <row r="23" spans="2:3" x14ac:dyDescent="0.25">
      <c r="B23" s="171" t="s">
        <v>76</v>
      </c>
    </row>
    <row r="25" spans="2:3" x14ac:dyDescent="0.25">
      <c r="B25" s="159" t="s">
        <v>77</v>
      </c>
    </row>
    <row r="26" spans="2:3" x14ac:dyDescent="0.25">
      <c r="B26" s="171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28"/>
  <sheetViews>
    <sheetView view="pageBreakPreview" topLeftCell="A16" zoomScaleSheetLayoutView="100" workbookViewId="0">
      <selection activeCell="D24" sqref="D24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1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3" s="296" customFormat="1" x14ac:dyDescent="0.25">
      <c r="A2" s="295"/>
      <c r="B2" s="295"/>
      <c r="C2" s="295"/>
      <c r="D2" s="295"/>
      <c r="E2" s="181"/>
      <c r="F2" s="295"/>
      <c r="G2" s="295"/>
      <c r="H2" s="295"/>
      <c r="I2" s="295"/>
      <c r="J2" s="295"/>
      <c r="K2" s="295"/>
    </row>
    <row r="3" spans="1:13" s="296" customFormat="1" x14ac:dyDescent="0.25">
      <c r="A3" s="295"/>
      <c r="B3" s="295"/>
      <c r="C3" s="295"/>
      <c r="D3" s="295"/>
      <c r="E3" s="181"/>
      <c r="F3" s="295"/>
      <c r="G3" s="295"/>
      <c r="H3" s="295"/>
      <c r="I3" s="295"/>
      <c r="J3" s="295"/>
      <c r="K3" s="295"/>
    </row>
    <row r="4" spans="1:13" x14ac:dyDescent="0.25">
      <c r="A4" s="315" t="s">
        <v>95</v>
      </c>
      <c r="B4" s="315"/>
      <c r="C4" s="315"/>
      <c r="D4" s="315"/>
      <c r="E4" s="315"/>
      <c r="F4" s="315"/>
      <c r="G4" s="315"/>
      <c r="H4" s="315"/>
    </row>
    <row r="5" spans="1:13" x14ac:dyDescent="0.25">
      <c r="A5" s="316" t="s">
        <v>96</v>
      </c>
      <c r="B5" s="316"/>
      <c r="C5" s="316"/>
      <c r="D5" s="316"/>
      <c r="E5" s="316"/>
      <c r="F5" s="316"/>
      <c r="G5" s="316"/>
      <c r="H5" s="316"/>
    </row>
    <row r="6" spans="1:13" x14ac:dyDescent="0.25">
      <c r="A6" s="266"/>
    </row>
    <row r="7" spans="1:13" ht="30.75" customHeight="1" x14ac:dyDescent="0.25">
      <c r="A7" s="320" t="s">
        <v>97</v>
      </c>
      <c r="B7" s="320"/>
      <c r="C7" s="320"/>
      <c r="D7" s="320"/>
      <c r="E7" s="320"/>
      <c r="F7" s="320"/>
      <c r="G7" s="320"/>
      <c r="H7" s="320"/>
    </row>
    <row r="8" spans="1:13" x14ac:dyDescent="0.25">
      <c r="A8" s="182"/>
      <c r="B8" s="182"/>
      <c r="C8" s="182"/>
      <c r="D8" s="182"/>
      <c r="E8" s="160"/>
      <c r="F8" s="182"/>
      <c r="G8" s="182"/>
      <c r="H8" s="182"/>
    </row>
    <row r="9" spans="1:13" ht="38.25" customHeight="1" x14ac:dyDescent="0.25">
      <c r="A9" s="321" t="s">
        <v>98</v>
      </c>
      <c r="B9" s="321" t="s">
        <v>99</v>
      </c>
      <c r="C9" s="321" t="s">
        <v>100</v>
      </c>
      <c r="D9" s="321" t="s">
        <v>101</v>
      </c>
      <c r="E9" s="321" t="s">
        <v>102</v>
      </c>
      <c r="F9" s="321" t="s">
        <v>103</v>
      </c>
      <c r="G9" s="321" t="s">
        <v>104</v>
      </c>
      <c r="H9" s="321"/>
    </row>
    <row r="10" spans="1:13" ht="40.5" customHeight="1" x14ac:dyDescent="0.25">
      <c r="A10" s="321"/>
      <c r="B10" s="321"/>
      <c r="C10" s="321"/>
      <c r="D10" s="321"/>
      <c r="E10" s="321"/>
      <c r="F10" s="321"/>
      <c r="G10" s="267" t="s">
        <v>105</v>
      </c>
      <c r="H10" s="267" t="s">
        <v>106</v>
      </c>
    </row>
    <row r="11" spans="1:13" x14ac:dyDescent="0.25">
      <c r="A11" s="183">
        <v>1</v>
      </c>
      <c r="B11" s="183"/>
      <c r="C11" s="183">
        <v>2</v>
      </c>
      <c r="D11" s="183" t="s">
        <v>107</v>
      </c>
      <c r="E11" s="183">
        <v>4</v>
      </c>
      <c r="F11" s="183">
        <v>5</v>
      </c>
      <c r="G11" s="183">
        <v>6</v>
      </c>
      <c r="H11" s="183">
        <v>7</v>
      </c>
    </row>
    <row r="12" spans="1:13" s="185" customFormat="1" x14ac:dyDescent="0.25">
      <c r="A12" s="326" t="s">
        <v>108</v>
      </c>
      <c r="B12" s="327"/>
      <c r="C12" s="328"/>
      <c r="D12" s="328"/>
      <c r="E12" s="327"/>
      <c r="F12" s="184">
        <f>SUM(F13:F13)</f>
        <v>138.82198106067</v>
      </c>
      <c r="G12" s="184"/>
      <c r="H12" s="184">
        <f>SUM(H13:H13)</f>
        <v>1518.71</v>
      </c>
      <c r="I12" s="159"/>
      <c r="J12" s="159"/>
      <c r="K12" s="159"/>
      <c r="L12" s="159"/>
      <c r="M12" s="159"/>
    </row>
    <row r="13" spans="1:13" x14ac:dyDescent="0.25">
      <c r="A13" s="186">
        <v>1</v>
      </c>
      <c r="B13" s="187" t="s">
        <v>109</v>
      </c>
      <c r="C13" s="188" t="s">
        <v>110</v>
      </c>
      <c r="D13" s="189" t="s">
        <v>111</v>
      </c>
      <c r="E13" s="190" t="s">
        <v>112</v>
      </c>
      <c r="F13" s="186">
        <v>138.82198106067</v>
      </c>
      <c r="G13" s="191">
        <v>10.94</v>
      </c>
      <c r="H13" s="191">
        <f>ROUND(F13*G13,2)</f>
        <v>1518.71</v>
      </c>
    </row>
    <row r="14" spans="1:13" x14ac:dyDescent="0.25">
      <c r="A14" s="326" t="s">
        <v>113</v>
      </c>
      <c r="B14" s="327"/>
      <c r="C14" s="328"/>
      <c r="D14" s="328"/>
      <c r="E14" s="327"/>
      <c r="F14" s="287"/>
      <c r="G14" s="184"/>
      <c r="H14" s="184">
        <v>0</v>
      </c>
    </row>
    <row r="15" spans="1:13" s="185" customFormat="1" x14ac:dyDescent="0.25">
      <c r="A15" s="326" t="s">
        <v>114</v>
      </c>
      <c r="B15" s="327"/>
      <c r="C15" s="328"/>
      <c r="D15" s="328"/>
      <c r="E15" s="327"/>
      <c r="F15" s="287"/>
      <c r="G15" s="184"/>
      <c r="H15" s="184">
        <v>0</v>
      </c>
      <c r="I15" s="159"/>
      <c r="J15" s="159"/>
      <c r="K15" s="159"/>
      <c r="L15" s="159"/>
      <c r="M15" s="159"/>
    </row>
    <row r="16" spans="1:13" x14ac:dyDescent="0.25">
      <c r="A16" s="326" t="s">
        <v>43</v>
      </c>
      <c r="B16" s="327"/>
      <c r="C16" s="328"/>
      <c r="D16" s="328"/>
      <c r="E16" s="327"/>
      <c r="F16" s="287"/>
      <c r="G16" s="184"/>
      <c r="H16" s="184">
        <f>SUM(H17:H18)</f>
        <v>1788040.75</v>
      </c>
    </row>
    <row r="17" spans="1:13" s="185" customFormat="1" ht="47.25" customHeight="1" x14ac:dyDescent="0.25">
      <c r="A17" s="186">
        <v>2</v>
      </c>
      <c r="B17" s="186" t="s">
        <v>109</v>
      </c>
      <c r="C17" s="189" t="s">
        <v>115</v>
      </c>
      <c r="D17" s="189" t="s">
        <v>116</v>
      </c>
      <c r="E17" s="190" t="s">
        <v>117</v>
      </c>
      <c r="F17" s="186">
        <v>52</v>
      </c>
      <c r="G17" s="191">
        <v>34095.85</v>
      </c>
      <c r="H17" s="191">
        <f>ROUND(F17*G17,2)</f>
        <v>1772984.2</v>
      </c>
      <c r="I17" s="159"/>
      <c r="J17" s="159"/>
      <c r="K17" s="159"/>
      <c r="L17" s="159"/>
      <c r="M17" s="159"/>
    </row>
    <row r="18" spans="1:13" s="185" customFormat="1" x14ac:dyDescent="0.25">
      <c r="A18" s="186">
        <v>3</v>
      </c>
      <c r="B18" s="186" t="s">
        <v>109</v>
      </c>
      <c r="C18" s="189" t="s">
        <v>118</v>
      </c>
      <c r="D18" s="189" t="s">
        <v>119</v>
      </c>
      <c r="E18" s="190" t="s">
        <v>120</v>
      </c>
      <c r="F18" s="186">
        <v>1.4858196491793001</v>
      </c>
      <c r="G18" s="191">
        <v>10133.5</v>
      </c>
      <c r="H18" s="191">
        <f>ROUND(F18*G18,2)</f>
        <v>15056.55</v>
      </c>
      <c r="I18" s="159"/>
      <c r="J18" s="159"/>
      <c r="K18" s="159"/>
      <c r="L18" s="159"/>
      <c r="M18" s="159"/>
    </row>
    <row r="19" spans="1:13" x14ac:dyDescent="0.25">
      <c r="A19" s="326" t="s">
        <v>121</v>
      </c>
      <c r="B19" s="327"/>
      <c r="C19" s="328"/>
      <c r="D19" s="328"/>
      <c r="E19" s="327"/>
      <c r="F19" s="287"/>
      <c r="G19" s="184"/>
      <c r="H19" s="184">
        <f>SUM(H20:H21)</f>
        <v>14697.45</v>
      </c>
    </row>
    <row r="20" spans="1:13" ht="31.5" customHeight="1" x14ac:dyDescent="0.25">
      <c r="A20" s="186">
        <v>4</v>
      </c>
      <c r="B20" s="186" t="s">
        <v>109</v>
      </c>
      <c r="C20" s="189" t="s">
        <v>122</v>
      </c>
      <c r="D20" s="189" t="s">
        <v>123</v>
      </c>
      <c r="E20" s="190" t="s">
        <v>117</v>
      </c>
      <c r="F20" s="186">
        <v>37.138033118887002</v>
      </c>
      <c r="G20" s="191">
        <v>394.94</v>
      </c>
      <c r="H20" s="191">
        <f>ROUND(F20*G20,2)</f>
        <v>14667.29</v>
      </c>
    </row>
    <row r="21" spans="1:13" ht="31.5" customHeight="1" x14ac:dyDescent="0.25">
      <c r="A21" s="186">
        <v>5</v>
      </c>
      <c r="B21" s="186" t="s">
        <v>109</v>
      </c>
      <c r="C21" s="189" t="s">
        <v>124</v>
      </c>
      <c r="D21" s="189" t="s">
        <v>125</v>
      </c>
      <c r="E21" s="190" t="s">
        <v>126</v>
      </c>
      <c r="F21" s="186">
        <v>30.160809959203</v>
      </c>
      <c r="G21" s="191">
        <v>1</v>
      </c>
      <c r="H21" s="191">
        <f>ROUND(F21*G21,2)</f>
        <v>30.16</v>
      </c>
    </row>
    <row r="24" spans="1:13" x14ac:dyDescent="0.25">
      <c r="B24" s="159" t="s">
        <v>75</v>
      </c>
    </row>
    <row r="25" spans="1:13" x14ac:dyDescent="0.25">
      <c r="B25" s="171" t="s">
        <v>76</v>
      </c>
    </row>
    <row r="27" spans="1:13" x14ac:dyDescent="0.25">
      <c r="B27" s="159" t="s">
        <v>77</v>
      </c>
    </row>
    <row r="28" spans="1:13" x14ac:dyDescent="0.25">
      <c r="B28" s="171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0"/>
  <sheetViews>
    <sheetView view="pageBreakPreview" topLeftCell="A34" workbookViewId="0">
      <selection activeCell="F46" sqref="F46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127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8" t="s">
        <v>128</v>
      </c>
      <c r="C5" s="308"/>
      <c r="D5" s="308"/>
      <c r="E5" s="308"/>
    </row>
    <row r="6" spans="2:5" x14ac:dyDescent="0.25">
      <c r="B6" s="193"/>
      <c r="C6" s="153"/>
      <c r="D6" s="153"/>
      <c r="E6" s="153"/>
    </row>
    <row r="7" spans="2:5" ht="25.5" customHeight="1" x14ac:dyDescent="0.25">
      <c r="B7" s="329" t="s">
        <v>47</v>
      </c>
      <c r="C7" s="329"/>
      <c r="D7" s="329"/>
      <c r="E7" s="329"/>
    </row>
    <row r="8" spans="2:5" x14ac:dyDescent="0.25">
      <c r="B8" s="330" t="s">
        <v>49</v>
      </c>
      <c r="C8" s="330"/>
      <c r="D8" s="330"/>
      <c r="E8" s="330"/>
    </row>
    <row r="9" spans="2:5" x14ac:dyDescent="0.25">
      <c r="B9" s="193"/>
      <c r="C9" s="153"/>
      <c r="D9" s="153"/>
      <c r="E9" s="153"/>
    </row>
    <row r="10" spans="2:5" ht="51" customHeight="1" x14ac:dyDescent="0.25">
      <c r="B10" s="194" t="s">
        <v>129</v>
      </c>
      <c r="C10" s="194" t="s">
        <v>130</v>
      </c>
      <c r="D10" s="194" t="s">
        <v>131</v>
      </c>
      <c r="E10" s="194" t="s">
        <v>132</v>
      </c>
    </row>
    <row r="11" spans="2:5" x14ac:dyDescent="0.25">
      <c r="B11" s="154" t="s">
        <v>133</v>
      </c>
      <c r="C11" s="155">
        <f>'Прил.5 Расчет СМР и ОБ'!J14</f>
        <v>70071.41</v>
      </c>
      <c r="D11" s="156">
        <f t="shared" ref="D11:D18" si="0">C11/$C$24</f>
        <v>0.24713394580782921</v>
      </c>
      <c r="E11" s="156">
        <f t="shared" ref="E11:E18" si="1">C11/$C$40</f>
        <v>5.5598778034384741E-3</v>
      </c>
    </row>
    <row r="12" spans="2:5" x14ac:dyDescent="0.25">
      <c r="B12" s="154" t="s">
        <v>134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135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136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137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138</v>
      </c>
      <c r="C16" s="155">
        <f>'Прил.5 Расчет СМР и ОБ'!J31</f>
        <v>117925.14</v>
      </c>
      <c r="D16" s="156">
        <f t="shared" si="0"/>
        <v>0.41590864459757088</v>
      </c>
      <c r="E16" s="156">
        <f t="shared" si="1"/>
        <v>9.3568741995255205E-3</v>
      </c>
    </row>
    <row r="17" spans="2:5" x14ac:dyDescent="0.25">
      <c r="B17" s="154" t="s">
        <v>139</v>
      </c>
      <c r="C17" s="155">
        <f>'Прил.5 Расчет СМР и ОБ'!J33</f>
        <v>242.49</v>
      </c>
      <c r="D17" s="156">
        <f t="shared" si="0"/>
        <v>8.5523483142326527E-4</v>
      </c>
      <c r="E17" s="156">
        <f t="shared" si="1"/>
        <v>1.9240582836220871E-5</v>
      </c>
    </row>
    <row r="18" spans="2:5" x14ac:dyDescent="0.25">
      <c r="B18" s="154" t="s">
        <v>140</v>
      </c>
      <c r="C18" s="155">
        <f>C17+C16</f>
        <v>118167.63</v>
      </c>
      <c r="D18" s="156">
        <f t="shared" si="0"/>
        <v>0.41676387942899412</v>
      </c>
      <c r="E18" s="156">
        <f t="shared" si="1"/>
        <v>9.376114782361741E-3</v>
      </c>
    </row>
    <row r="19" spans="2:5" x14ac:dyDescent="0.25">
      <c r="B19" s="154" t="s">
        <v>141</v>
      </c>
      <c r="C19" s="155">
        <f>C18+C14+C11</f>
        <v>188239.04</v>
      </c>
      <c r="D19" s="156"/>
      <c r="E19" s="154"/>
    </row>
    <row r="20" spans="2:5" x14ac:dyDescent="0.25">
      <c r="B20" s="154" t="s">
        <v>142</v>
      </c>
      <c r="C20" s="155">
        <f>ROUND(C21*(C11+C15),2)</f>
        <v>32232.85</v>
      </c>
      <c r="D20" s="156">
        <f>C20/$C$24</f>
        <v>0.11368162000924324</v>
      </c>
      <c r="E20" s="156">
        <f>C20/$C$40</f>
        <v>2.5575439006659323E-3</v>
      </c>
    </row>
    <row r="21" spans="2:5" x14ac:dyDescent="0.25">
      <c r="B21" s="154" t="s">
        <v>143</v>
      </c>
      <c r="C21" s="284">
        <v>0.46</v>
      </c>
      <c r="D21" s="156"/>
      <c r="E21" s="154"/>
    </row>
    <row r="22" spans="2:5" x14ac:dyDescent="0.25">
      <c r="B22" s="154" t="s">
        <v>144</v>
      </c>
      <c r="C22" s="155">
        <f>ROUND(C23*(C11+C15),2)</f>
        <v>63064.27</v>
      </c>
      <c r="D22" s="156">
        <f>C22/$C$24</f>
        <v>0.2224205547539333</v>
      </c>
      <c r="E22" s="156">
        <f>C22/$C$40</f>
        <v>5.0038901024405079E-3</v>
      </c>
    </row>
    <row r="23" spans="2:5" x14ac:dyDescent="0.25">
      <c r="B23" s="154" t="s">
        <v>145</v>
      </c>
      <c r="C23" s="284">
        <v>0.9</v>
      </c>
      <c r="D23" s="156"/>
      <c r="E23" s="154"/>
    </row>
    <row r="24" spans="2:5" x14ac:dyDescent="0.25">
      <c r="B24" s="154" t="s">
        <v>146</v>
      </c>
      <c r="C24" s="155">
        <f>C19+C20+C22</f>
        <v>283536.16000000003</v>
      </c>
      <c r="D24" s="156">
        <f>C24/$C$24</f>
        <v>1</v>
      </c>
      <c r="E24" s="156">
        <f>C24/$C$40</f>
        <v>2.2497426588906657E-2</v>
      </c>
    </row>
    <row r="25" spans="2:5" ht="25.5" customHeight="1" x14ac:dyDescent="0.25">
      <c r="B25" s="154" t="s">
        <v>147</v>
      </c>
      <c r="C25" s="155">
        <f>'Прил.5 Расчет СМР и ОБ'!J26</f>
        <v>11193134.02</v>
      </c>
      <c r="D25" s="156"/>
      <c r="E25" s="156">
        <f>C25/$C$40</f>
        <v>0.88812908700866799</v>
      </c>
    </row>
    <row r="26" spans="2:5" ht="25.5" customHeight="1" x14ac:dyDescent="0.25">
      <c r="B26" s="154" t="s">
        <v>148</v>
      </c>
      <c r="C26" s="155">
        <f>'Прил.5 Расчет СМР и ОБ'!J27</f>
        <v>11193135.1</v>
      </c>
      <c r="D26" s="156"/>
      <c r="E26" s="156">
        <f>C26/$C$40</f>
        <v>0.88812917270222025</v>
      </c>
    </row>
    <row r="27" spans="2:5" x14ac:dyDescent="0.25">
      <c r="B27" s="154" t="s">
        <v>149</v>
      </c>
      <c r="C27" s="192">
        <f>C24+C25</f>
        <v>11476670.18</v>
      </c>
      <c r="D27" s="156"/>
      <c r="E27" s="156">
        <f>C27/$C$40</f>
        <v>0.91062651359757474</v>
      </c>
    </row>
    <row r="28" spans="2:5" ht="33" customHeight="1" x14ac:dyDescent="0.25">
      <c r="B28" s="154" t="s">
        <v>150</v>
      </c>
      <c r="C28" s="154"/>
      <c r="D28" s="154"/>
      <c r="E28" s="154"/>
    </row>
    <row r="29" spans="2:5" ht="25.5" customHeight="1" x14ac:dyDescent="0.25">
      <c r="B29" s="154" t="s">
        <v>151</v>
      </c>
      <c r="C29" s="192">
        <f>ROUND(C24*3.9%,2)</f>
        <v>11057.91</v>
      </c>
      <c r="D29" s="154"/>
      <c r="E29" s="156">
        <f t="shared" ref="E29:E38" si="2">C29/$C$40</f>
        <v>8.7739961792434793E-4</v>
      </c>
    </row>
    <row r="30" spans="2:5" ht="38.25" customHeight="1" x14ac:dyDescent="0.25">
      <c r="B30" s="293" t="s">
        <v>152</v>
      </c>
      <c r="C30" s="294">
        <f>ROUND((C24+C29)*2.1%,2)</f>
        <v>6186.48</v>
      </c>
      <c r="D30" s="293"/>
      <c r="E30" s="156">
        <f t="shared" si="2"/>
        <v>4.908717097802948E-4</v>
      </c>
    </row>
    <row r="31" spans="2:5" x14ac:dyDescent="0.25">
      <c r="B31" s="293" t="s">
        <v>153</v>
      </c>
      <c r="C31" s="294">
        <v>511550</v>
      </c>
      <c r="D31" s="293"/>
      <c r="E31" s="156">
        <f t="shared" si="2"/>
        <v>4.0589385747324784E-2</v>
      </c>
    </row>
    <row r="32" spans="2:5" ht="25.5" customHeight="1" x14ac:dyDescent="0.25">
      <c r="B32" s="293" t="s">
        <v>154</v>
      </c>
      <c r="C32" s="294">
        <v>0</v>
      </c>
      <c r="D32" s="293"/>
      <c r="E32" s="156">
        <f t="shared" si="2"/>
        <v>0</v>
      </c>
    </row>
    <row r="33" spans="2:5" ht="25.5" customHeight="1" x14ac:dyDescent="0.25">
      <c r="B33" s="154" t="s">
        <v>155</v>
      </c>
      <c r="C33" s="192">
        <v>0</v>
      </c>
      <c r="D33" s="154"/>
      <c r="E33" s="156">
        <f t="shared" si="2"/>
        <v>0</v>
      </c>
    </row>
    <row r="34" spans="2:5" ht="51" customHeight="1" x14ac:dyDescent="0.25">
      <c r="B34" s="154" t="s">
        <v>156</v>
      </c>
      <c r="C34" s="192">
        <v>0</v>
      </c>
      <c r="D34" s="154"/>
      <c r="E34" s="156">
        <f t="shared" si="2"/>
        <v>0</v>
      </c>
    </row>
    <row r="35" spans="2:5" ht="76.5" customHeight="1" x14ac:dyDescent="0.25">
      <c r="B35" s="154" t="s">
        <v>157</v>
      </c>
      <c r="C35" s="192">
        <v>0</v>
      </c>
      <c r="D35" s="154"/>
      <c r="E35" s="156">
        <f t="shared" si="2"/>
        <v>0</v>
      </c>
    </row>
    <row r="36" spans="2:5" ht="25.5" customHeight="1" x14ac:dyDescent="0.25">
      <c r="B36" s="154" t="s">
        <v>158</v>
      </c>
      <c r="C36" s="192">
        <f>ROUND((C27+C32+C33+C34+C35+C29+C31+C30)*1.72%,2)</f>
        <v>206493.99</v>
      </c>
      <c r="D36" s="154"/>
      <c r="E36" s="156">
        <f t="shared" si="2"/>
        <v>1.6384447687643879E-2</v>
      </c>
    </row>
    <row r="37" spans="2:5" x14ac:dyDescent="0.25">
      <c r="B37" s="154" t="s">
        <v>159</v>
      </c>
      <c r="C37" s="192">
        <f>ROUND((C27+C32+C33+C34+C35+C29+C31+C30)*0.2%,2)</f>
        <v>24010.93</v>
      </c>
      <c r="D37" s="154"/>
      <c r="E37" s="156">
        <f t="shared" si="2"/>
        <v>1.9051684095826664E-3</v>
      </c>
    </row>
    <row r="38" spans="2:5" ht="38.25" customHeight="1" x14ac:dyDescent="0.25">
      <c r="B38" s="154" t="s">
        <v>160</v>
      </c>
      <c r="C38" s="155">
        <f>C27+C32+C33+C34+C35+C29+C31+C30+C36+C37</f>
        <v>12235969.49</v>
      </c>
      <c r="D38" s="154"/>
      <c r="E38" s="156">
        <f t="shared" si="2"/>
        <v>0.97087378676983072</v>
      </c>
    </row>
    <row r="39" spans="2:5" ht="13.5" customHeight="1" x14ac:dyDescent="0.25">
      <c r="B39" s="154" t="s">
        <v>161</v>
      </c>
      <c r="C39" s="155">
        <f>ROUND(C38*3%,2)</f>
        <v>367079.08</v>
      </c>
      <c r="D39" s="154"/>
      <c r="E39" s="156">
        <f>C39/$C$38</f>
        <v>2.9999999615886588E-2</v>
      </c>
    </row>
    <row r="40" spans="2:5" x14ac:dyDescent="0.25">
      <c r="B40" s="154" t="s">
        <v>162</v>
      </c>
      <c r="C40" s="155">
        <f>C39+C38</f>
        <v>12603048.57</v>
      </c>
      <c r="D40" s="154"/>
      <c r="E40" s="156">
        <f>C40/$C$40</f>
        <v>1</v>
      </c>
    </row>
    <row r="41" spans="2:5" x14ac:dyDescent="0.25">
      <c r="B41" s="154" t="s">
        <v>163</v>
      </c>
      <c r="C41" s="155">
        <f>C40/'Прил.5 Расчет СМР и ОБ'!E40</f>
        <v>12603048.57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164</v>
      </c>
      <c r="C43" s="153"/>
      <c r="D43" s="153"/>
      <c r="E43" s="153"/>
    </row>
    <row r="44" spans="2:5" x14ac:dyDescent="0.25">
      <c r="B44" s="158" t="s">
        <v>165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166</v>
      </c>
      <c r="C46" s="153"/>
      <c r="D46" s="153"/>
      <c r="E46" s="153"/>
    </row>
    <row r="47" spans="2:5" x14ac:dyDescent="0.25">
      <c r="B47" s="330" t="s">
        <v>167</v>
      </c>
      <c r="C47" s="330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6"/>
  <sheetViews>
    <sheetView tabSelected="1" view="pageBreakPreview" zoomScale="115" zoomScaleSheetLayoutView="115" workbookViewId="0">
      <selection activeCell="J17" sqref="J1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5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</row>
    <row r="2" spans="1:10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31" t="s">
        <v>168</v>
      </c>
      <c r="I2" s="331"/>
      <c r="J2" s="331"/>
    </row>
    <row r="3" spans="1:10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</row>
    <row r="4" spans="1:10" s="197" customFormat="1" ht="12.75" customHeight="1" x14ac:dyDescent="0.2">
      <c r="A4" s="308" t="s">
        <v>169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0" s="197" customFormat="1" ht="12.75" customHeight="1" x14ac:dyDescent="0.2">
      <c r="A5" s="279"/>
      <c r="B5" s="279"/>
      <c r="C5" s="198"/>
      <c r="D5" s="279"/>
      <c r="E5" s="279"/>
      <c r="F5" s="279"/>
      <c r="G5" s="279"/>
      <c r="H5" s="279"/>
      <c r="I5" s="279"/>
      <c r="J5" s="279"/>
    </row>
    <row r="6" spans="1:10" s="197" customFormat="1" ht="22.5" customHeight="1" x14ac:dyDescent="0.2">
      <c r="A6" s="199" t="s">
        <v>170</v>
      </c>
      <c r="B6" s="200"/>
      <c r="C6" s="200"/>
      <c r="D6" s="337" t="s">
        <v>171</v>
      </c>
      <c r="E6" s="337"/>
      <c r="F6" s="337"/>
      <c r="G6" s="337"/>
      <c r="H6" s="337"/>
      <c r="I6" s="337"/>
      <c r="J6" s="337"/>
    </row>
    <row r="7" spans="1:10" s="197" customFormat="1" ht="12.75" customHeight="1" x14ac:dyDescent="0.2">
      <c r="A7" s="311" t="s">
        <v>49</v>
      </c>
      <c r="B7" s="329"/>
      <c r="C7" s="329"/>
      <c r="D7" s="329"/>
      <c r="E7" s="329"/>
      <c r="F7" s="329"/>
      <c r="G7" s="329"/>
      <c r="H7" s="329"/>
      <c r="I7" s="201"/>
      <c r="J7" s="201"/>
    </row>
    <row r="8" spans="1:10" s="4" customFormat="1" ht="13.5" customHeight="1" x14ac:dyDescent="0.2">
      <c r="A8" s="311"/>
      <c r="B8" s="329"/>
      <c r="C8" s="329"/>
      <c r="D8" s="329"/>
      <c r="E8" s="329"/>
      <c r="F8" s="329"/>
      <c r="G8" s="329"/>
      <c r="H8" s="329"/>
    </row>
    <row r="9" spans="1:10" s="196" customFormat="1" ht="27" customHeight="1" x14ac:dyDescent="0.25">
      <c r="A9" s="334" t="s">
        <v>13</v>
      </c>
      <c r="B9" s="334" t="s">
        <v>100</v>
      </c>
      <c r="C9" s="334" t="s">
        <v>129</v>
      </c>
      <c r="D9" s="334" t="s">
        <v>102</v>
      </c>
      <c r="E9" s="335" t="s">
        <v>172</v>
      </c>
      <c r="F9" s="332" t="s">
        <v>104</v>
      </c>
      <c r="G9" s="333"/>
      <c r="H9" s="335" t="s">
        <v>173</v>
      </c>
      <c r="I9" s="332" t="s">
        <v>174</v>
      </c>
      <c r="J9" s="333"/>
    </row>
    <row r="10" spans="1:10" s="196" customFormat="1" ht="28.5" customHeight="1" x14ac:dyDescent="0.25">
      <c r="A10" s="334"/>
      <c r="B10" s="334"/>
      <c r="C10" s="334"/>
      <c r="D10" s="334"/>
      <c r="E10" s="336"/>
      <c r="F10" s="144" t="s">
        <v>175</v>
      </c>
      <c r="G10" s="144" t="s">
        <v>106</v>
      </c>
      <c r="H10" s="336"/>
      <c r="I10" s="144" t="s">
        <v>175</v>
      </c>
      <c r="J10" s="144" t="s">
        <v>106</v>
      </c>
    </row>
    <row r="11" spans="1:10" s="196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8">
        <v>9</v>
      </c>
      <c r="J11" s="278">
        <v>10</v>
      </c>
    </row>
    <row r="12" spans="1:10" x14ac:dyDescent="0.25">
      <c r="A12" s="2"/>
      <c r="B12" s="342" t="s">
        <v>176</v>
      </c>
      <c r="C12" s="343"/>
      <c r="D12" s="334"/>
      <c r="E12" s="344"/>
      <c r="F12" s="345"/>
      <c r="G12" s="345"/>
      <c r="H12" s="346"/>
      <c r="I12" s="202"/>
      <c r="J12" s="202"/>
    </row>
    <row r="13" spans="1:10" ht="25.5" customHeight="1" x14ac:dyDescent="0.25">
      <c r="A13" s="2">
        <v>1</v>
      </c>
      <c r="B13" s="203" t="s">
        <v>110</v>
      </c>
      <c r="C13" s="204" t="s">
        <v>177</v>
      </c>
      <c r="D13" s="144" t="s">
        <v>178</v>
      </c>
      <c r="E13" s="205">
        <v>138.82198106067</v>
      </c>
      <c r="F13" s="206">
        <v>10.94</v>
      </c>
      <c r="G13" s="206">
        <f>Прил.3!H12</f>
        <v>1518.71</v>
      </c>
      <c r="H13" s="207">
        <f>G13/$G$14</f>
        <v>1</v>
      </c>
      <c r="I13" s="208">
        <f>ФОТр.тек.!E13</f>
        <v>504.75733271476997</v>
      </c>
      <c r="J13" s="208">
        <f>ROUND(I13*E13,2)</f>
        <v>70071.41</v>
      </c>
    </row>
    <row r="14" spans="1:10" s="14" customFormat="1" ht="25.5" customHeight="1" x14ac:dyDescent="0.2">
      <c r="A14" s="2"/>
      <c r="B14" s="2"/>
      <c r="C14" s="270" t="s">
        <v>179</v>
      </c>
      <c r="D14" s="2" t="s">
        <v>178</v>
      </c>
      <c r="E14" s="209">
        <f>SUM(E13:E13)</f>
        <v>138.82198106067</v>
      </c>
      <c r="F14" s="28"/>
      <c r="G14" s="28">
        <f>SUM(G13:G13)</f>
        <v>1518.71</v>
      </c>
      <c r="H14" s="273">
        <v>1</v>
      </c>
      <c r="I14" s="202"/>
      <c r="J14" s="206">
        <f>SUM(J13:J13)</f>
        <v>70071.41</v>
      </c>
    </row>
    <row r="15" spans="1:10" s="14" customFormat="1" ht="14.25" customHeight="1" x14ac:dyDescent="0.2">
      <c r="A15" s="2"/>
      <c r="B15" s="343" t="s">
        <v>113</v>
      </c>
      <c r="C15" s="343"/>
      <c r="D15" s="334"/>
      <c r="E15" s="344"/>
      <c r="F15" s="345"/>
      <c r="G15" s="345"/>
      <c r="H15" s="346"/>
      <c r="I15" s="202"/>
      <c r="J15" s="202"/>
    </row>
    <row r="16" spans="1:10" s="14" customFormat="1" ht="14.25" customHeight="1" x14ac:dyDescent="0.2">
      <c r="A16" s="2"/>
      <c r="B16" s="342" t="s">
        <v>114</v>
      </c>
      <c r="C16" s="343"/>
      <c r="D16" s="334"/>
      <c r="E16" s="344"/>
      <c r="F16" s="345"/>
      <c r="G16" s="345"/>
      <c r="H16" s="346"/>
      <c r="I16" s="202"/>
      <c r="J16" s="202"/>
    </row>
    <row r="17" spans="1:10" s="14" customFormat="1" ht="14.25" customHeight="1" x14ac:dyDescent="0.2">
      <c r="A17" s="2"/>
      <c r="B17" s="2"/>
      <c r="C17" s="9" t="s">
        <v>180</v>
      </c>
      <c r="D17" s="2"/>
      <c r="E17" s="209"/>
      <c r="F17" s="28"/>
      <c r="G17" s="28">
        <v>0</v>
      </c>
      <c r="H17" s="273">
        <v>0</v>
      </c>
      <c r="I17" s="213"/>
      <c r="J17" s="28">
        <v>0</v>
      </c>
    </row>
    <row r="18" spans="1:10" s="14" customFormat="1" ht="14.25" customHeight="1" x14ac:dyDescent="0.2">
      <c r="A18" s="2"/>
      <c r="B18" s="2"/>
      <c r="C18" s="9" t="s">
        <v>181</v>
      </c>
      <c r="D18" s="2"/>
      <c r="E18" s="271"/>
      <c r="F18" s="28"/>
      <c r="G18" s="213">
        <v>0</v>
      </c>
      <c r="H18" s="214">
        <v>0</v>
      </c>
      <c r="I18" s="215"/>
      <c r="J18" s="215">
        <v>0</v>
      </c>
    </row>
    <row r="19" spans="1:10" s="14" customFormat="1" ht="25.5" customHeight="1" x14ac:dyDescent="0.2">
      <c r="A19" s="2"/>
      <c r="B19" s="2"/>
      <c r="C19" s="270" t="s">
        <v>182</v>
      </c>
      <c r="D19" s="2"/>
      <c r="E19" s="271"/>
      <c r="F19" s="28"/>
      <c r="G19" s="28">
        <f>G18+G17</f>
        <v>0</v>
      </c>
      <c r="H19" s="216">
        <v>1</v>
      </c>
      <c r="I19" s="217"/>
      <c r="J19" s="218">
        <f>J18+J17</f>
        <v>0</v>
      </c>
    </row>
    <row r="20" spans="1:10" s="14" customFormat="1" ht="14.25" customHeight="1" x14ac:dyDescent="0.2">
      <c r="A20" s="2"/>
      <c r="B20" s="342" t="s">
        <v>43</v>
      </c>
      <c r="C20" s="342"/>
      <c r="D20" s="347"/>
      <c r="E20" s="348"/>
      <c r="F20" s="349"/>
      <c r="G20" s="349"/>
      <c r="H20" s="350"/>
      <c r="I20" s="202"/>
      <c r="J20" s="202"/>
    </row>
    <row r="21" spans="1:10" x14ac:dyDescent="0.25">
      <c r="A21" s="274"/>
      <c r="B21" s="343" t="s">
        <v>183</v>
      </c>
      <c r="C21" s="343"/>
      <c r="D21" s="334"/>
      <c r="E21" s="344"/>
      <c r="F21" s="345"/>
      <c r="G21" s="345"/>
      <c r="H21" s="346"/>
      <c r="I21" s="219"/>
      <c r="J21" s="219"/>
    </row>
    <row r="22" spans="1:10" s="14" customFormat="1" ht="38.25" customHeight="1" x14ac:dyDescent="0.2">
      <c r="A22" s="2">
        <v>2</v>
      </c>
      <c r="B22" s="288" t="s">
        <v>184</v>
      </c>
      <c r="C22" s="289" t="s">
        <v>116</v>
      </c>
      <c r="D22" s="220" t="s">
        <v>117</v>
      </c>
      <c r="E22" s="221">
        <v>52</v>
      </c>
      <c r="F22" s="222">
        <f>ROUND(I22/Прил.10!$D$14,2)</f>
        <v>34095.85</v>
      </c>
      <c r="G22" s="212">
        <f>ROUND(E22*F22,2)</f>
        <v>1772984.2</v>
      </c>
      <c r="H22" s="214">
        <f>G22/$G$26</f>
        <v>0.99157930265291772</v>
      </c>
      <c r="I22" s="206">
        <v>213440</v>
      </c>
      <c r="J22" s="206">
        <f>ROUND(I22*E22,2)</f>
        <v>11098880</v>
      </c>
    </row>
    <row r="23" spans="1:10" x14ac:dyDescent="0.25">
      <c r="A23" s="2"/>
      <c r="B23" s="290"/>
      <c r="C23" s="291" t="s">
        <v>185</v>
      </c>
      <c r="D23" s="210"/>
      <c r="E23" s="209"/>
      <c r="F23" s="276"/>
      <c r="G23" s="223">
        <f>SUM(G22)</f>
        <v>1772984.2</v>
      </c>
      <c r="H23" s="214">
        <f>G22/$G$26</f>
        <v>0.99157930265291772</v>
      </c>
      <c r="I23" s="224"/>
      <c r="J23" s="223">
        <f>SUM(J22)</f>
        <v>11098880</v>
      </c>
    </row>
    <row r="24" spans="1:10" s="14" customFormat="1" ht="14.25" customHeight="1" outlineLevel="1" x14ac:dyDescent="0.2">
      <c r="A24" s="2">
        <v>3</v>
      </c>
      <c r="B24" s="288" t="s">
        <v>118</v>
      </c>
      <c r="C24" s="289" t="s">
        <v>119</v>
      </c>
      <c r="D24" s="220" t="s">
        <v>120</v>
      </c>
      <c r="E24" s="221">
        <v>1.4858196491793001</v>
      </c>
      <c r="F24" s="222">
        <v>10133.5</v>
      </c>
      <c r="G24" s="212">
        <f>ROUND(E24*F24,2)</f>
        <v>15056.55</v>
      </c>
      <c r="H24" s="214">
        <f>G24/$G$26</f>
        <v>8.4206973470822739E-3</v>
      </c>
      <c r="I24" s="206">
        <f>ROUND(F24*Прил.10!$D$14,2)</f>
        <v>63435.71</v>
      </c>
      <c r="J24" s="206">
        <f>ROUND(I24*E24,2)</f>
        <v>94254.02</v>
      </c>
    </row>
    <row r="25" spans="1:10" x14ac:dyDescent="0.25">
      <c r="A25" s="2"/>
      <c r="B25" s="290"/>
      <c r="C25" s="291" t="s">
        <v>186</v>
      </c>
      <c r="D25" s="274"/>
      <c r="E25" s="209"/>
      <c r="F25" s="276"/>
      <c r="G25" s="223">
        <f>SUM(G24)</f>
        <v>15056.55</v>
      </c>
      <c r="H25" s="214">
        <f>G25/$G$26</f>
        <v>8.4206973470822739E-3</v>
      </c>
      <c r="I25" s="224"/>
      <c r="J25" s="223">
        <f>SUM(J24)</f>
        <v>94254.02</v>
      </c>
    </row>
    <row r="26" spans="1:10" x14ac:dyDescent="0.25">
      <c r="A26" s="274"/>
      <c r="B26" s="290"/>
      <c r="C26" s="292" t="s">
        <v>187</v>
      </c>
      <c r="D26" s="274"/>
      <c r="E26" s="275"/>
      <c r="F26" s="276"/>
      <c r="G26" s="223">
        <f>G23+G25</f>
        <v>1788040.75</v>
      </c>
      <c r="H26" s="273">
        <v>1</v>
      </c>
      <c r="I26" s="224"/>
      <c r="J26" s="223">
        <f>J25+J23</f>
        <v>11193134.02</v>
      </c>
    </row>
    <row r="27" spans="1:10" ht="25.5" customHeight="1" x14ac:dyDescent="0.25">
      <c r="A27" s="274"/>
      <c r="B27" s="290"/>
      <c r="C27" s="291" t="s">
        <v>188</v>
      </c>
      <c r="D27" s="274"/>
      <c r="E27" s="226"/>
      <c r="F27" s="276"/>
      <c r="G27" s="223">
        <f>'Прил.6 Расчет ОБ'!G14</f>
        <v>1788040.75</v>
      </c>
      <c r="H27" s="277"/>
      <c r="I27" s="224"/>
      <c r="J27" s="223">
        <f>ROUND(G27*Прил.10!D14,2)</f>
        <v>11193135.1</v>
      </c>
    </row>
    <row r="28" spans="1:10" s="14" customFormat="1" ht="14.25" customHeight="1" x14ac:dyDescent="0.2">
      <c r="A28" s="2"/>
      <c r="B28" s="342" t="s">
        <v>121</v>
      </c>
      <c r="C28" s="342"/>
      <c r="D28" s="347"/>
      <c r="E28" s="348"/>
      <c r="F28" s="349"/>
      <c r="G28" s="349"/>
      <c r="H28" s="350"/>
      <c r="I28" s="202"/>
      <c r="J28" s="202"/>
    </row>
    <row r="29" spans="1:10" s="14" customFormat="1" ht="14.25" customHeight="1" x14ac:dyDescent="0.2">
      <c r="A29" s="269"/>
      <c r="B29" s="338" t="s">
        <v>189</v>
      </c>
      <c r="C29" s="338"/>
      <c r="D29" s="335"/>
      <c r="E29" s="339"/>
      <c r="F29" s="340"/>
      <c r="G29" s="340"/>
      <c r="H29" s="341"/>
      <c r="I29" s="227"/>
      <c r="J29" s="227"/>
    </row>
    <row r="30" spans="1:10" s="14" customFormat="1" ht="25.5" customHeight="1" x14ac:dyDescent="0.2">
      <c r="A30" s="220">
        <v>4</v>
      </c>
      <c r="B30" s="220" t="s">
        <v>122</v>
      </c>
      <c r="C30" s="150" t="s">
        <v>123</v>
      </c>
      <c r="D30" s="220" t="s">
        <v>117</v>
      </c>
      <c r="E30" s="221">
        <v>37.138033118887002</v>
      </c>
      <c r="F30" s="222">
        <v>394.94</v>
      </c>
      <c r="G30" s="212">
        <f>ROUND(E30*F30,2)</f>
        <v>14667.29</v>
      </c>
      <c r="H30" s="214">
        <f>G30/$G$34</f>
        <v>0.99794794335071735</v>
      </c>
      <c r="I30" s="206">
        <f>ROUND(F30*Прил.10!$D$13,2)</f>
        <v>3175.32</v>
      </c>
      <c r="J30" s="206">
        <f>ROUND(I30*E30,2)</f>
        <v>117925.14</v>
      </c>
    </row>
    <row r="31" spans="1:10" s="14" customFormat="1" ht="14.25" customHeight="1" x14ac:dyDescent="0.2">
      <c r="A31" s="228"/>
      <c r="B31" s="229"/>
      <c r="C31" s="230" t="s">
        <v>190</v>
      </c>
      <c r="D31" s="231"/>
      <c r="E31" s="232"/>
      <c r="F31" s="233"/>
      <c r="G31" s="234">
        <f>SUM(G30)</f>
        <v>14667.29</v>
      </c>
      <c r="H31" s="214">
        <f>G31/$G$34</f>
        <v>0.99794794335071735</v>
      </c>
      <c r="I31" s="206"/>
      <c r="J31" s="234">
        <f>SUM(J30)</f>
        <v>117925.14</v>
      </c>
    </row>
    <row r="32" spans="1:10" s="14" customFormat="1" ht="25.5" customHeight="1" outlineLevel="1" x14ac:dyDescent="0.2">
      <c r="A32" s="220">
        <v>5</v>
      </c>
      <c r="B32" s="220" t="s">
        <v>124</v>
      </c>
      <c r="C32" s="150" t="s">
        <v>125</v>
      </c>
      <c r="D32" s="220" t="s">
        <v>126</v>
      </c>
      <c r="E32" s="221">
        <v>30.160809959203</v>
      </c>
      <c r="F32" s="222">
        <v>1</v>
      </c>
      <c r="G32" s="212">
        <f>ROUND(E32*F32,2)</f>
        <v>30.16</v>
      </c>
      <c r="H32" s="214">
        <f>G32/$G$34</f>
        <v>2.0520566492826988E-3</v>
      </c>
      <c r="I32" s="206">
        <f>ROUND(F32*Прил.10!$D$13,2)</f>
        <v>8.0399999999999991</v>
      </c>
      <c r="J32" s="206">
        <f>ROUND(I32*E32,2)</f>
        <v>242.49</v>
      </c>
    </row>
    <row r="33" spans="1:10" s="14" customFormat="1" ht="14.25" customHeight="1" x14ac:dyDescent="0.2">
      <c r="A33" s="2"/>
      <c r="B33" s="2"/>
      <c r="C33" s="9" t="s">
        <v>191</v>
      </c>
      <c r="D33" s="2"/>
      <c r="E33" s="271"/>
      <c r="F33" s="272"/>
      <c r="G33" s="28">
        <f>SUM(G32:G32)</f>
        <v>30.16</v>
      </c>
      <c r="H33" s="214">
        <f>G33/$G$34</f>
        <v>2.0520566492826988E-3</v>
      </c>
      <c r="I33" s="28"/>
      <c r="J33" s="28">
        <f>SUM(J32:J32)</f>
        <v>242.49</v>
      </c>
    </row>
    <row r="34" spans="1:10" s="14" customFormat="1" ht="14.25" customHeight="1" x14ac:dyDescent="0.2">
      <c r="A34" s="2"/>
      <c r="B34" s="2"/>
      <c r="C34" s="270" t="s">
        <v>192</v>
      </c>
      <c r="D34" s="2"/>
      <c r="E34" s="271"/>
      <c r="F34" s="272"/>
      <c r="G34" s="28">
        <f>G31+G33</f>
        <v>14697.45</v>
      </c>
      <c r="H34" s="273">
        <f>G34/$G$34</f>
        <v>1</v>
      </c>
      <c r="I34" s="28"/>
      <c r="J34" s="28">
        <f>J31+J33</f>
        <v>118167.63</v>
      </c>
    </row>
    <row r="35" spans="1:10" s="14" customFormat="1" ht="14.25" customHeight="1" x14ac:dyDescent="0.2">
      <c r="A35" s="2"/>
      <c r="B35" s="2"/>
      <c r="C35" s="9" t="s">
        <v>193</v>
      </c>
      <c r="D35" s="2"/>
      <c r="E35" s="271"/>
      <c r="F35" s="272"/>
      <c r="G35" s="28">
        <f>G14+G19+G34</f>
        <v>16216.16</v>
      </c>
      <c r="H35" s="273"/>
      <c r="I35" s="28"/>
      <c r="J35" s="28">
        <f>J14+J19+J34</f>
        <v>188239.04</v>
      </c>
    </row>
    <row r="36" spans="1:10" s="14" customFormat="1" ht="14.25" customHeight="1" x14ac:dyDescent="0.2">
      <c r="A36" s="2"/>
      <c r="B36" s="2"/>
      <c r="C36" s="9" t="s">
        <v>194</v>
      </c>
      <c r="D36" s="235">
        <f>ROUND(G36/(0+$G$14),2)</f>
        <v>0.12</v>
      </c>
      <c r="E36" s="271"/>
      <c r="F36" s="272"/>
      <c r="G36" s="28">
        <v>184.03</v>
      </c>
      <c r="H36" s="273"/>
      <c r="I36" s="28"/>
      <c r="J36" s="206">
        <f>ROUND(D36*(J14+0),2)</f>
        <v>8408.57</v>
      </c>
    </row>
    <row r="37" spans="1:10" s="14" customFormat="1" ht="14.25" customHeight="1" x14ac:dyDescent="0.2">
      <c r="A37" s="2"/>
      <c r="B37" s="2"/>
      <c r="C37" s="9" t="s">
        <v>195</v>
      </c>
      <c r="D37" s="235">
        <f>ROUND(G37/(G$14+0),2)</f>
        <v>0.06</v>
      </c>
      <c r="E37" s="271"/>
      <c r="F37" s="272"/>
      <c r="G37" s="28">
        <v>94.05</v>
      </c>
      <c r="H37" s="273"/>
      <c r="I37" s="28"/>
      <c r="J37" s="206">
        <f>ROUND(D37*(J14+0),2)</f>
        <v>4204.28</v>
      </c>
    </row>
    <row r="38" spans="1:10" s="14" customFormat="1" ht="14.25" customHeight="1" x14ac:dyDescent="0.2">
      <c r="A38" s="2"/>
      <c r="B38" s="2"/>
      <c r="C38" s="9" t="s">
        <v>196</v>
      </c>
      <c r="D38" s="2"/>
      <c r="E38" s="271"/>
      <c r="F38" s="272"/>
      <c r="G38" s="28">
        <f>G14+G19+G34+G36+G37</f>
        <v>16494.239999999998</v>
      </c>
      <c r="H38" s="273"/>
      <c r="I38" s="28"/>
      <c r="J38" s="28">
        <f>J14+J19+J34+J36+J37</f>
        <v>200851.89</v>
      </c>
    </row>
    <row r="39" spans="1:10" s="14" customFormat="1" ht="14.25" customHeight="1" x14ac:dyDescent="0.2">
      <c r="A39" s="2"/>
      <c r="B39" s="2"/>
      <c r="C39" s="9" t="s">
        <v>197</v>
      </c>
      <c r="D39" s="2"/>
      <c r="E39" s="271"/>
      <c r="F39" s="272"/>
      <c r="G39" s="28">
        <f>G38+G26</f>
        <v>1804534.99</v>
      </c>
      <c r="H39" s="273"/>
      <c r="I39" s="28"/>
      <c r="J39" s="28">
        <f>J38+J26</f>
        <v>11393985.91</v>
      </c>
    </row>
    <row r="40" spans="1:10" s="14" customFormat="1" ht="34.5" customHeight="1" x14ac:dyDescent="0.2">
      <c r="A40" s="2"/>
      <c r="B40" s="2"/>
      <c r="C40" s="9" t="s">
        <v>163</v>
      </c>
      <c r="D40" s="2" t="s">
        <v>198</v>
      </c>
      <c r="E40" s="283">
        <v>1</v>
      </c>
      <c r="F40" s="272"/>
      <c r="G40" s="28">
        <f>G39/E40</f>
        <v>1804534.99</v>
      </c>
      <c r="H40" s="273"/>
      <c r="I40" s="28"/>
      <c r="J40" s="28">
        <f>J39/E40</f>
        <v>11393985.91</v>
      </c>
    </row>
    <row r="42" spans="1:10" s="14" customFormat="1" ht="14.25" customHeight="1" x14ac:dyDescent="0.2">
      <c r="A42" s="4" t="s">
        <v>199</v>
      </c>
    </row>
    <row r="43" spans="1:10" s="14" customFormat="1" ht="14.25" customHeight="1" x14ac:dyDescent="0.2">
      <c r="A43" s="236" t="s">
        <v>76</v>
      </c>
    </row>
    <row r="44" spans="1:10" s="14" customFormat="1" ht="14.25" customHeight="1" x14ac:dyDescent="0.2">
      <c r="A44" s="4"/>
    </row>
    <row r="45" spans="1:10" s="14" customFormat="1" ht="14.25" customHeight="1" x14ac:dyDescent="0.2">
      <c r="A45" s="4" t="s">
        <v>200</v>
      </c>
    </row>
    <row r="46" spans="1:10" s="14" customFormat="1" ht="14.25" customHeight="1" x14ac:dyDescent="0.2">
      <c r="A46" s="23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2:H12"/>
    <mergeCell ref="B15:H15"/>
    <mergeCell ref="B16:H16"/>
    <mergeCell ref="B21:H21"/>
    <mergeCell ref="B20:H20"/>
    <mergeCell ref="B28:H2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4" workbookViewId="0">
      <selection activeCell="E15" sqref="E1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1" t="s">
        <v>201</v>
      </c>
      <c r="B1" s="351"/>
      <c r="C1" s="351"/>
      <c r="D1" s="351"/>
      <c r="E1" s="351"/>
      <c r="F1" s="351"/>
      <c r="G1" s="351"/>
    </row>
    <row r="2" spans="1:7" ht="21.75" customHeight="1" x14ac:dyDescent="0.25">
      <c r="A2" s="280"/>
      <c r="B2" s="280"/>
      <c r="C2" s="280"/>
      <c r="D2" s="280"/>
      <c r="E2" s="280"/>
      <c r="F2" s="280"/>
      <c r="G2" s="280"/>
    </row>
    <row r="3" spans="1:7" x14ac:dyDescent="0.25">
      <c r="A3" s="308" t="s">
        <v>202</v>
      </c>
      <c r="B3" s="308"/>
      <c r="C3" s="308"/>
      <c r="D3" s="308"/>
      <c r="E3" s="308"/>
      <c r="F3" s="308"/>
      <c r="G3" s="308"/>
    </row>
    <row r="4" spans="1:7" ht="25.5" customHeight="1" x14ac:dyDescent="0.25">
      <c r="A4" s="311" t="s">
        <v>47</v>
      </c>
      <c r="B4" s="311"/>
      <c r="C4" s="311"/>
      <c r="D4" s="311"/>
      <c r="E4" s="311"/>
      <c r="F4" s="311"/>
      <c r="G4" s="311"/>
    </row>
    <row r="5" spans="1:7" x14ac:dyDescent="0.25">
      <c r="A5" s="237"/>
      <c r="B5" s="237"/>
      <c r="C5" s="237"/>
      <c r="D5" s="237"/>
      <c r="E5" s="237"/>
      <c r="F5" s="237"/>
      <c r="G5" s="237"/>
    </row>
    <row r="6" spans="1:7" ht="30" customHeight="1" x14ac:dyDescent="0.25">
      <c r="A6" s="356" t="s">
        <v>13</v>
      </c>
      <c r="B6" s="356" t="s">
        <v>100</v>
      </c>
      <c r="C6" s="356" t="s">
        <v>129</v>
      </c>
      <c r="D6" s="356" t="s">
        <v>102</v>
      </c>
      <c r="E6" s="335" t="s">
        <v>172</v>
      </c>
      <c r="F6" s="356" t="s">
        <v>104</v>
      </c>
      <c r="G6" s="356"/>
    </row>
    <row r="7" spans="1:7" x14ac:dyDescent="0.25">
      <c r="A7" s="356"/>
      <c r="B7" s="356"/>
      <c r="C7" s="356"/>
      <c r="D7" s="356"/>
      <c r="E7" s="336"/>
      <c r="F7" s="274" t="s">
        <v>175</v>
      </c>
      <c r="G7" s="274" t="s">
        <v>106</v>
      </c>
    </row>
    <row r="8" spans="1:7" x14ac:dyDescent="0.25">
      <c r="A8" s="274">
        <v>1</v>
      </c>
      <c r="B8" s="274">
        <v>2</v>
      </c>
      <c r="C8" s="274">
        <v>3</v>
      </c>
      <c r="D8" s="274">
        <v>4</v>
      </c>
      <c r="E8" s="274">
        <v>5</v>
      </c>
      <c r="F8" s="274">
        <v>6</v>
      </c>
      <c r="G8" s="274">
        <v>7</v>
      </c>
    </row>
    <row r="9" spans="1:7" ht="15" customHeight="1" x14ac:dyDescent="0.25">
      <c r="A9" s="238"/>
      <c r="B9" s="352" t="s">
        <v>203</v>
      </c>
      <c r="C9" s="353"/>
      <c r="D9" s="353"/>
      <c r="E9" s="353"/>
      <c r="F9" s="353"/>
      <c r="G9" s="354"/>
    </row>
    <row r="10" spans="1:7" ht="27" customHeight="1" x14ac:dyDescent="0.25">
      <c r="A10" s="274"/>
      <c r="B10" s="225"/>
      <c r="C10" s="135" t="s">
        <v>204</v>
      </c>
      <c r="D10" s="225"/>
      <c r="E10" s="239"/>
      <c r="F10" s="276"/>
      <c r="G10" s="223">
        <v>0</v>
      </c>
    </row>
    <row r="11" spans="1:7" x14ac:dyDescent="0.25">
      <c r="A11" s="274"/>
      <c r="B11" s="343" t="s">
        <v>205</v>
      </c>
      <c r="C11" s="343"/>
      <c r="D11" s="343"/>
      <c r="E11" s="355"/>
      <c r="F11" s="345"/>
      <c r="G11" s="345"/>
    </row>
    <row r="12" spans="1:7" s="159" customFormat="1" ht="38.25" customHeight="1" x14ac:dyDescent="0.25">
      <c r="A12" s="274">
        <v>1</v>
      </c>
      <c r="B12" s="135" t="str">
        <f>'Прил.5 Расчет СМР и ОБ'!B22</f>
        <v>БЦ.54.14</v>
      </c>
      <c r="C12" s="240" t="str">
        <f>'Прил.5 Расчет СМР и ОБ'!C22</f>
        <v>Сетевая стационарная IP- камера В5650 и кронштейн крепления для подвесных купольных и стационарных видеокамер</v>
      </c>
      <c r="D12" s="241" t="str">
        <f>'Прил.5 Расчет СМР и ОБ'!D22</f>
        <v>шт</v>
      </c>
      <c r="E12" s="242">
        <f>'Прил.5 Расчет СМР и ОБ'!E22</f>
        <v>52</v>
      </c>
      <c r="F12" s="211">
        <f>'Прил.5 Расчет СМР и ОБ'!F22</f>
        <v>34095.85</v>
      </c>
      <c r="G12" s="223">
        <f>ROUND(E12*F12,2)</f>
        <v>1772984.2</v>
      </c>
    </row>
    <row r="13" spans="1:7" s="159" customFormat="1" ht="15.75" customHeight="1" x14ac:dyDescent="0.25">
      <c r="A13" s="274">
        <v>2</v>
      </c>
      <c r="B13" s="135" t="str">
        <f>'Прил.5 Расчет СМР и ОБ'!B24</f>
        <v>61.3.01.02-0071</v>
      </c>
      <c r="C13" s="240" t="str">
        <f>'Прил.5 Расчет СМР и ОБ'!C24</f>
        <v>Объектив вариофокальный LTC3364/50</v>
      </c>
      <c r="D13" s="241" t="str">
        <f>'Прил.5 Расчет СМР и ОБ'!D24</f>
        <v>10 шт</v>
      </c>
      <c r="E13" s="242">
        <f>'Прил.5 Расчет СМР и ОБ'!E24</f>
        <v>1.4858196491793001</v>
      </c>
      <c r="F13" s="211">
        <f>'Прил.5 Расчет СМР и ОБ'!F24</f>
        <v>10133.5</v>
      </c>
      <c r="G13" s="223">
        <f>ROUND(E13*F13,2)</f>
        <v>15056.55</v>
      </c>
    </row>
    <row r="14" spans="1:7" ht="25.5" customHeight="1" x14ac:dyDescent="0.25">
      <c r="A14" s="274"/>
      <c r="B14" s="135"/>
      <c r="C14" s="135" t="s">
        <v>206</v>
      </c>
      <c r="D14" s="135"/>
      <c r="E14" s="281"/>
      <c r="F14" s="276"/>
      <c r="G14" s="223">
        <f>SUM(G12:G13)</f>
        <v>1788040.75</v>
      </c>
    </row>
    <row r="15" spans="1:7" ht="19.5" customHeight="1" x14ac:dyDescent="0.25">
      <c r="A15" s="274"/>
      <c r="B15" s="135"/>
      <c r="C15" s="135" t="s">
        <v>207</v>
      </c>
      <c r="D15" s="135"/>
      <c r="E15" s="281"/>
      <c r="F15" s="276"/>
      <c r="G15" s="223">
        <f>G10+G14</f>
        <v>1788040.75</v>
      </c>
    </row>
    <row r="16" spans="1:7" x14ac:dyDescent="0.25">
      <c r="A16" s="243"/>
      <c r="B16" s="244"/>
      <c r="C16" s="243"/>
      <c r="D16" s="243"/>
      <c r="E16" s="243"/>
      <c r="F16" s="243"/>
      <c r="G16" s="243"/>
    </row>
    <row r="17" spans="1:7" x14ac:dyDescent="0.25">
      <c r="A17" s="4" t="s">
        <v>199</v>
      </c>
      <c r="B17" s="14"/>
      <c r="C17" s="14"/>
      <c r="D17" s="243"/>
      <c r="E17" s="243"/>
      <c r="F17" s="243"/>
      <c r="G17" s="243"/>
    </row>
    <row r="18" spans="1:7" x14ac:dyDescent="0.25">
      <c r="A18" s="236" t="s">
        <v>76</v>
      </c>
      <c r="B18" s="14"/>
      <c r="C18" s="14"/>
      <c r="D18" s="243"/>
      <c r="E18" s="243"/>
      <c r="F18" s="243"/>
      <c r="G18" s="243"/>
    </row>
    <row r="19" spans="1:7" x14ac:dyDescent="0.25">
      <c r="A19" s="4"/>
      <c r="B19" s="14"/>
      <c r="C19" s="14"/>
      <c r="D19" s="243"/>
      <c r="E19" s="243"/>
      <c r="F19" s="243"/>
      <c r="G19" s="243"/>
    </row>
    <row r="20" spans="1:7" x14ac:dyDescent="0.25">
      <c r="A20" s="4" t="s">
        <v>200</v>
      </c>
      <c r="B20" s="14"/>
      <c r="C20" s="14"/>
      <c r="D20" s="243"/>
      <c r="E20" s="243"/>
      <c r="F20" s="243"/>
      <c r="G20" s="243"/>
    </row>
    <row r="21" spans="1:7" x14ac:dyDescent="0.25">
      <c r="A21" s="236" t="s">
        <v>78</v>
      </c>
      <c r="B21" s="14"/>
      <c r="C21" s="14"/>
      <c r="D21" s="243"/>
      <c r="E21" s="243"/>
      <c r="F21" s="243"/>
      <c r="G21" s="24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2023-11-26T05:34:40Z</cp:lastPrinted>
  <dcterms:created xsi:type="dcterms:W3CDTF">2020-09-30T08:50:27Z</dcterms:created>
  <dcterms:modified xsi:type="dcterms:W3CDTF">2023-11-26T05:34:52Z</dcterms:modified>
  <cp:category/>
</cp:coreProperties>
</file>