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1\"/>
    </mc:Choice>
  </mc:AlternateContent>
  <xr:revisionPtr revIDLastSave="0" documentId="13_ncr:20001_{DA75EE23-C25D-4895-9814-4943C3093B9E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 localSheetId="9">#REF!</definedName>
    <definedName name="Criteria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 localSheetId="9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 localSheetId="9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k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11">IF(ФОТр.тек.!n_3=1,ФОТр.тек.!n_2,ФОТр.тек.!n_3&amp;ФОТр.тек.!n_1)</definedName>
    <definedName name="n0x">IF('Прил.7 Расчет пок.'!n_3=1,'Прил.7 Расчет пок.'!n_2,'Прил.7 Расчет пок.'!n_3&amp;'Прил.7 Расчет пок.'!n_1)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11">IF(ФОТр.тек.!n_3=1,ФОТр.тек.!n_2,ФОТр.тек.!n_3&amp;ФОТр.тек.!n_5)</definedName>
    <definedName name="n1x">IF('Прил.7 Расчет пок.'!n_3=1,'Прил.7 Расчет пок.'!n_2,'Прил.7 Расчет пок.'!n_3&amp;'Прил.7 Расчет пок.'!n_5)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 localSheetId="9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 localSheetId="9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 localSheetId="9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 localSheetId="9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 localSheetId="9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 localSheetId="9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 localSheetId="9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 localSheetId="9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 localSheetId="9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 localSheetId="9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 localSheetId="9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 localSheetId="9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3">'Прил.1 Сравнит табл'!$A$1:$D$32</definedName>
    <definedName name="_xlnm.Print_Area" localSheetId="4">'Прил.2 Расч стоим'!$A$1:$J$26</definedName>
    <definedName name="_xlnm.Print_Area" localSheetId="5">Прил.3!$A$1:$H$30</definedName>
    <definedName name="_xlnm.Print_Area" localSheetId="6">'Прил.4 РМ'!$A$1:$E$48</definedName>
    <definedName name="_xlnm.Print_Area" localSheetId="7">'Прил.5 Расчет СМР и ОБ'!$A$1:$J$49</definedName>
    <definedName name="_xlnm.Print_Area" localSheetId="8">'Прил.6 Расчет ОБ'!$A$1:$G$21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 localSheetId="9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 localSheetId="9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.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 localSheetId="9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 localSheetId="9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 localSheetId="9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 localSheetId="9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 localSheetId="9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 localSheetId="9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 localSheetId="9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13" i="12"/>
  <c r="E8" i="12"/>
  <c r="C11" i="10"/>
  <c r="D5" i="10"/>
  <c r="G13" i="9"/>
  <c r="F13" i="9"/>
  <c r="E13" i="9"/>
  <c r="D13" i="9"/>
  <c r="C13" i="9"/>
  <c r="B13" i="9"/>
  <c r="G12" i="9"/>
  <c r="G14" i="9" s="1"/>
  <c r="F12" i="9"/>
  <c r="E12" i="9"/>
  <c r="D12" i="9"/>
  <c r="C12" i="9"/>
  <c r="B12" i="9"/>
  <c r="G34" i="8"/>
  <c r="H32" i="8" s="1"/>
  <c r="G33" i="8"/>
  <c r="J32" i="8"/>
  <c r="J33" i="8" s="1"/>
  <c r="C17" i="7" s="1"/>
  <c r="I32" i="8"/>
  <c r="G32" i="8"/>
  <c r="J31" i="8"/>
  <c r="J34" i="8" s="1"/>
  <c r="H31" i="8"/>
  <c r="G31" i="8"/>
  <c r="J30" i="8"/>
  <c r="I30" i="8"/>
  <c r="G30" i="8"/>
  <c r="G26" i="8"/>
  <c r="H25" i="8" s="1"/>
  <c r="G25" i="8"/>
  <c r="J24" i="8"/>
  <c r="J25" i="8" s="1"/>
  <c r="J26" i="8" s="1"/>
  <c r="C25" i="7" s="1"/>
  <c r="I24" i="8"/>
  <c r="H24" i="8"/>
  <c r="G24" i="8"/>
  <c r="J23" i="8"/>
  <c r="H23" i="8"/>
  <c r="G23" i="8"/>
  <c r="J22" i="8"/>
  <c r="H22" i="8"/>
  <c r="G22" i="8"/>
  <c r="F22" i="8"/>
  <c r="J19" i="8"/>
  <c r="G19" i="8"/>
  <c r="G14" i="8"/>
  <c r="E14" i="8"/>
  <c r="J13" i="8"/>
  <c r="J14" i="8" s="1"/>
  <c r="I13" i="8"/>
  <c r="G13" i="8"/>
  <c r="C14" i="7"/>
  <c r="C13" i="7"/>
  <c r="C12" i="7"/>
  <c r="H21" i="6"/>
  <c r="H20" i="6"/>
  <c r="H19" i="6"/>
  <c r="H18" i="6"/>
  <c r="H17" i="6"/>
  <c r="H16" i="6"/>
  <c r="H13" i="6"/>
  <c r="H12" i="6"/>
  <c r="F12" i="6"/>
  <c r="D24" i="4"/>
  <c r="D23" i="4"/>
  <c r="D19" i="4"/>
  <c r="D18" i="4"/>
  <c r="D17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C11" i="7" l="1"/>
  <c r="J35" i="8"/>
  <c r="G27" i="8"/>
  <c r="J27" i="8" s="1"/>
  <c r="C26" i="7" s="1"/>
  <c r="G15" i="9"/>
  <c r="H33" i="8"/>
  <c r="C16" i="7"/>
  <c r="C18" i="7" s="1"/>
  <c r="H30" i="8"/>
  <c r="H34" i="8"/>
  <c r="G38" i="8"/>
  <c r="G39" i="8" s="1"/>
  <c r="G40" i="8" s="1"/>
  <c r="H13" i="8"/>
  <c r="D36" i="8"/>
  <c r="J36" i="8" s="1"/>
  <c r="D37" i="8"/>
  <c r="J37" i="8" s="1"/>
  <c r="J38" i="8" s="1"/>
  <c r="J39" i="8" s="1"/>
  <c r="J40" i="8" s="1"/>
  <c r="G35" i="8"/>
  <c r="C19" i="7" l="1"/>
  <c r="C20" i="7"/>
  <c r="C22" i="7"/>
  <c r="C24" i="7" l="1"/>
  <c r="D12" i="7" l="1"/>
  <c r="C29" i="7"/>
  <c r="D15" i="7"/>
  <c r="C27" i="7"/>
  <c r="D24" i="7"/>
  <c r="D13" i="7"/>
  <c r="D14" i="7"/>
  <c r="D17" i="7"/>
  <c r="D11" i="7"/>
  <c r="D18" i="7"/>
  <c r="D16" i="7"/>
  <c r="D20" i="7"/>
  <c r="D22" i="7"/>
  <c r="C30" i="7" l="1"/>
  <c r="C36" i="7" s="1"/>
  <c r="C37" i="7" l="1"/>
  <c r="C38" i="7" s="1"/>
  <c r="C39" i="7" l="1"/>
  <c r="C40" i="7" l="1"/>
  <c r="E39" i="7"/>
  <c r="E35" i="7" l="1"/>
  <c r="E12" i="7"/>
  <c r="C41" i="7"/>
  <c r="D11" i="10" s="1"/>
  <c r="E34" i="7"/>
  <c r="E40" i="7"/>
  <c r="E33" i="7"/>
  <c r="E32" i="7"/>
  <c r="E13" i="7"/>
  <c r="E31" i="7"/>
  <c r="E15" i="7"/>
  <c r="E14" i="7"/>
  <c r="E17" i="7"/>
  <c r="E25" i="7"/>
  <c r="E18" i="7"/>
  <c r="E26" i="7"/>
  <c r="E11" i="7"/>
  <c r="E16" i="7"/>
  <c r="E22" i="7"/>
  <c r="E20" i="7"/>
  <c r="E24" i="7"/>
  <c r="E27" i="7"/>
  <c r="E29" i="7"/>
  <c r="E36" i="7"/>
  <c r="E30" i="7"/>
  <c r="E38" i="7"/>
  <c r="E37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<sst xmlns="http://schemas.openxmlformats.org/spreadsheetml/2006/main" count="520" uniqueCount="368">
  <si>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</si>
  <si>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</si>
  <si>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</si>
  <si>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</si>
  <si>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</si>
  <si>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</si>
  <si>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</si>
  <si>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</si>
  <si>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</si>
  <si>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</si>
  <si>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</si>
  <si>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</si>
  <si>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</si>
  <si>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</si>
  <si>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</si>
  <si>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</si>
  <si>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</si>
  <si>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</si>
  <si>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</si>
  <si>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</si>
  <si>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</si>
  <si>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</si>
  <si>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</si>
  <si>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</si>
  <si>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</si>
  <si>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</si>
  <si>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</si>
  <si>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</si>
  <si>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</si>
  <si>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</si>
  <si>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</si>
  <si>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</si>
  <si>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</si>
  <si>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</si>
  <si>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</si>
  <si>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</si>
  <si>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</si>
  <si>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</si>
  <si>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</si>
  <si>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</si>
  <si>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</si>
  <si>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</si>
  <si>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</si>
  <si>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</si>
  <si>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</si>
  <si>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</si>
  <si>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</si>
  <si>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Наименование разрабатываемого показателя УНЦ — Постоянная часть ПС, комплекс стационарных камер охранного (технологического) видеонаблюдения ПС 750 кВ</t>
  </si>
  <si>
    <t>Сопоставимый уровень цен: 4 кв. 2018 г</t>
  </si>
  <si>
    <t>Единица измерения  — 1 ПС</t>
  </si>
  <si>
    <t>Параметр</t>
  </si>
  <si>
    <t>Объект-представитель 1</t>
  </si>
  <si>
    <t>Наименование объекта-представителя</t>
  </si>
  <si>
    <t>ПС 500 кВ Белобережская</t>
  </si>
  <si>
    <t>Наименование субъекта Российской Федерации</t>
  </si>
  <si>
    <t>Брянская область</t>
  </si>
  <si>
    <t>Климатический район и подрайон</t>
  </si>
  <si>
    <t xml:space="preserve"> IIIВ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</si>
  <si>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</si>
  <si>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</si>
  <si>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Сетевая стационарная IP- камера В5650  - 83 шт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</si>
  <si>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</si>
  <si>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</si>
  <si>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</si>
  <si>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</si>
  <si>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</si>
  <si>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</si>
  <si>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</si>
  <si>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</si>
  <si>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</si>
  <si>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</si>
  <si>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кв. 2018 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</si>
  <si>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</si>
  <si>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</si>
  <si>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</si>
  <si>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</si>
  <si>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</si>
  <si>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</si>
  <si>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</si>
  <si>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</si>
  <si>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</si>
  <si>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Наименование разрабатываемого показателя УНЦ —  Постоянная часть ПС, комплекс стационарных камер охранного (технологического) видеонаблюдения ПС 750 кВ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</si>
  <si>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</si>
  <si>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</si>
  <si>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</si>
  <si>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4 кв. 2018 г., тыс. руб.</t>
  </si>
  <si>
    <t>Строительные работы</t>
  </si>
  <si>
    <t>Монтажные работы</t>
  </si>
  <si>
    <t>Прочее</t>
  </si>
  <si>
    <t>Всего</t>
  </si>
  <si>
    <t>Сетевая стационарная IP- камера В5650</t>
  </si>
  <si>
    <t>Всего по объекту:</t>
  </si>
  <si>
    <t>Всего по объекту в сопоставимом уровне цен 4 кв. 2018 г:</t>
  </si>
  <si>
    <t>*</t>
  </si>
  <si>
    <t xml:space="preserve"> - стоимость с учетом исключения затрат на корректровку по транспортировке  свыше 30 км.</t>
  </si>
  <si>
    <t xml:space="preserve">Приложение № 3 </t>
  </si>
  <si>
    <t>Объектная ресурсная ведомость</t>
  </si>
  <si>
    <t>Наименование разрабатываемого показателя УНЦ - Постоянная часть ПС, комплекс стационарных камер охранного (технологического) видеонаблюдения ПС 750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</si>
  <si>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</si>
  <si>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</si>
  <si>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</si>
  <si>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</si>
  <si>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</si>
  <si>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</si>
  <si>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</si>
  <si>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</si>
  <si>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</si>
  <si>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</si>
  <si>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</si>
  <si>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 xml:space="preserve"> </t>
  </si>
  <si>
    <t>1-4-9</t>
  </si>
  <si>
    <t>Затраты труда рабочих (ср 4,9)</t>
  </si>
  <si>
    <t>чел.-ч</t>
  </si>
  <si>
    <t>Затраты труда машинистов</t>
  </si>
  <si>
    <t>Машины и механизмы</t>
  </si>
  <si>
    <t>Прайс из СД ОП</t>
  </si>
  <si>
    <t>Сетевая стационарная IP- камера В5650 и кронштейн крепления для подвесных купольных и стационарных видеокамер</t>
  </si>
  <si>
    <t>шт</t>
  </si>
  <si>
    <t>61.3.01.02-0071</t>
  </si>
  <si>
    <t>Объектив вариофокальный LTC3364/50</t>
  </si>
  <si>
    <t>10 шт</t>
  </si>
  <si>
    <t>Материалы</t>
  </si>
  <si>
    <t>61.3.06.01-0001</t>
  </si>
  <si>
    <t xml:space="preserve">Микрофон внешний ВМ-01 для комплекса ОКТАВА, размер 100х60х42 мм </t>
  </si>
  <si>
    <t>999-9950</t>
  </si>
  <si>
    <t>Вспомогательные ненормируемые ресурсы (2% от Оплаты труда рабочих)</t>
  </si>
  <si>
    <t>руб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</si>
  <si>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</si>
  <si>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</si>
  <si>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</si>
  <si>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</si>
  <si>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</si>
  <si>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</si>
  <si>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</si>
  <si>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</si>
  <si>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</si>
  <si>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</si>
  <si>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</si>
  <si>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</si>
  <si>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</si>
  <si>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</si>
  <si>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</si>
  <si>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</si>
  <si>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</si>
  <si>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</si>
  <si>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</si>
  <si>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</si>
  <si>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</si>
  <si>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</si>
  <si>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</si>
  <si>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</si>
  <si>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</si>
  <si>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</si>
  <si>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</si>
  <si>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</si>
  <si>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</si>
  <si>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</si>
  <si>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</si>
  <si>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- 1,72%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</si>
  <si>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</si>
  <si>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</si>
  <si>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</si>
  <si>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</si>
  <si>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</si>
  <si>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</si>
  <si>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</si>
  <si>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</si>
  <si>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</si>
  <si>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</si>
  <si>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</si>
  <si>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</si>
  <si>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ПС, комплекс стационарных камер охранного (технологического) видеонаблюдения ПС 750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</si>
  <si>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</si>
  <si>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</si>
  <si>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</si>
  <si>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</si>
  <si>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</si>
  <si>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(4,9)</t>
  </si>
  <si>
    <t>чел.-ч.</t>
  </si>
  <si>
    <t>Итого по разделу "Затраты труда рабочих-строителей"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</si>
  <si>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</si>
  <si>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</si>
  <si>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</si>
  <si>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</si>
  <si>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БЦ.54.14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</si>
  <si>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</si>
  <si>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</si>
  <si>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</si>
  <si>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</si>
  <si>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</si>
  <si>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</si>
  <si>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</si>
  <si>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</si>
  <si>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</si>
  <si>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</si>
  <si>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</si>
  <si>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</si>
  <si>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</si>
  <si>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</si>
  <si>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</si>
  <si>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</si>
  <si>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</si>
  <si>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</si>
  <si>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</si>
  <si>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</si>
  <si>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</si>
  <si>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</si>
  <si>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</si>
  <si>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</si>
  <si>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</si>
  <si>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</si>
  <si>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</si>
  <si>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</si>
  <si>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З1-06</t>
  </si>
  <si>
    <t>УНЦ постоянной части ПС 750 кВ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</si>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</sst>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000"/>
    <numFmt numFmtId="167" formatCode="0.0000"/>
    <numFmt numFmtId="168" formatCode="#,##0.0"/>
    <numFmt numFmtId="169" formatCode="#,##0.000"/>
    <numFmt numFmtId="170" formatCode="0.000"/>
  </numFmts>
  <fonts count="30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sz val="12"/>
      <color rgb="FF00FF99"/>
      <name val="Times New Roman"/>
    </font>
    <font>
      <sz val="12"/>
      <color rgb="FFFF0000"/>
      <name val="Times New Roman"/>
    </font>
    <font>
      <b/>
      <sz val="12"/>
      <color rgb="FF000000"/>
      <name val="Times New Roman"/>
    </font>
    <font>
      <sz val="10"/>
      <color rgb="FF000000"/>
      <name val="Times New Roman"/>
    </font>
    <font>
      <sz val="14"/>
      <color rgb="FF000000"/>
      <name val="Times New Roman"/>
    </font>
    <font>
      <u/>
      <sz val="12"/>
      <color rgb="FF0563C1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0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left"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165" fontId="6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justify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7" fillId="0" borderId="0" xfId="0" applyFont="1"/>
    <xf numFmtId="0" fontId="16" fillId="0" borderId="2" xfId="0" applyFont="1" applyBorder="1" applyAlignment="1">
      <alignment vertical="center" wrapText="1"/>
    </xf>
    <xf numFmtId="0" fontId="16" fillId="0" borderId="2" xfId="0" applyFont="1" applyBorder="1" applyAlignment="1">
      <alignment horizontal="justify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8" fillId="0" borderId="0" xfId="0" applyFont="1"/>
    <xf numFmtId="49" fontId="16" fillId="0" borderId="1" xfId="0" applyNumberFormat="1" applyFont="1" applyBorder="1" applyAlignment="1">
      <alignment horizontal="left" vertical="center" wrapText="1"/>
    </xf>
    <xf numFmtId="2" fontId="16" fillId="0" borderId="1" xfId="0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right" vertical="center"/>
    </xf>
    <xf numFmtId="2" fontId="16" fillId="0" borderId="1" xfId="0" applyNumberFormat="1" applyFont="1" applyBorder="1" applyAlignment="1">
      <alignment horizontal="right" vertical="center" wrapText="1"/>
    </xf>
    <xf numFmtId="2" fontId="19" fillId="0" borderId="1" xfId="0" applyNumberFormat="1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2" fontId="16" fillId="0" borderId="1" xfId="0" applyNumberFormat="1" applyFont="1" applyBorder="1" applyAlignment="1">
      <alignment vertical="center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 vertical="center"/>
    </xf>
    <xf numFmtId="0" fontId="16" fillId="0" borderId="5" xfId="0" applyFont="1" applyBorder="1" applyAlignment="1">
      <alignment horizontal="center" vertical="center" wrapText="1"/>
    </xf>
    <xf numFmtId="4" fontId="19" fillId="0" borderId="1" xfId="0" applyNumberFormat="1" applyFont="1" applyBorder="1" applyAlignment="1">
      <alignment vertical="top"/>
    </xf>
    <xf numFmtId="0" fontId="19" fillId="0" borderId="0" xfId="0" applyFont="1"/>
    <xf numFmtId="0" fontId="16" fillId="0" borderId="1" xfId="0" applyFont="1" applyBorder="1" applyAlignment="1">
      <alignment vertical="top"/>
    </xf>
    <xf numFmtId="14" fontId="16" fillId="0" borderId="1" xfId="0" applyNumberFormat="1" applyFont="1" applyBorder="1" applyAlignment="1">
      <alignment vertical="top"/>
    </xf>
    <xf numFmtId="49" fontId="16" fillId="0" borderId="1" xfId="0" applyNumberFormat="1" applyFont="1" applyBorder="1" applyAlignment="1">
      <alignment horizontal="center" vertical="top" wrapText="1"/>
    </xf>
    <xf numFmtId="0" fontId="16" fillId="0" borderId="1" xfId="0" applyFont="1" applyBorder="1" applyAlignment="1">
      <alignment vertical="top" wrapText="1"/>
    </xf>
    <xf numFmtId="0" fontId="16" fillId="0" borderId="1" xfId="0" applyFont="1" applyBorder="1" applyAlignment="1">
      <alignment horizontal="center" vertical="top"/>
    </xf>
    <xf numFmtId="4" fontId="16" fillId="0" borderId="1" xfId="0" applyNumberFormat="1" applyFont="1" applyBorder="1" applyAlignment="1">
      <alignment vertical="top"/>
    </xf>
    <xf numFmtId="4" fontId="1" fillId="0" borderId="1" xfId="0" applyNumberFormat="1" applyFont="1" applyBorder="1" applyAlignment="1">
      <alignment horizontal="right" vertical="center"/>
    </xf>
    <xf numFmtId="0" fontId="1" fillId="0" borderId="0" xfId="0" applyFont="1" applyAlignment="1">
      <alignment horizontal="justify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0" xfId="0" applyFont="1"/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4" fillId="0" borderId="1" xfId="0" applyFont="1" applyBorder="1"/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0" fontId="4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0" fontId="4" fillId="0" borderId="5" xfId="0" applyFont="1" applyBorder="1"/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167" fontId="1" fillId="0" borderId="4" xfId="0" applyNumberFormat="1" applyFont="1" applyBorder="1" applyAlignment="1">
      <alignment horizontal="center" vertical="center" wrapText="1"/>
    </xf>
    <xf numFmtId="4" fontId="1" fillId="0" borderId="4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0" fontId="20" fillId="0" borderId="1" xfId="0" applyNumberFormat="1" applyFont="1" applyBorder="1" applyAlignment="1">
      <alignment horizontal="center" vertical="top" wrapText="1"/>
    </xf>
    <xf numFmtId="0" fontId="3" fillId="0" borderId="0" xfId="0" applyFont="1" applyAlignment="1">
      <alignment vertical="center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right"/>
    </xf>
    <xf numFmtId="0" fontId="21" fillId="0" borderId="0" xfId="0" applyFont="1" applyAlignment="1">
      <alignment horizontal="right" vertical="center"/>
    </xf>
    <xf numFmtId="10" fontId="16" fillId="0" borderId="1" xfId="0" applyNumberFormat="1" applyFont="1" applyBorder="1" applyAlignment="1">
      <alignment horizontal="center" vertical="center" wrapText="1"/>
    </xf>
    <xf numFmtId="0" fontId="21" fillId="0" borderId="0" xfId="0" applyFont="1" applyAlignment="1">
      <alignment horizontal="justify" vertical="center"/>
    </xf>
    <xf numFmtId="0" fontId="0" fillId="0" borderId="0" xfId="0"/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22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168" fontId="16" fillId="0" borderId="1" xfId="0" applyNumberFormat="1" applyFont="1" applyBorder="1" applyAlignment="1">
      <alignment horizontal="center" vertical="center"/>
    </xf>
    <xf numFmtId="16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67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9" fillId="0" borderId="1" xfId="0" applyFont="1" applyBorder="1" applyAlignment="1">
      <alignment vertical="center" wrapText="1"/>
    </xf>
    <xf numFmtId="4" fontId="19" fillId="0" borderId="1" xfId="0" applyNumberFormat="1" applyFont="1" applyBorder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170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right" vertical="center"/>
    </xf>
    <xf numFmtId="0" fontId="16" fillId="0" borderId="5" xfId="0" applyFont="1" applyBorder="1" applyAlignment="1">
      <alignment horizontal="center" vertical="center" wrapText="1"/>
    </xf>
    <xf numFmtId="0" fontId="19" fillId="0" borderId="1" xfId="0" applyFont="1" applyBorder="1" applyAlignment="1">
      <alignment vertical="top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vertical="center" wrapText="1"/>
    </xf>
    <xf numFmtId="4" fontId="1" fillId="4" borderId="1" xfId="0" applyNumberFormat="1" applyFont="1" applyFill="1" applyBorder="1" applyAlignment="1">
      <alignment horizontal="right" vertical="center"/>
    </xf>
    <xf numFmtId="0" fontId="16" fillId="0" borderId="0" xfId="0" applyFont="1"/>
    <xf numFmtId="0" fontId="0" fillId="0" borderId="0" xfId="0"/>
    <xf numFmtId="0" fontId="19" fillId="0" borderId="0" xfId="0" applyFont="1"/>
    <xf numFmtId="4" fontId="16" fillId="0" borderId="0" xfId="0" applyNumberFormat="1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8" fillId="0" borderId="0" xfId="0" applyFont="1"/>
    <xf numFmtId="0" fontId="3" fillId="0" borderId="0" xfId="0" applyFont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0" xfId="0" applyNumberFormat="1" applyFont="1"/>
    <xf numFmtId="2" fontId="19" fillId="0" borderId="1" xfId="0" applyNumberFormat="1" applyFont="1" applyBorder="1" applyAlignment="1">
      <alignment horizontal="right" vertical="center"/>
    </xf>
    <xf numFmtId="0" fontId="19" fillId="0" borderId="1" xfId="0" applyFont="1" applyBorder="1" applyAlignment="1">
      <alignment horizontal="right" vertical="center"/>
    </xf>
    <xf numFmtId="2" fontId="19" fillId="0" borderId="1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 wrapText="1"/>
    </xf>
    <xf numFmtId="0" fontId="16" fillId="0" borderId="0" xfId="0" applyFont="1" applyAlignment="1">
      <alignment horizontal="justify" vertical="center"/>
    </xf>
    <xf numFmtId="0" fontId="19" fillId="0" borderId="1" xfId="0" applyFont="1" applyBorder="1" applyAlignment="1">
      <alignment horizontal="right" vertical="center" wrapText="1"/>
    </xf>
    <xf numFmtId="0" fontId="16" fillId="0" borderId="0" xfId="0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vertical="center"/>
    </xf>
    <xf numFmtId="2" fontId="16" fillId="0" borderId="7" xfId="0" applyNumberFormat="1" applyFont="1" applyBorder="1" applyAlignment="1">
      <alignment horizontal="center" vertical="center"/>
    </xf>
    <xf numFmtId="2" fontId="19" fillId="0" borderId="2" xfId="0" applyNumberFormat="1" applyFont="1" applyBorder="1" applyAlignment="1">
      <alignment horizontal="center" vertical="center"/>
    </xf>
    <xf numFmtId="2" fontId="19" fillId="0" borderId="7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6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4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276678</xdr:colOff>
      <xdr:row>28</xdr:row>
      <xdr:rowOff>82549</xdr:rowOff>
    </xdr:from>
    <xdr:to>
      <xdr:col>2</xdr:col>
      <xdr:colOff>1221480</xdr:colOff>
      <xdr:row>30</xdr:row>
      <xdr:rowOff>202631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73BE0B64-7D47-4D9D-AD50-1071E3711E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1321" y="13907406"/>
          <a:ext cx="944802" cy="528296"/>
        </a:xfrm>
        <a:prstGeom prst="rect">
          <a:avLst/>
        </a:prstGeom>
      </xdr:spPr>
    </xdr:pic>
    <xdr:clientData/>
  </xdr:twoCellAnchor>
  <xdr:twoCellAnchor editAs="oneCell">
    <xdr:from>
      <xdr:col>2</xdr:col>
      <xdr:colOff>371929</xdr:colOff>
      <xdr:row>26</xdr:row>
      <xdr:rowOff>286657</xdr:rowOff>
    </xdr:from>
    <xdr:to>
      <xdr:col>2</xdr:col>
      <xdr:colOff>1210128</xdr:colOff>
      <xdr:row>28</xdr:row>
      <xdr:rowOff>61759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65D0A453-1792-4CA0-ADFE-CA03E91C70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6572" y="13431157"/>
          <a:ext cx="838199" cy="4554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346982</xdr:colOff>
      <xdr:row>22</xdr:row>
      <xdr:rowOff>93435</xdr:rowOff>
    </xdr:from>
    <xdr:to>
      <xdr:col>2</xdr:col>
      <xdr:colOff>1291784</xdr:colOff>
      <xdr:row>25</xdr:row>
      <xdr:rowOff>9408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F9A21770-F01E-4802-9501-16197DCBEC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6696" y="5549899"/>
          <a:ext cx="944802" cy="528295"/>
        </a:xfrm>
        <a:prstGeom prst="rect">
          <a:avLst/>
        </a:prstGeom>
      </xdr:spPr>
    </xdr:pic>
    <xdr:clientData/>
  </xdr:twoCellAnchor>
  <xdr:twoCellAnchor editAs="oneCell">
    <xdr:from>
      <xdr:col>2</xdr:col>
      <xdr:colOff>442233</xdr:colOff>
      <xdr:row>20</xdr:row>
      <xdr:rowOff>25399</xdr:rowOff>
    </xdr:from>
    <xdr:to>
      <xdr:col>2</xdr:col>
      <xdr:colOff>1280432</xdr:colOff>
      <xdr:row>22</xdr:row>
      <xdr:rowOff>72645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F6D5FC36-8735-457D-9EB0-7A71D98D58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1947" y="5073649"/>
          <a:ext cx="838199" cy="4554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500062</xdr:colOff>
      <xdr:row>24</xdr:row>
      <xdr:rowOff>52388</xdr:rowOff>
    </xdr:from>
    <xdr:to>
      <xdr:col>2</xdr:col>
      <xdr:colOff>1444864</xdr:colOff>
      <xdr:row>26</xdr:row>
      <xdr:rowOff>167026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79D3F686-437E-4E2B-A66D-7BE4C37B07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2625" y="6267451"/>
          <a:ext cx="944802" cy="495638"/>
        </a:xfrm>
        <a:prstGeom prst="rect">
          <a:avLst/>
        </a:prstGeom>
      </xdr:spPr>
    </xdr:pic>
    <xdr:clientData/>
  </xdr:twoCellAnchor>
  <xdr:twoCellAnchor editAs="oneCell">
    <xdr:from>
      <xdr:col>2</xdr:col>
      <xdr:colOff>595313</xdr:colOff>
      <xdr:row>21</xdr:row>
      <xdr:rowOff>166688</xdr:rowOff>
    </xdr:from>
    <xdr:to>
      <xdr:col>2</xdr:col>
      <xdr:colOff>1433512</xdr:colOff>
      <xdr:row>24</xdr:row>
      <xdr:rowOff>31598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E4B614DD-78F1-4984-8C09-30BF2E3A61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7876" y="5810251"/>
          <a:ext cx="838199" cy="43641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43</xdr:row>
      <xdr:rowOff>28575</xdr:rowOff>
    </xdr:from>
    <xdr:to>
      <xdr:col>1</xdr:col>
      <xdr:colOff>1725852</xdr:colOff>
      <xdr:row>45</xdr:row>
      <xdr:rowOff>171788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BB3B455E-5171-478A-9179-CEF560387F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164907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876301</xdr:colOff>
      <xdr:row>40</xdr:row>
      <xdr:rowOff>123825</xdr:rowOff>
    </xdr:from>
    <xdr:to>
      <xdr:col>1</xdr:col>
      <xdr:colOff>1714500</xdr:colOff>
      <xdr:row>43</xdr:row>
      <xdr:rowOff>7785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AE574A93-A9CD-4EE1-A06C-3201548D65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2526" y="11172825"/>
          <a:ext cx="838199" cy="4554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563656</xdr:colOff>
      <xdr:row>42</xdr:row>
      <xdr:rowOff>63233</xdr:rowOff>
    </xdr:from>
    <xdr:to>
      <xdr:col>2</xdr:col>
      <xdr:colOff>3508</xdr:colOff>
      <xdr:row>45</xdr:row>
      <xdr:rowOff>29553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9701B5DA-BAE4-474D-AC86-4D395F6369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656" y="9533804"/>
          <a:ext cx="950245" cy="496999"/>
        </a:xfrm>
        <a:prstGeom prst="rect">
          <a:avLst/>
        </a:prstGeom>
      </xdr:spPr>
    </xdr:pic>
    <xdr:clientData/>
  </xdr:twoCellAnchor>
  <xdr:twoCellAnchor editAs="oneCell">
    <xdr:from>
      <xdr:col>1</xdr:col>
      <xdr:colOff>658907</xdr:colOff>
      <xdr:row>39</xdr:row>
      <xdr:rowOff>417018</xdr:rowOff>
    </xdr:from>
    <xdr:to>
      <xdr:col>1</xdr:col>
      <xdr:colOff>1502549</xdr:colOff>
      <xdr:row>42</xdr:row>
      <xdr:rowOff>42443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7214ADA8-3374-47F7-928F-AB21CE7148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9907" y="9084768"/>
          <a:ext cx="843642" cy="42824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371475</xdr:colOff>
      <xdr:row>17</xdr:row>
      <xdr:rowOff>57150</xdr:rowOff>
    </xdr:from>
    <xdr:to>
      <xdr:col>2</xdr:col>
      <xdr:colOff>144702</xdr:colOff>
      <xdr:row>20</xdr:row>
      <xdr:rowOff>9863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695FD7B8-EBEA-406B-B0EC-6CBD3991FB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475" y="43529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466726</xdr:colOff>
      <xdr:row>14</xdr:row>
      <xdr:rowOff>209550</xdr:rowOff>
    </xdr:from>
    <xdr:to>
      <xdr:col>2</xdr:col>
      <xdr:colOff>133350</xdr:colOff>
      <xdr:row>17</xdr:row>
      <xdr:rowOff>36360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31A5E6D8-390A-4E83-86DC-1E01BE0D1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6" y="3876675"/>
          <a:ext cx="838199" cy="4554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704850</xdr:colOff>
      <xdr:row>13</xdr:row>
      <xdr:rowOff>76200</xdr:rowOff>
    </xdr:from>
    <xdr:to>
      <xdr:col>1</xdr:col>
      <xdr:colOff>801927</xdr:colOff>
      <xdr:row>16</xdr:row>
      <xdr:rowOff>28913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A8BDC368-B7B6-4226-95CD-70D1FDB82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36385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0</xdr:col>
      <xdr:colOff>800101</xdr:colOff>
      <xdr:row>10</xdr:row>
      <xdr:rowOff>781050</xdr:rowOff>
    </xdr:from>
    <xdr:to>
      <xdr:col>1</xdr:col>
      <xdr:colOff>790575</xdr:colOff>
      <xdr:row>13</xdr:row>
      <xdr:rowOff>55410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EE7B4357-1492-4A4E-B72B-DA351CF678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1" y="3162300"/>
          <a:ext cx="838199" cy="4554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873125</xdr:colOff>
      <xdr:row>27</xdr:row>
      <xdr:rowOff>95250</xdr:rowOff>
    </xdr:from>
    <xdr:to>
      <xdr:col>1</xdr:col>
      <xdr:colOff>1817927</xdr:colOff>
      <xdr:row>30</xdr:row>
      <xdr:rowOff>47963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DD563BA8-9332-43D1-98D4-154E1806D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6375" y="93980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968376</xdr:colOff>
      <xdr:row>25</xdr:row>
      <xdr:rowOff>0</xdr:rowOff>
    </xdr:from>
    <xdr:to>
      <xdr:col>1</xdr:col>
      <xdr:colOff>1806575</xdr:colOff>
      <xdr:row>27</xdr:row>
      <xdr:rowOff>74460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449A3CEE-7632-4519-A382-6618D636E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626" y="8921750"/>
          <a:ext cx="838199" cy="455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  <col min="9" max="9" width="9.140625" style="5"/>
  </cols>
  <sheetData>
    <row r="2" spans="1:3" x14ac:dyDescent="0.25">
      <c r="A2" s="311" t="s">
        <v>0</v>
      </c>
      <c r="B2" s="311"/>
      <c r="C2" s="311"/>
    </row>
    <row r="3" spans="1:3" x14ac:dyDescent="0.25">
      <c r="A3" s="1"/>
      <c r="B3" s="1"/>
      <c r="C3" s="1"/>
    </row>
    <row r="4" spans="1:3" x14ac:dyDescent="0.25">
      <c r="A4" s="312" t="s">
        <v>1</v>
      </c>
      <c r="B4" s="312"/>
      <c r="C4" s="312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42" t="s">
        <v>2</v>
      </c>
      <c r="B6" s="313" t="s">
        <v>3</v>
      </c>
      <c r="C6" s="313"/>
    </row>
    <row r="7" spans="1:3" x14ac:dyDescent="0.25">
      <c r="A7" s="143" t="s">
        <v>4</v>
      </c>
      <c r="B7" s="1"/>
      <c r="C7" s="1"/>
    </row>
    <row r="8" spans="1:3" x14ac:dyDescent="0.25">
      <c r="A8" s="143"/>
      <c r="B8" s="1"/>
      <c r="C8" s="1"/>
    </row>
    <row r="9" spans="1:3" ht="39.6" customHeight="1" x14ac:dyDescent="0.25">
      <c r="A9" s="2" t="s">
        <v>5</v>
      </c>
      <c r="B9" s="2" t="s">
        <v>6</v>
      </c>
      <c r="C9" s="144" t="s">
        <v>7</v>
      </c>
    </row>
    <row r="10" spans="1:3" ht="86.45" customHeight="1" x14ac:dyDescent="0.25">
      <c r="A10" s="145" t="s">
        <v>8</v>
      </c>
      <c r="B10" s="146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17"/>
  <sheetViews>
    <sheetView view="pageBreakPreview" workbookViewId="0">
      <selection activeCell="H33" sqref="H33"/>
    </sheetView>
  </sheetViews>
  <sheetFormatPr defaultRowHeight="15" x14ac:dyDescent="0.25"/>
  <cols>
    <col min="1" max="1" width="12.7109375" style="295" customWidth="1"/>
    <col min="2" max="2" width="16.42578125" style="295" customWidth="1"/>
    <col min="3" max="3" width="37.140625" style="295" customWidth="1"/>
    <col min="4" max="4" width="49" style="295" customWidth="1"/>
    <col min="5" max="5" width="9.140625" style="295" customWidth="1"/>
  </cols>
  <sheetData>
    <row r="1" spans="1:4" ht="15.75" customHeight="1" x14ac:dyDescent="0.25">
      <c r="A1" s="294"/>
      <c r="B1" s="294"/>
      <c r="C1" s="294"/>
      <c r="D1" s="294" t="s">
        <v>208</v>
      </c>
    </row>
    <row r="2" spans="1:4" ht="15.75" customHeight="1" x14ac:dyDescent="0.25">
      <c r="A2" s="294"/>
      <c r="B2" s="294"/>
      <c r="C2" s="294"/>
      <c r="D2" s="294"/>
    </row>
    <row r="3" spans="1:4" ht="15.75" customHeight="1" x14ac:dyDescent="0.25">
      <c r="A3" s="294"/>
      <c r="B3" s="296" t="s">
        <v>209</v>
      </c>
      <c r="C3" s="294"/>
      <c r="D3" s="294"/>
    </row>
    <row r="4" spans="1:4" ht="15.75" customHeight="1" x14ac:dyDescent="0.25">
      <c r="A4" s="294"/>
      <c r="B4" s="294"/>
      <c r="C4" s="294"/>
      <c r="D4" s="294"/>
    </row>
    <row r="5" spans="1:4" ht="47.25" customHeight="1" x14ac:dyDescent="0.25">
      <c r="A5" s="360" t="s">
        <v>210</v>
      </c>
      <c r="B5" s="360"/>
      <c r="C5" s="360"/>
      <c r="D5" s="297" t="str">
        <f>'Прил.5 Расчет СМР и ОБ'!D6:J6</f>
        <v>Постоянная часть ПС, комплекс стационарных камер охранного (технологического) видеонаблюдения ПС 750 кВ</v>
      </c>
    </row>
    <row r="6" spans="1:4" ht="15.75" customHeight="1" x14ac:dyDescent="0.25">
      <c r="A6" s="294" t="s">
        <v>49</v>
      </c>
      <c r="B6" s="294"/>
      <c r="C6" s="294"/>
      <c r="D6" s="294"/>
    </row>
    <row r="7" spans="1:4" ht="15.75" customHeight="1" x14ac:dyDescent="0.25">
      <c r="A7" s="294"/>
      <c r="B7" s="294"/>
      <c r="C7" s="294"/>
      <c r="D7" s="294"/>
    </row>
    <row r="8" spans="1:4" x14ac:dyDescent="0.25">
      <c r="A8" s="324" t="s">
        <v>5</v>
      </c>
      <c r="B8" s="324" t="s">
        <v>6</v>
      </c>
      <c r="C8" s="324" t="s">
        <v>211</v>
      </c>
      <c r="D8" s="324" t="s">
        <v>212</v>
      </c>
    </row>
    <row r="9" spans="1:4" x14ac:dyDescent="0.25">
      <c r="A9" s="324"/>
      <c r="B9" s="324"/>
      <c r="C9" s="324"/>
      <c r="D9" s="324"/>
    </row>
    <row r="10" spans="1:4" ht="15.75" customHeight="1" x14ac:dyDescent="0.25">
      <c r="A10" s="298">
        <v>1</v>
      </c>
      <c r="B10" s="298">
        <v>2</v>
      </c>
      <c r="C10" s="298">
        <v>3</v>
      </c>
      <c r="D10" s="298">
        <v>4</v>
      </c>
    </row>
    <row r="11" spans="1:4" ht="63" customHeight="1" x14ac:dyDescent="0.25">
      <c r="A11" s="304" t="s">
        <v>213</v>
      </c>
      <c r="B11" s="304" t="s">
        <v>214</v>
      </c>
      <c r="C11" s="305" t="str">
        <f>D5</f>
        <v>Постоянная часть ПС, комплекс стационарных камер охранного (технологического) видеонаблюдения ПС 750 кВ</v>
      </c>
      <c r="D11" s="299">
        <f>'Прил.4 РМ'!C41/1000</f>
        <v>19796.274469999997</v>
      </c>
    </row>
    <row r="13" spans="1:4" x14ac:dyDescent="0.25">
      <c r="A13" s="300" t="s">
        <v>215</v>
      </c>
      <c r="B13" s="301"/>
      <c r="C13" s="301"/>
      <c r="D13" s="302"/>
    </row>
    <row r="14" spans="1:4" x14ac:dyDescent="0.25">
      <c r="A14" s="303" t="s">
        <v>76</v>
      </c>
      <c r="B14" s="301"/>
      <c r="C14" s="301"/>
      <c r="D14" s="302"/>
    </row>
    <row r="15" spans="1:4" x14ac:dyDescent="0.25">
      <c r="A15" s="300"/>
      <c r="B15" s="301"/>
      <c r="C15" s="301"/>
      <c r="D15" s="302"/>
    </row>
    <row r="16" spans="1:4" x14ac:dyDescent="0.25">
      <c r="A16" s="300" t="s">
        <v>77</v>
      </c>
      <c r="B16" s="301"/>
      <c r="C16" s="301"/>
      <c r="D16" s="302"/>
    </row>
    <row r="17" spans="1:4" x14ac:dyDescent="0.25">
      <c r="A17" s="303" t="s">
        <v>78</v>
      </c>
      <c r="B17" s="301"/>
      <c r="C17" s="301"/>
      <c r="D17" s="302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4:E31"/>
  <sheetViews>
    <sheetView view="pageBreakPreview" zoomScale="60" zoomScaleNormal="85" workbookViewId="0">
      <selection activeCell="C28" sqref="C28"/>
    </sheetView>
  </sheetViews>
  <sheetFormatPr defaultRowHeight="15" x14ac:dyDescent="0.25"/>
  <cols>
    <col min="1" max="1" width="9.140625" style="5" customWidth="1"/>
    <col min="2" max="2" width="40.7109375" style="5" customWidth="1"/>
    <col min="3" max="3" width="37" style="5" customWidth="1"/>
    <col min="4" max="4" width="32" style="5" customWidth="1"/>
    <col min="5" max="5" width="9.140625" style="5" customWidth="1"/>
  </cols>
  <sheetData>
    <row r="4" spans="2:5" ht="15.75" customHeight="1" x14ac:dyDescent="0.25">
      <c r="B4" s="318" t="s">
        <v>216</v>
      </c>
      <c r="C4" s="318"/>
      <c r="D4" s="318"/>
    </row>
    <row r="5" spans="2:5" ht="18.75" customHeight="1" x14ac:dyDescent="0.25">
      <c r="B5" s="245"/>
    </row>
    <row r="6" spans="2:5" ht="15.75" customHeight="1" x14ac:dyDescent="0.25">
      <c r="B6" s="319" t="s">
        <v>217</v>
      </c>
      <c r="C6" s="319"/>
      <c r="D6" s="319"/>
    </row>
    <row r="7" spans="2:5" x14ac:dyDescent="0.25">
      <c r="B7" s="361"/>
      <c r="C7" s="361"/>
      <c r="D7" s="361"/>
      <c r="E7" s="361"/>
    </row>
    <row r="8" spans="2:5" x14ac:dyDescent="0.25">
      <c r="B8" s="282"/>
      <c r="C8" s="282"/>
      <c r="D8" s="282"/>
      <c r="E8" s="282"/>
    </row>
    <row r="9" spans="2:5" ht="47.25" customHeight="1" x14ac:dyDescent="0.25">
      <c r="B9" s="267" t="s">
        <v>218</v>
      </c>
      <c r="C9" s="267" t="s">
        <v>219</v>
      </c>
      <c r="D9" s="267" t="s">
        <v>220</v>
      </c>
    </row>
    <row r="10" spans="2:5" ht="15.75" customHeight="1" x14ac:dyDescent="0.25">
      <c r="B10" s="267">
        <v>1</v>
      </c>
      <c r="C10" s="267">
        <v>2</v>
      </c>
      <c r="D10" s="267">
        <v>3</v>
      </c>
    </row>
    <row r="11" spans="2:5" ht="45" customHeight="1" x14ac:dyDescent="0.25">
      <c r="B11" s="267" t="s">
        <v>221</v>
      </c>
      <c r="C11" s="267" t="s">
        <v>222</v>
      </c>
      <c r="D11" s="267">
        <v>44.29</v>
      </c>
    </row>
    <row r="12" spans="2:5" ht="29.25" customHeight="1" x14ac:dyDescent="0.25">
      <c r="B12" s="267" t="s">
        <v>223</v>
      </c>
      <c r="C12" s="267" t="s">
        <v>222</v>
      </c>
      <c r="D12" s="267">
        <v>13.47</v>
      </c>
    </row>
    <row r="13" spans="2:5" ht="29.25" customHeight="1" x14ac:dyDescent="0.25">
      <c r="B13" s="267" t="s">
        <v>224</v>
      </c>
      <c r="C13" s="267" t="s">
        <v>222</v>
      </c>
      <c r="D13" s="267">
        <v>8.0399999999999991</v>
      </c>
    </row>
    <row r="14" spans="2:5" ht="30.75" customHeight="1" x14ac:dyDescent="0.25">
      <c r="B14" s="267" t="s">
        <v>225</v>
      </c>
      <c r="C14" s="163" t="s">
        <v>226</v>
      </c>
      <c r="D14" s="267">
        <v>6.26</v>
      </c>
    </row>
    <row r="15" spans="2:5" ht="89.25" customHeight="1" x14ac:dyDescent="0.25">
      <c r="B15" s="267" t="s">
        <v>227</v>
      </c>
      <c r="C15" s="267" t="s">
        <v>228</v>
      </c>
      <c r="D15" s="246">
        <v>3.9E-2</v>
      </c>
    </row>
    <row r="16" spans="2:5" ht="78.75" customHeight="1" x14ac:dyDescent="0.25">
      <c r="B16" s="267" t="s">
        <v>229</v>
      </c>
      <c r="C16" s="267" t="s">
        <v>230</v>
      </c>
      <c r="D16" s="246">
        <v>2.1000000000000001E-2</v>
      </c>
    </row>
    <row r="17" spans="2:4" ht="34.5" customHeight="1" x14ac:dyDescent="0.25">
      <c r="B17" s="267"/>
      <c r="C17" s="267"/>
      <c r="D17" s="267"/>
    </row>
    <row r="18" spans="2:4" ht="31.5" customHeight="1" x14ac:dyDescent="0.25">
      <c r="B18" s="267" t="s">
        <v>231</v>
      </c>
      <c r="C18" s="267" t="s">
        <v>232</v>
      </c>
      <c r="D18" s="246">
        <v>2.1399999999999999E-2</v>
      </c>
    </row>
    <row r="19" spans="2:4" ht="31.5" customHeight="1" x14ac:dyDescent="0.25">
      <c r="B19" s="267" t="s">
        <v>159</v>
      </c>
      <c r="C19" s="267" t="s">
        <v>233</v>
      </c>
      <c r="D19" s="246">
        <v>2E-3</v>
      </c>
    </row>
    <row r="20" spans="2:4" ht="24" customHeight="1" x14ac:dyDescent="0.25">
      <c r="B20" s="267" t="s">
        <v>161</v>
      </c>
      <c r="C20" s="267" t="s">
        <v>234</v>
      </c>
      <c r="D20" s="246">
        <v>0.03</v>
      </c>
    </row>
    <row r="21" spans="2:4" ht="18.75" customHeight="1" x14ac:dyDescent="0.25">
      <c r="B21" s="247"/>
    </row>
    <row r="22" spans="2:4" ht="18.75" customHeight="1" x14ac:dyDescent="0.25">
      <c r="B22" s="247"/>
    </row>
    <row r="23" spans="2:4" ht="18.75" customHeight="1" x14ac:dyDescent="0.25">
      <c r="B23" s="247"/>
    </row>
    <row r="24" spans="2:4" ht="18.75" customHeight="1" x14ac:dyDescent="0.25">
      <c r="B24" s="247"/>
    </row>
    <row r="27" spans="2:4" x14ac:dyDescent="0.25">
      <c r="B27" s="4" t="s">
        <v>235</v>
      </c>
      <c r="C27" s="14"/>
    </row>
    <row r="28" spans="2:4" x14ac:dyDescent="0.25">
      <c r="B28" s="236" t="s">
        <v>76</v>
      </c>
      <c r="C28" s="14"/>
    </row>
    <row r="29" spans="2:4" x14ac:dyDescent="0.25">
      <c r="B29" s="4"/>
      <c r="C29" s="14"/>
    </row>
    <row r="30" spans="2:4" x14ac:dyDescent="0.25">
      <c r="B30" s="4" t="s">
        <v>200</v>
      </c>
      <c r="C30" s="14"/>
    </row>
    <row r="31" spans="2:4" x14ac:dyDescent="0.25">
      <c r="B31" s="236" t="s">
        <v>78</v>
      </c>
      <c r="C31" s="14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H13" sqref="H13:I13"/>
    </sheetView>
  </sheetViews>
  <sheetFormatPr defaultRowHeight="15" x14ac:dyDescent="0.25"/>
  <cols>
    <col min="1" max="1" width="9.140625" style="248" customWidth="1"/>
    <col min="2" max="2" width="44.85546875" style="248" customWidth="1"/>
    <col min="3" max="3" width="13" style="248" customWidth="1"/>
    <col min="4" max="4" width="22.85546875" style="248" customWidth="1"/>
    <col min="5" max="5" width="21.5703125" style="248" customWidth="1"/>
    <col min="6" max="6" width="43.85546875" style="248" customWidth="1"/>
    <col min="7" max="7" width="9.140625" style="248" customWidth="1"/>
  </cols>
  <sheetData>
    <row r="2" spans="1:7" ht="17.25" customHeight="1" x14ac:dyDescent="0.25">
      <c r="A2" s="319" t="s">
        <v>236</v>
      </c>
      <c r="B2" s="319"/>
      <c r="C2" s="319"/>
      <c r="D2" s="319"/>
      <c r="E2" s="319"/>
      <c r="F2" s="319"/>
    </row>
    <row r="4" spans="1:7" ht="18" customHeight="1" x14ac:dyDescent="0.25">
      <c r="A4" s="249" t="s">
        <v>237</v>
      </c>
      <c r="B4" s="250"/>
      <c r="C4" s="250"/>
      <c r="D4" s="250"/>
      <c r="E4" s="250"/>
      <c r="F4" s="250"/>
      <c r="G4" s="250"/>
    </row>
    <row r="5" spans="1:7" ht="15.75" customHeight="1" x14ac:dyDescent="0.25">
      <c r="A5" s="251" t="s">
        <v>13</v>
      </c>
      <c r="B5" s="251" t="s">
        <v>238</v>
      </c>
      <c r="C5" s="251" t="s">
        <v>239</v>
      </c>
      <c r="D5" s="251" t="s">
        <v>240</v>
      </c>
      <c r="E5" s="251" t="s">
        <v>241</v>
      </c>
      <c r="F5" s="251" t="s">
        <v>242</v>
      </c>
      <c r="G5" s="250"/>
    </row>
    <row r="6" spans="1:7" ht="15.75" customHeight="1" x14ac:dyDescent="0.25">
      <c r="A6" s="251">
        <v>1</v>
      </c>
      <c r="B6" s="251">
        <v>2</v>
      </c>
      <c r="C6" s="251">
        <v>3</v>
      </c>
      <c r="D6" s="251">
        <v>4</v>
      </c>
      <c r="E6" s="251">
        <v>5</v>
      </c>
      <c r="F6" s="251">
        <v>6</v>
      </c>
      <c r="G6" s="250"/>
    </row>
    <row r="7" spans="1:7" ht="110.25" customHeight="1" x14ac:dyDescent="0.25">
      <c r="A7" s="252" t="s">
        <v>243</v>
      </c>
      <c r="B7" s="253" t="s">
        <v>244</v>
      </c>
      <c r="C7" s="254" t="s">
        <v>245</v>
      </c>
      <c r="D7" s="254" t="s">
        <v>246</v>
      </c>
      <c r="E7" s="255">
        <v>47872.94</v>
      </c>
      <c r="F7" s="253" t="s">
        <v>247</v>
      </c>
      <c r="G7" s="250"/>
    </row>
    <row r="8" spans="1:7" ht="31.5" customHeight="1" x14ac:dyDescent="0.25">
      <c r="A8" s="252" t="s">
        <v>248</v>
      </c>
      <c r="B8" s="253" t="s">
        <v>249</v>
      </c>
      <c r="C8" s="254" t="s">
        <v>250</v>
      </c>
      <c r="D8" s="254" t="s">
        <v>251</v>
      </c>
      <c r="E8" s="255">
        <f>1973/12</f>
        <v>164.41666666667001</v>
      </c>
      <c r="F8" s="256" t="s">
        <v>252</v>
      </c>
      <c r="G8" s="257"/>
    </row>
    <row r="9" spans="1:7" ht="15.75" customHeight="1" x14ac:dyDescent="0.25">
      <c r="A9" s="252" t="s">
        <v>253</v>
      </c>
      <c r="B9" s="253" t="s">
        <v>254</v>
      </c>
      <c r="C9" s="254" t="s">
        <v>255</v>
      </c>
      <c r="D9" s="254" t="s">
        <v>246</v>
      </c>
      <c r="E9" s="255">
        <v>1</v>
      </c>
      <c r="F9" s="256"/>
      <c r="G9" s="258"/>
    </row>
    <row r="10" spans="1:7" ht="15.75" customHeight="1" x14ac:dyDescent="0.25">
      <c r="A10" s="252" t="s">
        <v>256</v>
      </c>
      <c r="B10" s="253" t="s">
        <v>257</v>
      </c>
      <c r="C10" s="254"/>
      <c r="D10" s="254"/>
      <c r="E10" s="259">
        <v>4.9000000000000004</v>
      </c>
      <c r="F10" s="256" t="s">
        <v>258</v>
      </c>
      <c r="G10" s="258"/>
    </row>
    <row r="11" spans="1:7" ht="78.75" customHeight="1" x14ac:dyDescent="0.25">
      <c r="A11" s="252" t="s">
        <v>259</v>
      </c>
      <c r="B11" s="253" t="s">
        <v>260</v>
      </c>
      <c r="C11" s="254" t="s">
        <v>261</v>
      </c>
      <c r="D11" s="254" t="s">
        <v>246</v>
      </c>
      <c r="E11" s="260">
        <v>1.522</v>
      </c>
      <c r="F11" s="253" t="s">
        <v>262</v>
      </c>
      <c r="G11" s="250"/>
    </row>
    <row r="12" spans="1:7" ht="78.75" customHeight="1" x14ac:dyDescent="0.25">
      <c r="A12" s="252" t="s">
        <v>263</v>
      </c>
      <c r="B12" s="261" t="s">
        <v>264</v>
      </c>
      <c r="C12" s="254" t="s">
        <v>265</v>
      </c>
      <c r="D12" s="254" t="s">
        <v>246</v>
      </c>
      <c r="E12" s="262">
        <v>1.139</v>
      </c>
      <c r="F12" s="263" t="s">
        <v>266</v>
      </c>
      <c r="G12" s="258"/>
    </row>
    <row r="13" spans="1:7" ht="63" customHeight="1" x14ac:dyDescent="0.25">
      <c r="A13" s="252" t="s">
        <v>267</v>
      </c>
      <c r="B13" s="264" t="s">
        <v>268</v>
      </c>
      <c r="C13" s="254" t="s">
        <v>269</v>
      </c>
      <c r="D13" s="254" t="s">
        <v>270</v>
      </c>
      <c r="E13" s="265">
        <f>((E7*E9/E8)*E11)*E12</f>
        <v>504.75733271476997</v>
      </c>
      <c r="F13" s="253" t="s">
        <v>271</v>
      </c>
      <c r="G13" s="250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4" customWidth="1"/>
    <col min="2" max="2" width="26.28515625" style="14" customWidth="1"/>
    <col min="3" max="3" width="36.140625" style="14" customWidth="1"/>
    <col min="4" max="4" width="12.28515625" style="14" customWidth="1"/>
    <col min="5" max="5" width="15.140625" style="14" customWidth="1"/>
    <col min="6" max="6" width="12.5703125" style="14" customWidth="1"/>
    <col min="7" max="7" width="16.5703125" style="14" customWidth="1"/>
    <col min="8" max="9" width="10.7109375" style="14" customWidth="1"/>
    <col min="10" max="10" width="11.5703125" style="14" customWidth="1"/>
    <col min="11" max="11" width="9.140625" style="14"/>
    <col min="12" max="12" width="9.140625" style="5"/>
  </cols>
  <sheetData>
    <row r="1" spans="1:13" s="29" customFormat="1" ht="29.45" customHeight="1" x14ac:dyDescent="0.2">
      <c r="A1" s="362" t="s">
        <v>272</v>
      </c>
      <c r="B1" s="362"/>
      <c r="C1" s="362"/>
      <c r="D1" s="362"/>
      <c r="E1" s="362"/>
      <c r="F1" s="362"/>
      <c r="G1" s="362"/>
      <c r="H1" s="362"/>
      <c r="I1" s="362"/>
    </row>
    <row r="2" spans="1:13" s="29" customFormat="1" ht="13.5" customHeight="1" x14ac:dyDescent="0.2">
      <c r="A2" s="30"/>
      <c r="B2" s="30"/>
      <c r="C2" s="30"/>
      <c r="D2" s="30"/>
      <c r="E2" s="30"/>
      <c r="F2" s="30"/>
      <c r="G2" s="30"/>
      <c r="H2" s="30"/>
      <c r="I2" s="30"/>
    </row>
    <row r="3" spans="1:13" s="29" customFormat="1" ht="34.5" customHeight="1" x14ac:dyDescent="0.2">
      <c r="A3" s="314" t="e">
        <f>#REF!</f>
        <v>#REF!</v>
      </c>
      <c r="B3" s="314"/>
      <c r="C3" s="314"/>
      <c r="D3" s="314"/>
      <c r="E3" s="314"/>
      <c r="F3" s="314"/>
      <c r="G3" s="314"/>
      <c r="H3" s="314"/>
      <c r="I3" s="314"/>
    </row>
    <row r="4" spans="1:13" s="4" customFormat="1" ht="15.75" customHeight="1" x14ac:dyDescent="0.2">
      <c r="A4" s="363"/>
      <c r="B4" s="363"/>
      <c r="C4" s="363"/>
      <c r="D4" s="363"/>
      <c r="E4" s="363"/>
      <c r="F4" s="363"/>
      <c r="G4" s="363"/>
      <c r="H4" s="363"/>
      <c r="I4" s="363"/>
    </row>
    <row r="5" spans="1:13" s="31" customFormat="1" ht="36.6" customHeight="1" x14ac:dyDescent="0.35">
      <c r="A5" s="364" t="s">
        <v>13</v>
      </c>
      <c r="B5" s="364" t="s">
        <v>273</v>
      </c>
      <c r="C5" s="364" t="s">
        <v>274</v>
      </c>
      <c r="D5" s="364" t="s">
        <v>275</v>
      </c>
      <c r="E5" s="359" t="s">
        <v>276</v>
      </c>
      <c r="F5" s="359"/>
      <c r="G5" s="359"/>
      <c r="H5" s="359"/>
      <c r="I5" s="359"/>
    </row>
    <row r="6" spans="1:13" s="26" customFormat="1" ht="31.5" customHeight="1" x14ac:dyDescent="0.2">
      <c r="A6" s="364"/>
      <c r="B6" s="364"/>
      <c r="C6" s="364"/>
      <c r="D6" s="364"/>
      <c r="E6" s="32" t="s">
        <v>86</v>
      </c>
      <c r="F6" s="32" t="s">
        <v>87</v>
      </c>
      <c r="G6" s="32" t="s">
        <v>43</v>
      </c>
      <c r="H6" s="32" t="s">
        <v>277</v>
      </c>
      <c r="I6" s="32" t="s">
        <v>278</v>
      </c>
    </row>
    <row r="7" spans="1:13" s="26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6" customFormat="1" ht="13.15" customHeight="1" x14ac:dyDescent="0.2">
      <c r="A8" s="33">
        <v>1</v>
      </c>
      <c r="B8" s="34"/>
      <c r="C8" s="9" t="s">
        <v>149</v>
      </c>
      <c r="D8" s="35"/>
      <c r="E8" s="28">
        <f>'4.3 Отдел 2. Тех.характеристики'!H4/1000</f>
        <v>3.98509</v>
      </c>
      <c r="F8" s="28">
        <f>'4.3 Отдел 2. Тех.характеристики'!I4/1000</f>
        <v>3.1536300000000002</v>
      </c>
      <c r="G8" s="28">
        <f>'4.3 Отдел 2. Тех.характеристики'!J4/1000</f>
        <v>94.532139999999998</v>
      </c>
      <c r="H8" s="28"/>
      <c r="I8" s="28">
        <f>E8+F8+G8</f>
        <v>101.67086</v>
      </c>
      <c r="K8" s="36"/>
      <c r="L8" s="36"/>
      <c r="M8" s="36"/>
    </row>
    <row r="9" spans="1:13" s="26" customFormat="1" ht="38.25" customHeight="1" x14ac:dyDescent="0.2">
      <c r="A9" s="33">
        <v>2</v>
      </c>
      <c r="B9" s="9" t="s">
        <v>279</v>
      </c>
      <c r="C9" s="9" t="s">
        <v>280</v>
      </c>
      <c r="D9" s="152">
        <v>3.9E-2</v>
      </c>
      <c r="E9" s="28">
        <f>E8*D9</f>
        <v>0.15541851000000001</v>
      </c>
      <c r="F9" s="28">
        <f>F8*D9</f>
        <v>0.12299156999999999</v>
      </c>
      <c r="G9" s="28"/>
      <c r="H9" s="28"/>
      <c r="I9" s="28">
        <f>E9+F9</f>
        <v>0.27841008</v>
      </c>
    </row>
    <row r="10" spans="1:13" s="26" customFormat="1" ht="13.15" customHeight="1" x14ac:dyDescent="0.2">
      <c r="A10" s="33"/>
      <c r="B10" s="9"/>
      <c r="C10" s="9"/>
      <c r="D10" s="18"/>
      <c r="E10" s="28"/>
      <c r="F10" s="28"/>
      <c r="G10" s="28"/>
      <c r="H10" s="28"/>
      <c r="I10" s="28"/>
    </row>
    <row r="11" spans="1:13" s="26" customFormat="1" ht="51" customHeight="1" x14ac:dyDescent="0.2">
      <c r="A11" s="33">
        <v>3</v>
      </c>
      <c r="B11" s="9" t="s">
        <v>281</v>
      </c>
      <c r="C11" s="9" t="s">
        <v>229</v>
      </c>
      <c r="D11" s="152">
        <v>2.1000000000000001E-2</v>
      </c>
      <c r="E11" s="28">
        <f>(E8+E9)*D11</f>
        <v>8.6950678710000007E-2</v>
      </c>
      <c r="F11" s="28"/>
      <c r="G11" s="28"/>
      <c r="H11" s="28" t="s">
        <v>109</v>
      </c>
      <c r="I11" s="28">
        <f>E11</f>
        <v>8.6950678710000007E-2</v>
      </c>
    </row>
    <row r="12" spans="1:13" s="26" customFormat="1" ht="45" customHeight="1" x14ac:dyDescent="0.2">
      <c r="A12" s="33">
        <v>4</v>
      </c>
      <c r="B12" s="9" t="s">
        <v>282</v>
      </c>
      <c r="C12" s="9" t="s">
        <v>283</v>
      </c>
      <c r="D12" s="18">
        <v>5.6000000000000001E-2</v>
      </c>
      <c r="E12" s="28"/>
      <c r="F12" s="28"/>
      <c r="G12" s="28"/>
      <c r="H12" s="28">
        <f>(G8+F8)*D12</f>
        <v>5.4704031200000003</v>
      </c>
      <c r="I12" s="28">
        <f>H12</f>
        <v>5.4704031200000003</v>
      </c>
      <c r="J12" s="37" t="s">
        <v>284</v>
      </c>
    </row>
    <row r="13" spans="1:13" s="26" customFormat="1" ht="13.15" customHeight="1" x14ac:dyDescent="0.2">
      <c r="A13" s="33"/>
      <c r="B13" s="9"/>
      <c r="C13" s="9"/>
      <c r="D13" s="18"/>
      <c r="E13" s="28"/>
      <c r="F13" s="28"/>
      <c r="G13" s="28"/>
      <c r="H13" s="28"/>
      <c r="I13" s="28"/>
    </row>
    <row r="14" spans="1:13" s="26" customFormat="1" ht="39.6" customHeight="1" x14ac:dyDescent="0.2">
      <c r="A14" s="33">
        <v>5</v>
      </c>
      <c r="B14" s="9" t="s">
        <v>232</v>
      </c>
      <c r="C14" s="9" t="s">
        <v>285</v>
      </c>
      <c r="D14" s="152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8"/>
      <c r="F14" s="28"/>
      <c r="G14" s="28"/>
      <c r="H14" s="28">
        <f>(I8+I9+I11+I12)*D14*1</f>
        <v>2.3006417510044002</v>
      </c>
      <c r="I14" s="28">
        <f>H14</f>
        <v>2.3006417510044002</v>
      </c>
      <c r="J14" s="38">
        <f>(I8+I9+I11+I12)/1000</f>
        <v>0.10750662387871</v>
      </c>
    </row>
    <row r="15" spans="1:13" s="26" customFormat="1" ht="13.15" customHeight="1" x14ac:dyDescent="0.2">
      <c r="A15" s="33"/>
      <c r="B15" s="9"/>
      <c r="C15" s="9"/>
      <c r="D15" s="18"/>
      <c r="E15" s="28"/>
      <c r="F15" s="28"/>
      <c r="G15" s="28"/>
      <c r="H15" s="28"/>
      <c r="I15" s="28"/>
    </row>
    <row r="16" spans="1:13" s="26" customFormat="1" ht="39.6" customHeight="1" x14ac:dyDescent="0.2">
      <c r="A16" s="33">
        <v>6</v>
      </c>
      <c r="B16" s="9" t="s">
        <v>286</v>
      </c>
      <c r="C16" s="9" t="s">
        <v>287</v>
      </c>
      <c r="D16" s="18">
        <v>0</v>
      </c>
      <c r="E16" s="28"/>
      <c r="F16" s="28"/>
      <c r="G16" s="28"/>
      <c r="H16" s="28">
        <f>(E8+F8)*D16</f>
        <v>0</v>
      </c>
      <c r="I16" s="28">
        <f>H16</f>
        <v>0</v>
      </c>
      <c r="J16" s="37" t="s">
        <v>288</v>
      </c>
    </row>
    <row r="17" spans="1:10" s="26" customFormat="1" ht="81.75" customHeight="1" x14ac:dyDescent="0.2">
      <c r="A17" s="33">
        <v>7</v>
      </c>
      <c r="B17" s="9" t="s">
        <v>286</v>
      </c>
      <c r="C17" s="136" t="s">
        <v>289</v>
      </c>
      <c r="D17" s="18">
        <v>0</v>
      </c>
      <c r="E17" s="28"/>
      <c r="F17" s="28"/>
      <c r="G17" s="28"/>
      <c r="H17" s="28">
        <f>(E9+F9)*D17</f>
        <v>0</v>
      </c>
      <c r="I17" s="28">
        <f>H17</f>
        <v>0</v>
      </c>
      <c r="J17" s="37"/>
    </row>
    <row r="18" spans="1:10" s="26" customFormat="1" ht="13.15" customHeight="1" x14ac:dyDescent="0.2">
      <c r="A18" s="33"/>
      <c r="B18" s="9"/>
      <c r="C18" s="9"/>
      <c r="D18" s="18"/>
      <c r="E18" s="28"/>
      <c r="F18" s="28"/>
      <c r="G18" s="28"/>
      <c r="H18" s="28"/>
      <c r="I18" s="28"/>
    </row>
    <row r="19" spans="1:10" s="40" customFormat="1" ht="13.15" customHeight="1" x14ac:dyDescent="0.2">
      <c r="A19" s="33">
        <v>8</v>
      </c>
      <c r="B19" s="9"/>
      <c r="C19" s="9" t="s">
        <v>290</v>
      </c>
      <c r="D19" s="39"/>
      <c r="E19" s="28">
        <f>SUM(E8:E18)</f>
        <v>4.2274591887100001</v>
      </c>
      <c r="F19" s="28"/>
      <c r="G19" s="28">
        <f>SUM(G8:G18)</f>
        <v>94.532139999999998</v>
      </c>
      <c r="H19" s="28">
        <f>SUM(H8:H18)</f>
        <v>7.7710448710044</v>
      </c>
      <c r="I19" s="28">
        <f>SUM(I8:I18)</f>
        <v>109.80726562971</v>
      </c>
    </row>
    <row r="20" spans="1:10" s="26" customFormat="1" ht="51" customHeight="1" x14ac:dyDescent="0.2">
      <c r="A20" s="33">
        <v>9</v>
      </c>
      <c r="B20" s="135" t="s">
        <v>291</v>
      </c>
      <c r="C20" s="9" t="s">
        <v>161</v>
      </c>
      <c r="D20" s="41">
        <v>0.03</v>
      </c>
      <c r="E20" s="28">
        <f>E19*3%</f>
        <v>0.12682377566129999</v>
      </c>
      <c r="F20" s="28"/>
      <c r="G20" s="28">
        <f>G19*3%</f>
        <v>2.8359641999999998</v>
      </c>
      <c r="H20" s="28">
        <f>H19*3%</f>
        <v>0.23313134613013001</v>
      </c>
      <c r="I20" s="28">
        <f>I19*3%</f>
        <v>3.2942179688914002</v>
      </c>
    </row>
    <row r="21" spans="1:10" s="29" customFormat="1" ht="13.15" customHeight="1" x14ac:dyDescent="0.2">
      <c r="A21" s="33">
        <v>10</v>
      </c>
      <c r="B21" s="9"/>
      <c r="C21" s="9" t="s">
        <v>292</v>
      </c>
      <c r="D21" s="42"/>
      <c r="E21" s="28"/>
      <c r="F21" s="28"/>
      <c r="G21" s="28"/>
      <c r="H21" s="28"/>
      <c r="I21" s="28">
        <f>I19+I20</f>
        <v>113.10148359861</v>
      </c>
    </row>
    <row r="22" spans="1:10" s="29" customFormat="1" ht="13.15" customHeight="1" x14ac:dyDescent="0.2">
      <c r="A22" s="43"/>
      <c r="B22" s="44"/>
      <c r="C22" s="44"/>
      <c r="D22" s="45"/>
      <c r="E22" s="46"/>
      <c r="F22" s="46"/>
      <c r="G22" s="46"/>
      <c r="H22" s="46"/>
      <c r="I22" s="46"/>
    </row>
    <row r="23" spans="1:10" x14ac:dyDescent="0.25">
      <c r="A23" s="4" t="s">
        <v>293</v>
      </c>
      <c r="B23" s="47"/>
      <c r="C23" s="4"/>
      <c r="D23" s="26"/>
      <c r="E23" s="26"/>
      <c r="F23" s="26"/>
      <c r="G23" s="26"/>
      <c r="H23" s="26"/>
      <c r="I23" s="26"/>
    </row>
    <row r="24" spans="1:10" x14ac:dyDescent="0.25">
      <c r="A24" s="27" t="s">
        <v>294</v>
      </c>
      <c r="B24" s="47"/>
      <c r="C24" s="4"/>
      <c r="D24" s="26"/>
      <c r="E24" s="26"/>
      <c r="F24" s="26"/>
      <c r="G24" s="26"/>
      <c r="H24" s="26"/>
      <c r="I24" s="26"/>
    </row>
    <row r="25" spans="1:10" x14ac:dyDescent="0.25">
      <c r="A25" s="4"/>
      <c r="B25" s="47"/>
      <c r="C25" s="4"/>
      <c r="D25" s="26"/>
      <c r="E25" s="26"/>
      <c r="F25" s="26"/>
      <c r="G25" s="26"/>
      <c r="H25" s="26"/>
      <c r="I25" s="26"/>
    </row>
    <row r="26" spans="1:10" x14ac:dyDescent="0.25">
      <c r="A26" s="4" t="s">
        <v>295</v>
      </c>
      <c r="B26" s="47"/>
      <c r="C26" s="4"/>
      <c r="D26" s="26"/>
      <c r="E26" s="26"/>
      <c r="F26" s="26"/>
      <c r="G26" s="26"/>
      <c r="H26" s="26"/>
      <c r="I26" s="26"/>
    </row>
    <row r="27" spans="1:10" x14ac:dyDescent="0.25">
      <c r="A27" s="27" t="s">
        <v>296</v>
      </c>
      <c r="B27" s="47"/>
      <c r="C27" s="4"/>
      <c r="D27" s="26"/>
      <c r="E27" s="26"/>
      <c r="F27" s="26"/>
      <c r="G27" s="26"/>
      <c r="H27" s="26"/>
      <c r="I27" s="26"/>
    </row>
    <row r="28" spans="1:10" x14ac:dyDescent="0.25">
      <c r="B28" s="48"/>
    </row>
    <row r="29" spans="1:10" x14ac:dyDescent="0.25">
      <c r="B29" s="48"/>
    </row>
    <row r="30" spans="1:10" x14ac:dyDescent="0.25">
      <c r="B30" s="48"/>
    </row>
    <row r="31" spans="1:10" x14ac:dyDescent="0.25">
      <c r="B31" s="48"/>
    </row>
    <row r="32" spans="1:10" x14ac:dyDescent="0.25">
      <c r="B32" s="48"/>
    </row>
    <row r="33" spans="2:2" x14ac:dyDescent="0.25">
      <c r="B33" s="48"/>
    </row>
    <row r="34" spans="2:2" x14ac:dyDescent="0.25">
      <c r="B34" s="48"/>
    </row>
    <row r="35" spans="2:2" x14ac:dyDescent="0.25">
      <c r="B35" s="48"/>
    </row>
    <row r="36" spans="2:2" x14ac:dyDescent="0.25">
      <c r="B36" s="48"/>
    </row>
    <row r="37" spans="2:2" x14ac:dyDescent="0.25">
      <c r="B37" s="48"/>
    </row>
    <row r="38" spans="2:2" x14ac:dyDescent="0.25">
      <c r="B38" s="48"/>
    </row>
    <row r="39" spans="2:2" x14ac:dyDescent="0.25">
      <c r="B39" s="48"/>
    </row>
    <row r="40" spans="2:2" x14ac:dyDescent="0.25">
      <c r="B40" s="48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Q29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style="49" customWidth="1"/>
    <col min="3" max="3" width="66.42578125" style="49" customWidth="1"/>
    <col min="4" max="4" width="12.7109375" style="49" customWidth="1" outlineLevel="1"/>
    <col min="5" max="5" width="13.7109375" style="49" customWidth="1" outlineLevel="1"/>
    <col min="6" max="6" width="12.28515625" style="49" customWidth="1" outlineLevel="1"/>
    <col min="7" max="7" width="14.42578125" style="50" customWidth="1" outlineLevel="1"/>
    <col min="8" max="8" width="12.7109375" style="50" customWidth="1" outlineLevel="1"/>
    <col min="9" max="9" width="17.42578125" style="50" customWidth="1"/>
    <col min="10" max="10" width="12.7109375" style="49" customWidth="1"/>
    <col min="11" max="11" width="14.28515625" style="49" customWidth="1"/>
    <col min="12" max="12" width="14.5703125" style="49" customWidth="1"/>
    <col min="13" max="13" width="14.28515625" style="49" customWidth="1"/>
    <col min="14" max="14" width="12.7109375" style="49" customWidth="1"/>
    <col min="15" max="15" width="26.140625" style="49" customWidth="1"/>
    <col min="16" max="16" width="15.7109375" style="51" customWidth="1"/>
    <col min="17" max="17" width="9.28515625" style="51"/>
  </cols>
  <sheetData>
    <row r="2" spans="1:16" x14ac:dyDescent="0.25">
      <c r="N2" s="369" t="s">
        <v>297</v>
      </c>
      <c r="O2" s="369"/>
    </row>
    <row r="3" spans="1:16" x14ac:dyDescent="0.25">
      <c r="A3" s="370" t="s">
        <v>298</v>
      </c>
      <c r="B3" s="370"/>
      <c r="C3" s="370"/>
      <c r="D3" s="370"/>
      <c r="E3" s="370"/>
      <c r="F3" s="370"/>
      <c r="G3" s="370"/>
      <c r="H3" s="370"/>
      <c r="I3" s="370"/>
      <c r="J3" s="370"/>
      <c r="K3" s="370"/>
      <c r="L3" s="370"/>
      <c r="M3" s="370"/>
      <c r="N3" s="370"/>
      <c r="O3" s="370"/>
    </row>
    <row r="5" spans="1:16" s="49" customFormat="1" ht="37.5" customHeight="1" x14ac:dyDescent="0.25">
      <c r="A5" s="371" t="s">
        <v>299</v>
      </c>
      <c r="B5" s="374" t="s">
        <v>300</v>
      </c>
      <c r="C5" s="377" t="s">
        <v>301</v>
      </c>
      <c r="D5" s="380" t="s">
        <v>302</v>
      </c>
      <c r="E5" s="381"/>
      <c r="F5" s="381"/>
      <c r="G5" s="381"/>
      <c r="H5" s="381"/>
      <c r="I5" s="380" t="s">
        <v>303</v>
      </c>
      <c r="J5" s="381"/>
      <c r="K5" s="381"/>
      <c r="L5" s="381"/>
      <c r="M5" s="381"/>
      <c r="N5" s="381"/>
      <c r="O5" s="52" t="s">
        <v>304</v>
      </c>
    </row>
    <row r="6" spans="1:16" s="55" customFormat="1" ht="150" customHeight="1" x14ac:dyDescent="0.25">
      <c r="A6" s="372"/>
      <c r="B6" s="375"/>
      <c r="C6" s="378"/>
      <c r="D6" s="377" t="s">
        <v>305</v>
      </c>
      <c r="E6" s="382" t="s">
        <v>306</v>
      </c>
      <c r="F6" s="383"/>
      <c r="G6" s="384"/>
      <c r="H6" s="53" t="s">
        <v>307</v>
      </c>
      <c r="I6" s="385" t="s">
        <v>308</v>
      </c>
      <c r="J6" s="385" t="s">
        <v>305</v>
      </c>
      <c r="K6" s="386" t="s">
        <v>306</v>
      </c>
      <c r="L6" s="386"/>
      <c r="M6" s="386"/>
      <c r="N6" s="53" t="s">
        <v>307</v>
      </c>
      <c r="O6" s="54" t="s">
        <v>309</v>
      </c>
    </row>
    <row r="7" spans="1:16" s="55" customFormat="1" ht="30.75" customHeight="1" x14ac:dyDescent="0.25">
      <c r="A7" s="373"/>
      <c r="B7" s="376"/>
      <c r="C7" s="379"/>
      <c r="D7" s="379"/>
      <c r="E7" s="52" t="s">
        <v>86</v>
      </c>
      <c r="F7" s="52" t="s">
        <v>87</v>
      </c>
      <c r="G7" s="52" t="s">
        <v>43</v>
      </c>
      <c r="H7" s="56" t="s">
        <v>310</v>
      </c>
      <c r="I7" s="385"/>
      <c r="J7" s="385"/>
      <c r="K7" s="52" t="s">
        <v>86</v>
      </c>
      <c r="L7" s="52" t="s">
        <v>87</v>
      </c>
      <c r="M7" s="52" t="s">
        <v>43</v>
      </c>
      <c r="N7" s="56" t="s">
        <v>310</v>
      </c>
      <c r="O7" s="52" t="s">
        <v>311</v>
      </c>
    </row>
    <row r="8" spans="1:16" s="55" customFormat="1" x14ac:dyDescent="0.25">
      <c r="A8" s="57">
        <v>1</v>
      </c>
      <c r="B8" s="57">
        <v>2</v>
      </c>
      <c r="C8" s="57">
        <v>3</v>
      </c>
      <c r="D8" s="57">
        <v>4</v>
      </c>
      <c r="E8" s="57">
        <v>5</v>
      </c>
      <c r="F8" s="57">
        <v>6</v>
      </c>
      <c r="G8" s="57">
        <v>7</v>
      </c>
      <c r="H8" s="57">
        <v>8</v>
      </c>
      <c r="I8" s="57">
        <v>9</v>
      </c>
      <c r="J8" s="57">
        <v>10</v>
      </c>
      <c r="K8" s="57">
        <v>11</v>
      </c>
      <c r="L8" s="57">
        <v>12</v>
      </c>
      <c r="M8" s="57">
        <v>13</v>
      </c>
      <c r="N8" s="57">
        <v>14</v>
      </c>
      <c r="O8" s="57">
        <v>15</v>
      </c>
    </row>
    <row r="9" spans="1:16" s="55" customFormat="1" ht="102.75" customHeight="1" x14ac:dyDescent="0.25">
      <c r="A9" s="57">
        <v>1</v>
      </c>
      <c r="B9" s="371" t="s">
        <v>312</v>
      </c>
      <c r="C9" s="58" t="s">
        <v>313</v>
      </c>
      <c r="D9" s="59">
        <f t="shared" ref="D9:D15" si="0">SUM(E9:G9)</f>
        <v>583.41863000000001</v>
      </c>
      <c r="E9" s="60">
        <f>340656.93/1000</f>
        <v>340.65692999999999</v>
      </c>
      <c r="F9" s="60">
        <f>242761.7/1000</f>
        <v>242.76169999999999</v>
      </c>
      <c r="G9" s="60">
        <v>0</v>
      </c>
      <c r="H9" s="59">
        <f>(713.49*0.8)/1000</f>
        <v>0.57079199999999997</v>
      </c>
      <c r="I9" s="59">
        <v>11656.266250000001</v>
      </c>
      <c r="J9" s="59">
        <f t="shared" ref="J9:J15" si="1">K9+L9+M9</f>
        <v>3553.0194566999999</v>
      </c>
      <c r="K9" s="60">
        <f>E9*H22</f>
        <v>2074.6007036999999</v>
      </c>
      <c r="L9" s="60">
        <f>F9*H22</f>
        <v>1478.4187529999999</v>
      </c>
      <c r="M9" s="60">
        <f>G9*H24</f>
        <v>0</v>
      </c>
      <c r="N9" s="59">
        <f>H9*H25</f>
        <v>6.48990504</v>
      </c>
      <c r="O9" s="61">
        <f t="shared" ref="O9:O15" si="2">N9/(L9+M9)</f>
        <v>4.389761038157E-3</v>
      </c>
    </row>
    <row r="10" spans="1:16" s="55" customFormat="1" ht="54.75" customHeight="1" x14ac:dyDescent="0.25">
      <c r="A10" s="56">
        <v>2</v>
      </c>
      <c r="B10" s="373"/>
      <c r="C10" s="62" t="s">
        <v>314</v>
      </c>
      <c r="D10" s="59">
        <f t="shared" si="0"/>
        <v>2228.558</v>
      </c>
      <c r="E10" s="59">
        <f>430700/1000</f>
        <v>430.7</v>
      </c>
      <c r="F10" s="59">
        <f>1797858/1000</f>
        <v>1797.8579999999999</v>
      </c>
      <c r="G10" s="59">
        <v>0</v>
      </c>
      <c r="H10" s="59">
        <f>1685/1000</f>
        <v>1.6850000000000001</v>
      </c>
      <c r="I10" s="59">
        <f>15834377.63/1000</f>
        <v>15834.377630000001</v>
      </c>
      <c r="J10" s="59">
        <f t="shared" si="1"/>
        <v>14351.91352</v>
      </c>
      <c r="K10" s="60">
        <f>E10*I22</f>
        <v>2773.7080000000001</v>
      </c>
      <c r="L10" s="60">
        <f>F10*I22</f>
        <v>11578.20552</v>
      </c>
      <c r="M10" s="60">
        <f>G10*I24</f>
        <v>0</v>
      </c>
      <c r="N10" s="59">
        <f>H10*I25</f>
        <v>14.1877</v>
      </c>
      <c r="O10" s="61">
        <f t="shared" si="2"/>
        <v>1.2253798721652001E-3</v>
      </c>
      <c r="P10" s="63"/>
    </row>
    <row r="11" spans="1:16" s="55" customFormat="1" ht="24.6" customHeight="1" x14ac:dyDescent="0.25">
      <c r="A11" s="57">
        <v>3</v>
      </c>
      <c r="B11" s="371" t="s">
        <v>315</v>
      </c>
      <c r="C11" s="62" t="s">
        <v>316</v>
      </c>
      <c r="D11" s="59">
        <f t="shared" si="0"/>
        <v>22378.080000000002</v>
      </c>
      <c r="E11" s="60">
        <v>15858.44</v>
      </c>
      <c r="F11" s="60">
        <v>6519.64</v>
      </c>
      <c r="G11" s="60">
        <v>0</v>
      </c>
      <c r="H11" s="59">
        <v>9.7100000000000009</v>
      </c>
      <c r="I11" s="59">
        <v>170961.79</v>
      </c>
      <c r="J11" s="59">
        <f t="shared" si="1"/>
        <v>129121.52159999999</v>
      </c>
      <c r="K11" s="59">
        <f>E11*J22</f>
        <v>91503.198799999998</v>
      </c>
      <c r="L11" s="59">
        <f>F11*J22</f>
        <v>37618.322800000002</v>
      </c>
      <c r="M11" s="59">
        <f>G11*J24</f>
        <v>0</v>
      </c>
      <c r="N11" s="59">
        <f>H11*J25</f>
        <v>154.48609999999999</v>
      </c>
      <c r="O11" s="61">
        <f t="shared" si="2"/>
        <v>4.1066716562919003E-3</v>
      </c>
    </row>
    <row r="12" spans="1:16" s="55" customFormat="1" ht="31.9" customHeight="1" x14ac:dyDescent="0.25">
      <c r="A12" s="56">
        <v>4</v>
      </c>
      <c r="B12" s="373"/>
      <c r="C12" s="62" t="s">
        <v>317</v>
      </c>
      <c r="D12" s="59">
        <f t="shared" si="0"/>
        <v>93405.18</v>
      </c>
      <c r="E12" s="60">
        <v>53163.12</v>
      </c>
      <c r="F12" s="60">
        <v>40153.81</v>
      </c>
      <c r="G12" s="60">
        <v>88.25</v>
      </c>
      <c r="H12" s="59">
        <v>33.76</v>
      </c>
      <c r="I12" s="59">
        <v>725870.83</v>
      </c>
      <c r="J12" s="59">
        <f t="shared" si="1"/>
        <v>538845.47</v>
      </c>
      <c r="K12" s="59">
        <v>306751.18</v>
      </c>
      <c r="L12" s="59">
        <v>231687.44</v>
      </c>
      <c r="M12" s="59">
        <v>406.85</v>
      </c>
      <c r="N12" s="59">
        <v>537.07000000000005</v>
      </c>
      <c r="O12" s="61">
        <f t="shared" si="2"/>
        <v>2.3140164284093001E-3</v>
      </c>
    </row>
    <row r="13" spans="1:16" s="55" customFormat="1" ht="60" customHeight="1" x14ac:dyDescent="0.25">
      <c r="A13" s="57">
        <v>5</v>
      </c>
      <c r="B13" s="371" t="s">
        <v>318</v>
      </c>
      <c r="C13" s="58" t="s">
        <v>319</v>
      </c>
      <c r="D13" s="59">
        <f t="shared" si="0"/>
        <v>52119.83</v>
      </c>
      <c r="E13" s="60">
        <v>15198.48</v>
      </c>
      <c r="F13" s="60">
        <v>31977.3</v>
      </c>
      <c r="G13" s="60">
        <v>4944.05</v>
      </c>
      <c r="H13" s="59">
        <v>16.13</v>
      </c>
      <c r="I13" s="59">
        <v>2024759.04</v>
      </c>
      <c r="J13" s="59">
        <f t="shared" si="1"/>
        <v>267889.86339999997</v>
      </c>
      <c r="K13" s="60">
        <f>E13*L22</f>
        <v>79488.050399999993</v>
      </c>
      <c r="L13" s="60">
        <f>F13*L22</f>
        <v>167241.27900000001</v>
      </c>
      <c r="M13" s="60">
        <f>G13*L24</f>
        <v>21160.534</v>
      </c>
      <c r="N13" s="59">
        <f>H13*L25</f>
        <v>231.46549999999999</v>
      </c>
      <c r="O13" s="61">
        <f t="shared" si="2"/>
        <v>1.2285736337367E-3</v>
      </c>
    </row>
    <row r="14" spans="1:16" s="55" customFormat="1" ht="39.6" customHeight="1" x14ac:dyDescent="0.25">
      <c r="A14" s="56">
        <v>6</v>
      </c>
      <c r="B14" s="373"/>
      <c r="C14" s="62" t="s">
        <v>320</v>
      </c>
      <c r="D14" s="59">
        <f t="shared" si="0"/>
        <v>89613.6</v>
      </c>
      <c r="E14" s="59">
        <v>44598.73</v>
      </c>
      <c r="F14" s="59">
        <v>40017</v>
      </c>
      <c r="G14" s="59">
        <v>4997.87</v>
      </c>
      <c r="H14" s="59">
        <f>7.69+81.8</f>
        <v>89.49</v>
      </c>
      <c r="I14" s="59">
        <v>738823.57</v>
      </c>
      <c r="J14" s="59">
        <f t="shared" si="1"/>
        <v>511472.85759999999</v>
      </c>
      <c r="K14" s="60">
        <f>E14*M22</f>
        <v>257334.6721</v>
      </c>
      <c r="L14" s="60">
        <f>F14*M22</f>
        <v>230898.09</v>
      </c>
      <c r="M14" s="60">
        <f>G14*M24</f>
        <v>23240.095499999999</v>
      </c>
      <c r="N14" s="59">
        <f>H14*M25</f>
        <v>1423.7859000000001</v>
      </c>
      <c r="O14" s="61">
        <f t="shared" si="2"/>
        <v>5.6024083795152002E-3</v>
      </c>
    </row>
    <row r="15" spans="1:16" s="55" customFormat="1" ht="46.15" customHeight="1" x14ac:dyDescent="0.25">
      <c r="A15" s="57">
        <v>7</v>
      </c>
      <c r="B15" s="64" t="s">
        <v>321</v>
      </c>
      <c r="C15" s="62" t="s">
        <v>322</v>
      </c>
      <c r="D15" s="59">
        <f t="shared" si="0"/>
        <v>981651.63</v>
      </c>
      <c r="E15" s="60">
        <v>448398.51</v>
      </c>
      <c r="F15" s="60">
        <v>486091.33</v>
      </c>
      <c r="G15" s="60">
        <v>47161.79</v>
      </c>
      <c r="H15" s="59">
        <v>143.03</v>
      </c>
      <c r="I15" s="59">
        <v>16001185.93</v>
      </c>
      <c r="J15" s="59">
        <f t="shared" si="1"/>
        <v>6269109.2307000002</v>
      </c>
      <c r="K15" s="59">
        <f>123094.59*N22+325303.92*N23</f>
        <v>2908258.6863000002</v>
      </c>
      <c r="L15" s="59">
        <f>110226.08*N22+375865.25*N23</f>
        <v>3158998.0832000002</v>
      </c>
      <c r="M15" s="59">
        <f>G15*N24</f>
        <v>201852.46119999999</v>
      </c>
      <c r="N15" s="59">
        <f>H15*N25</f>
        <v>1185.7186999999999</v>
      </c>
      <c r="O15" s="61">
        <f t="shared" si="2"/>
        <v>3.5280316227560002E-4</v>
      </c>
    </row>
    <row r="16" spans="1:16" s="55" customFormat="1" ht="24" customHeight="1" x14ac:dyDescent="0.25">
      <c r="A16" s="65"/>
      <c r="B16" s="65"/>
      <c r="C16" s="66" t="s">
        <v>323</v>
      </c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8">
        <f>(O9+O10+O11+O12+O13+O14+O15)/7</f>
        <v>2.7456591672216E-3</v>
      </c>
    </row>
    <row r="17" spans="1:15" s="55" customFormat="1" ht="18.75" customHeight="1" x14ac:dyDescent="0.25">
      <c r="A17" s="69"/>
      <c r="B17" s="69"/>
      <c r="C17" s="70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2"/>
    </row>
    <row r="18" spans="1:15" ht="21" customHeight="1" x14ac:dyDescent="0.25">
      <c r="C18" s="73" t="s">
        <v>324</v>
      </c>
    </row>
    <row r="19" spans="1:15" ht="30.75" customHeight="1" x14ac:dyDescent="0.25">
      <c r="L19" s="74"/>
    </row>
    <row r="20" spans="1:15" ht="15" customHeight="1" outlineLevel="1" x14ac:dyDescent="0.25">
      <c r="G20" s="368" t="s">
        <v>325</v>
      </c>
      <c r="H20" s="368"/>
      <c r="I20" s="368"/>
      <c r="J20" s="368"/>
      <c r="K20" s="368"/>
      <c r="L20" s="368"/>
      <c r="M20" s="368"/>
      <c r="N20" s="368"/>
      <c r="O20" s="51"/>
    </row>
    <row r="21" spans="1:15" ht="15.75" customHeight="1" outlineLevel="1" x14ac:dyDescent="0.25">
      <c r="G21" s="75"/>
      <c r="H21" s="75" t="s">
        <v>326</v>
      </c>
      <c r="I21" s="75" t="s">
        <v>327</v>
      </c>
      <c r="J21" s="76" t="s">
        <v>328</v>
      </c>
      <c r="K21" s="77" t="s">
        <v>329</v>
      </c>
      <c r="L21" s="75" t="s">
        <v>330</v>
      </c>
      <c r="M21" s="75" t="s">
        <v>331</v>
      </c>
      <c r="N21" s="76" t="s">
        <v>332</v>
      </c>
      <c r="O21" s="78"/>
    </row>
    <row r="22" spans="1:15" ht="15.75" customHeight="1" outlineLevel="1" x14ac:dyDescent="0.25">
      <c r="G22" s="366" t="s">
        <v>333</v>
      </c>
      <c r="H22" s="365">
        <v>6.09</v>
      </c>
      <c r="I22" s="367">
        <v>6.44</v>
      </c>
      <c r="J22" s="365">
        <v>5.77</v>
      </c>
      <c r="K22" s="367">
        <v>5.77</v>
      </c>
      <c r="L22" s="365">
        <v>5.23</v>
      </c>
      <c r="M22" s="365">
        <v>5.77</v>
      </c>
      <c r="N22" s="79">
        <v>6.29</v>
      </c>
      <c r="O22" s="50" t="s">
        <v>334</v>
      </c>
    </row>
    <row r="23" spans="1:15" ht="15.75" customHeight="1" outlineLevel="1" x14ac:dyDescent="0.25">
      <c r="G23" s="366"/>
      <c r="H23" s="365"/>
      <c r="I23" s="367"/>
      <c r="J23" s="365"/>
      <c r="K23" s="367"/>
      <c r="L23" s="365"/>
      <c r="M23" s="365"/>
      <c r="N23" s="79">
        <v>6.56</v>
      </c>
      <c r="O23" s="50" t="s">
        <v>335</v>
      </c>
    </row>
    <row r="24" spans="1:15" ht="15.75" customHeight="1" outlineLevel="1" x14ac:dyDescent="0.25">
      <c r="G24" s="80" t="s">
        <v>336</v>
      </c>
      <c r="H24" s="81">
        <v>4.46</v>
      </c>
      <c r="I24" s="82">
        <v>4.28</v>
      </c>
      <c r="J24" s="83">
        <v>4.6500000000000004</v>
      </c>
      <c r="K24" s="77">
        <v>4.6100000000000003</v>
      </c>
      <c r="L24" s="81">
        <v>4.28</v>
      </c>
      <c r="M24" s="79">
        <v>4.6500000000000004</v>
      </c>
      <c r="N24" s="79">
        <v>4.28</v>
      </c>
      <c r="O24" s="78"/>
    </row>
    <row r="25" spans="1:15" ht="15.75" customHeight="1" outlineLevel="1" x14ac:dyDescent="0.25">
      <c r="G25" s="80" t="s">
        <v>310</v>
      </c>
      <c r="H25" s="81">
        <v>11.37</v>
      </c>
      <c r="I25" s="84">
        <v>8.42</v>
      </c>
      <c r="J25" s="83">
        <v>15.91</v>
      </c>
      <c r="K25" s="77">
        <v>15.91</v>
      </c>
      <c r="L25" s="81">
        <v>14.35</v>
      </c>
      <c r="M25" s="79">
        <v>15.91</v>
      </c>
      <c r="N25" s="79">
        <v>8.2899999999999991</v>
      </c>
      <c r="O25" s="78"/>
    </row>
    <row r="26" spans="1:15" s="49" customFormat="1" ht="31.5" customHeight="1" outlineLevel="1" x14ac:dyDescent="0.25">
      <c r="G26" s="80" t="s">
        <v>337</v>
      </c>
      <c r="H26" s="81">
        <v>3.83</v>
      </c>
      <c r="I26" s="82">
        <v>3.95</v>
      </c>
      <c r="J26" s="83">
        <v>4.1500000000000004</v>
      </c>
      <c r="K26" s="77">
        <v>3.83</v>
      </c>
      <c r="L26" s="77">
        <v>3.95</v>
      </c>
      <c r="M26" s="79">
        <v>4.09</v>
      </c>
      <c r="N26" s="79">
        <v>3.95</v>
      </c>
      <c r="O26" s="78"/>
    </row>
    <row r="27" spans="1:15" s="49" customFormat="1" ht="31.5" customHeight="1" outlineLevel="1" x14ac:dyDescent="0.25">
      <c r="G27" s="80" t="s">
        <v>338</v>
      </c>
      <c r="H27" s="81">
        <v>3.91</v>
      </c>
      <c r="I27" s="82">
        <v>3.99</v>
      </c>
      <c r="J27" s="83">
        <v>4.2300000000000004</v>
      </c>
      <c r="K27" s="77">
        <v>3.91</v>
      </c>
      <c r="L27" s="77">
        <v>3.99</v>
      </c>
      <c r="M27" s="79">
        <v>4.17</v>
      </c>
      <c r="N27" s="79">
        <v>3.99</v>
      </c>
      <c r="O27" s="78"/>
    </row>
    <row r="28" spans="1:15" s="49" customFormat="1" ht="15.75" customHeight="1" outlineLevel="1" x14ac:dyDescent="0.25">
      <c r="G28" s="80" t="s">
        <v>277</v>
      </c>
      <c r="H28" s="81">
        <v>8.7899999999999991</v>
      </c>
      <c r="I28" s="81">
        <v>8.7899999999999991</v>
      </c>
      <c r="J28" s="83">
        <v>9.19</v>
      </c>
      <c r="K28" s="77">
        <v>9.1</v>
      </c>
      <c r="L28" s="81">
        <v>8.42</v>
      </c>
      <c r="M28" s="79">
        <v>9.19</v>
      </c>
      <c r="N28" s="79">
        <v>8.42</v>
      </c>
      <c r="O28" s="78"/>
    </row>
    <row r="29" spans="1:15" s="49" customFormat="1" x14ac:dyDescent="0.25">
      <c r="G29" s="50"/>
      <c r="H29" s="50"/>
      <c r="I29" s="50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S36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style="86" customWidth="1"/>
    <col min="2" max="2" width="9.85546875" style="86" customWidth="1"/>
    <col min="3" max="3" width="65.140625" style="86" customWidth="1"/>
    <col min="4" max="4" width="18.7109375" style="86" customWidth="1"/>
    <col min="5" max="5" width="17.7109375" style="86" customWidth="1"/>
    <col min="6" max="6" width="12.7109375" style="86" customWidth="1"/>
    <col min="7" max="7" width="14.28515625" style="86" customWidth="1"/>
    <col min="8" max="8" width="13.85546875" style="86" customWidth="1"/>
    <col min="9" max="9" width="17.140625" style="86" customWidth="1"/>
    <col min="10" max="10" width="14.42578125" style="86" customWidth="1"/>
    <col min="11" max="12" width="12.7109375" style="86" customWidth="1"/>
    <col min="13" max="13" width="15.7109375" style="86" customWidth="1"/>
    <col min="14" max="14" width="18.42578125" style="86" customWidth="1"/>
    <col min="15" max="15" width="18.7109375" style="86" customWidth="1"/>
    <col min="16" max="16" width="18" style="86" customWidth="1"/>
    <col min="17" max="17" width="17" style="86" customWidth="1"/>
    <col min="18" max="18" width="16.5703125" style="87" customWidth="1"/>
    <col min="19" max="19" width="9.28515625" style="51"/>
  </cols>
  <sheetData>
    <row r="2" spans="1:18" ht="18.75" customHeight="1" x14ac:dyDescent="0.25">
      <c r="A2" s="387" t="s">
        <v>339</v>
      </c>
      <c r="B2" s="387"/>
      <c r="C2" s="387"/>
      <c r="D2" s="387"/>
      <c r="E2" s="387"/>
      <c r="F2" s="387"/>
      <c r="G2" s="387"/>
      <c r="H2" s="387"/>
      <c r="I2" s="387"/>
      <c r="J2" s="387"/>
      <c r="K2" s="387"/>
      <c r="L2" s="387"/>
      <c r="M2" s="387"/>
      <c r="N2" s="387"/>
      <c r="O2" s="387"/>
    </row>
    <row r="4" spans="1:18" ht="36.75" customHeight="1" x14ac:dyDescent="0.25">
      <c r="A4" s="371" t="s">
        <v>299</v>
      </c>
      <c r="B4" s="374" t="s">
        <v>300</v>
      </c>
      <c r="C4" s="377" t="s">
        <v>340</v>
      </c>
      <c r="D4" s="377" t="s">
        <v>341</v>
      </c>
      <c r="E4" s="380" t="s">
        <v>342</v>
      </c>
      <c r="F4" s="381"/>
      <c r="G4" s="381"/>
      <c r="H4" s="381"/>
      <c r="I4" s="381"/>
      <c r="J4" s="381"/>
      <c r="K4" s="381"/>
      <c r="L4" s="381"/>
      <c r="M4" s="381"/>
      <c r="N4" s="388" t="s">
        <v>343</v>
      </c>
      <c r="O4" s="389"/>
      <c r="P4" s="389"/>
      <c r="Q4" s="389"/>
      <c r="R4" s="390"/>
    </row>
    <row r="5" spans="1:18" ht="60" customHeight="1" x14ac:dyDescent="0.25">
      <c r="A5" s="372"/>
      <c r="B5" s="375"/>
      <c r="C5" s="378"/>
      <c r="D5" s="378"/>
      <c r="E5" s="385" t="s">
        <v>344</v>
      </c>
      <c r="F5" s="385" t="s">
        <v>345</v>
      </c>
      <c r="G5" s="382" t="s">
        <v>306</v>
      </c>
      <c r="H5" s="383"/>
      <c r="I5" s="383"/>
      <c r="J5" s="384"/>
      <c r="K5" s="385" t="s">
        <v>346</v>
      </c>
      <c r="L5" s="385"/>
      <c r="M5" s="385"/>
      <c r="N5" s="88" t="s">
        <v>347</v>
      </c>
      <c r="O5" s="88" t="s">
        <v>348</v>
      </c>
      <c r="P5" s="89" t="s">
        <v>349</v>
      </c>
      <c r="Q5" s="90" t="s">
        <v>350</v>
      </c>
      <c r="R5" s="89" t="s">
        <v>351</v>
      </c>
    </row>
    <row r="6" spans="1:18" ht="49.5" customHeight="1" x14ac:dyDescent="0.25">
      <c r="A6" s="373"/>
      <c r="B6" s="376"/>
      <c r="C6" s="379"/>
      <c r="D6" s="379"/>
      <c r="E6" s="385"/>
      <c r="F6" s="385"/>
      <c r="G6" s="52" t="s">
        <v>86</v>
      </c>
      <c r="H6" s="52" t="s">
        <v>87</v>
      </c>
      <c r="I6" s="91" t="s">
        <v>43</v>
      </c>
      <c r="J6" s="91" t="s">
        <v>277</v>
      </c>
      <c r="K6" s="52" t="s">
        <v>347</v>
      </c>
      <c r="L6" s="52" t="s">
        <v>348</v>
      </c>
      <c r="M6" s="52" t="s">
        <v>349</v>
      </c>
      <c r="N6" s="91" t="s">
        <v>352</v>
      </c>
      <c r="O6" s="91" t="s">
        <v>353</v>
      </c>
      <c r="P6" s="91" t="s">
        <v>354</v>
      </c>
      <c r="Q6" s="92" t="s">
        <v>355</v>
      </c>
      <c r="R6" s="93" t="s">
        <v>356</v>
      </c>
    </row>
    <row r="7" spans="1:18" ht="16.5" customHeight="1" x14ac:dyDescent="0.25">
      <c r="A7" s="94"/>
      <c r="B7" s="95"/>
      <c r="C7" s="96"/>
      <c r="D7" s="96"/>
      <c r="E7" s="85"/>
      <c r="F7" s="85"/>
      <c r="G7" s="85"/>
      <c r="H7" s="85"/>
      <c r="I7" s="96"/>
      <c r="J7" s="96"/>
      <c r="K7" s="85"/>
      <c r="L7" s="85"/>
      <c r="M7" s="85"/>
      <c r="N7" s="96"/>
      <c r="O7" s="96"/>
      <c r="P7" s="96"/>
      <c r="Q7" s="92"/>
      <c r="R7" s="97"/>
    </row>
    <row r="8" spans="1:18" x14ac:dyDescent="0.25">
      <c r="A8" s="94">
        <v>1</v>
      </c>
      <c r="B8" s="94"/>
      <c r="C8" s="94">
        <v>2</v>
      </c>
      <c r="D8" s="94">
        <v>3</v>
      </c>
      <c r="E8" s="94">
        <v>4</v>
      </c>
      <c r="F8" s="94">
        <v>5</v>
      </c>
      <c r="G8" s="94">
        <v>6</v>
      </c>
      <c r="H8" s="94">
        <v>7</v>
      </c>
      <c r="I8" s="94">
        <v>8</v>
      </c>
      <c r="J8" s="94">
        <v>9</v>
      </c>
      <c r="K8" s="94">
        <v>10</v>
      </c>
      <c r="L8" s="94">
        <v>11</v>
      </c>
      <c r="M8" s="94">
        <v>12</v>
      </c>
      <c r="N8" s="94">
        <v>13</v>
      </c>
      <c r="O8" s="94">
        <v>14</v>
      </c>
      <c r="P8" s="94">
        <v>15</v>
      </c>
      <c r="Q8" s="94">
        <v>16</v>
      </c>
      <c r="R8" s="94">
        <v>17</v>
      </c>
    </row>
    <row r="9" spans="1:18" ht="102.6" customHeight="1" x14ac:dyDescent="0.25">
      <c r="A9" s="371">
        <v>1</v>
      </c>
      <c r="B9" s="371" t="s">
        <v>357</v>
      </c>
      <c r="C9" s="391" t="s">
        <v>313</v>
      </c>
      <c r="D9" s="98" t="s">
        <v>358</v>
      </c>
      <c r="E9" s="99">
        <v>11656.266250000001</v>
      </c>
      <c r="F9" s="99">
        <f t="shared" ref="F9:F14" si="0">G9+H9+I9</f>
        <v>9442.6878704999999</v>
      </c>
      <c r="G9" s="99">
        <f>G10*E28</f>
        <v>2331.6699567000001</v>
      </c>
      <c r="H9" s="99">
        <f>H10*E28</f>
        <v>1695.3600216</v>
      </c>
      <c r="I9" s="99">
        <f>I10*E30</f>
        <v>5415.6578921999999</v>
      </c>
      <c r="J9" s="99"/>
      <c r="K9" s="99">
        <f>K10*1.19*E33</f>
        <v>136.37044035299999</v>
      </c>
      <c r="L9" s="99">
        <v>0</v>
      </c>
      <c r="M9" s="99">
        <f>M10*1.266*E34</f>
        <v>66.539350027799998</v>
      </c>
      <c r="N9" s="100">
        <f t="shared" ref="N9:N22" si="1">K9/(G9+H9)</f>
        <v>3.3863775806946002E-2</v>
      </c>
      <c r="O9" s="100">
        <f t="shared" ref="O9:O22" si="2">L9/(G9+H9)</f>
        <v>0</v>
      </c>
      <c r="P9" s="100">
        <f t="shared" ref="P9:P22" si="3">M9/(G9+H9)</f>
        <v>1.652318219292E-2</v>
      </c>
      <c r="Q9" s="101">
        <v>0</v>
      </c>
      <c r="R9" s="102">
        <f>N9+O9+P9+Q9</f>
        <v>5.0386957999864999E-2</v>
      </c>
    </row>
    <row r="10" spans="1:18" ht="72.599999999999994" hidden="1" customHeight="1" x14ac:dyDescent="0.25">
      <c r="A10" s="373"/>
      <c r="B10" s="372"/>
      <c r="C10" s="392"/>
      <c r="D10" s="98" t="s">
        <v>359</v>
      </c>
      <c r="E10" s="99">
        <v>2179.8248199999998</v>
      </c>
      <c r="F10" s="99">
        <f t="shared" si="0"/>
        <v>1875.52594</v>
      </c>
      <c r="G10" s="99">
        <f>382868.63/1000</f>
        <v>382.86863</v>
      </c>
      <c r="H10" s="99">
        <f>278384.24/1000</f>
        <v>278.38423999999998</v>
      </c>
      <c r="I10" s="99">
        <f>1214273.07/1000</f>
        <v>1214.27307</v>
      </c>
      <c r="J10" s="99"/>
      <c r="K10" s="99">
        <f>29920.89/1000</f>
        <v>29.92089</v>
      </c>
      <c r="L10" s="99">
        <v>0</v>
      </c>
      <c r="M10" s="99">
        <f>13442.13/1000</f>
        <v>13.442130000000001</v>
      </c>
      <c r="N10" s="100">
        <f t="shared" si="1"/>
        <v>4.5248786595059001E-2</v>
      </c>
      <c r="O10" s="100">
        <f t="shared" si="2"/>
        <v>0</v>
      </c>
      <c r="P10" s="100">
        <f t="shared" si="3"/>
        <v>2.0328274718868E-2</v>
      </c>
      <c r="Q10" s="101">
        <v>0</v>
      </c>
      <c r="R10" s="102"/>
    </row>
    <row r="11" spans="1:18" ht="192.75" customHeight="1" x14ac:dyDescent="0.25">
      <c r="A11" s="371">
        <v>2</v>
      </c>
      <c r="B11" s="372"/>
      <c r="C11" s="391" t="s">
        <v>360</v>
      </c>
      <c r="D11" s="103" t="s">
        <v>358</v>
      </c>
      <c r="E11" s="99">
        <v>688044.21</v>
      </c>
      <c r="F11" s="99">
        <f t="shared" si="0"/>
        <v>521424.06839999999</v>
      </c>
      <c r="G11" s="99">
        <f>G12*F28</f>
        <v>99804.705000000002</v>
      </c>
      <c r="H11" s="99">
        <f>H12*F28</f>
        <v>246917.90760000001</v>
      </c>
      <c r="I11" s="99">
        <f>I12*F30</f>
        <v>174701.4558</v>
      </c>
      <c r="J11" s="99"/>
      <c r="K11" s="99">
        <f>K12*1.19*F33</f>
        <v>8486.4829769999997</v>
      </c>
      <c r="L11" s="99">
        <f>L12*1.19*F33</f>
        <v>11572.501646999999</v>
      </c>
      <c r="M11" s="99">
        <f>M12*1.266*F34</f>
        <v>3883.6190735999999</v>
      </c>
      <c r="N11" s="100">
        <f t="shared" si="1"/>
        <v>2.4476289311970999E-2</v>
      </c>
      <c r="O11" s="100">
        <f t="shared" si="2"/>
        <v>3.3376829853179003E-2</v>
      </c>
      <c r="P11" s="100">
        <f t="shared" si="3"/>
        <v>1.1200939692042E-2</v>
      </c>
      <c r="Q11" s="101">
        <v>0</v>
      </c>
      <c r="R11" s="102">
        <f>N11+O11+P11+Q11</f>
        <v>6.9054058857192999E-2</v>
      </c>
    </row>
    <row r="12" spans="1:18" ht="100.9" hidden="1" customHeight="1" x14ac:dyDescent="0.25">
      <c r="A12" s="373"/>
      <c r="B12" s="373"/>
      <c r="C12" s="392"/>
      <c r="D12" s="103" t="s">
        <v>359</v>
      </c>
      <c r="E12" s="99">
        <v>116471.93</v>
      </c>
      <c r="F12" s="99">
        <f t="shared" si="0"/>
        <v>91466.75</v>
      </c>
      <c r="G12" s="99">
        <v>15053.5</v>
      </c>
      <c r="H12" s="99">
        <v>37242.519999999997</v>
      </c>
      <c r="I12" s="99">
        <v>39170.730000000003</v>
      </c>
      <c r="J12" s="99"/>
      <c r="K12" s="99">
        <v>1862.01</v>
      </c>
      <c r="L12" s="99">
        <v>2539.11</v>
      </c>
      <c r="M12" s="99">
        <v>784.56</v>
      </c>
      <c r="N12" s="100">
        <f t="shared" si="1"/>
        <v>3.5605195194586998E-2</v>
      </c>
      <c r="O12" s="100">
        <f t="shared" si="2"/>
        <v>4.8552643203058E-2</v>
      </c>
      <c r="P12" s="100">
        <f t="shared" si="3"/>
        <v>1.5002288893112999E-2</v>
      </c>
      <c r="Q12" s="101">
        <v>0</v>
      </c>
      <c r="R12" s="102"/>
    </row>
    <row r="13" spans="1:18" ht="49.15" customHeight="1" x14ac:dyDescent="0.25">
      <c r="A13" s="371">
        <v>3</v>
      </c>
      <c r="B13" s="371" t="s">
        <v>315</v>
      </c>
      <c r="C13" s="393" t="s">
        <v>316</v>
      </c>
      <c r="D13" s="98" t="s">
        <v>361</v>
      </c>
      <c r="E13" s="99">
        <v>170961.79</v>
      </c>
      <c r="F13" s="99">
        <f t="shared" si="0"/>
        <v>129121.52159999999</v>
      </c>
      <c r="G13" s="99">
        <f>G14*G28</f>
        <v>91503.198799999998</v>
      </c>
      <c r="H13" s="99">
        <f>H14*G28</f>
        <v>37618.322800000002</v>
      </c>
      <c r="I13" s="99">
        <f>I14*G30</f>
        <v>0</v>
      </c>
      <c r="J13" s="99"/>
      <c r="K13" s="59">
        <f>K14*1.19*G33</f>
        <v>1996.481088</v>
      </c>
      <c r="L13" s="59">
        <f>L14*1.19*G33</f>
        <v>2500.7293079999999</v>
      </c>
      <c r="M13" s="59">
        <f>M14*1.266*G34</f>
        <v>200.53819799999999</v>
      </c>
      <c r="N13" s="100">
        <f t="shared" si="1"/>
        <v>1.5462031915832E-2</v>
      </c>
      <c r="O13" s="100">
        <f t="shared" si="2"/>
        <v>1.9367254017862E-2</v>
      </c>
      <c r="P13" s="100">
        <f t="shared" si="3"/>
        <v>1.5530966140659E-3</v>
      </c>
      <c r="Q13" s="101">
        <v>4.5614105389631997E-3</v>
      </c>
      <c r="R13" s="102">
        <f>N13+O13+P13+Q13</f>
        <v>4.0943793086723003E-2</v>
      </c>
    </row>
    <row r="14" spans="1:18" ht="57" hidden="1" customHeight="1" x14ac:dyDescent="0.25">
      <c r="A14" s="373"/>
      <c r="B14" s="372"/>
      <c r="C14" s="394"/>
      <c r="D14" s="98" t="s">
        <v>359</v>
      </c>
      <c r="E14" s="99">
        <v>29033.31</v>
      </c>
      <c r="F14" s="99">
        <f t="shared" si="0"/>
        <v>22378.080000000002</v>
      </c>
      <c r="G14" s="99">
        <v>15858.44</v>
      </c>
      <c r="H14" s="99">
        <v>6519.64</v>
      </c>
      <c r="I14" s="99">
        <v>0</v>
      </c>
      <c r="J14" s="99"/>
      <c r="K14" s="59">
        <v>420.48</v>
      </c>
      <c r="L14" s="59">
        <v>526.67999999999995</v>
      </c>
      <c r="M14" s="59">
        <v>39.700000000000003</v>
      </c>
      <c r="N14" s="100">
        <f t="shared" si="1"/>
        <v>1.8789815748268001E-2</v>
      </c>
      <c r="O14" s="100">
        <f t="shared" si="2"/>
        <v>2.3535531198387E-2</v>
      </c>
      <c r="P14" s="100">
        <f t="shared" si="3"/>
        <v>1.7740574705247E-3</v>
      </c>
      <c r="Q14" s="101">
        <v>4.9753003421204997E-3</v>
      </c>
      <c r="R14" s="102"/>
    </row>
    <row r="15" spans="1:18" ht="67.900000000000006" customHeight="1" x14ac:dyDescent="0.25">
      <c r="A15" s="371">
        <v>4</v>
      </c>
      <c r="B15" s="372"/>
      <c r="C15" s="395" t="s">
        <v>317</v>
      </c>
      <c r="D15" s="104" t="s">
        <v>361</v>
      </c>
      <c r="E15" s="99">
        <v>725870.83</v>
      </c>
      <c r="F15" s="99">
        <v>551588.679</v>
      </c>
      <c r="G15" s="99">
        <v>319494.33</v>
      </c>
      <c r="H15" s="99">
        <v>231687.44</v>
      </c>
      <c r="I15" s="99">
        <v>406.85</v>
      </c>
      <c r="J15" s="99"/>
      <c r="K15" s="99">
        <v>12415.71</v>
      </c>
      <c r="L15" s="99">
        <v>14808.286339</v>
      </c>
      <c r="M15" s="99">
        <v>3822.96</v>
      </c>
      <c r="N15" s="100">
        <f t="shared" si="1"/>
        <v>2.2525618000755001E-2</v>
      </c>
      <c r="O15" s="100">
        <f t="shared" si="2"/>
        <v>2.6866429814977E-2</v>
      </c>
      <c r="P15" s="100">
        <f t="shared" si="3"/>
        <v>6.9359333128888E-3</v>
      </c>
      <c r="Q15" s="101">
        <v>3.5515340532281999E-3</v>
      </c>
      <c r="R15" s="102">
        <f>N15+O15+P15+Q15</f>
        <v>5.9879515181849002E-2</v>
      </c>
    </row>
    <row r="16" spans="1:18" ht="67.900000000000006" hidden="1" customHeight="1" x14ac:dyDescent="0.25">
      <c r="A16" s="373"/>
      <c r="B16" s="373"/>
      <c r="C16" s="396"/>
      <c r="D16" s="104" t="s">
        <v>359</v>
      </c>
      <c r="E16" s="99">
        <v>125177.97</v>
      </c>
      <c r="F16" s="99">
        <v>95613.7</v>
      </c>
      <c r="G16" s="99">
        <v>55371.64</v>
      </c>
      <c r="H16" s="99">
        <v>40153.81</v>
      </c>
      <c r="I16" s="99">
        <v>88.25</v>
      </c>
      <c r="J16" s="99"/>
      <c r="K16" s="99">
        <v>2724.12</v>
      </c>
      <c r="L16" s="99">
        <v>3249.07</v>
      </c>
      <c r="M16" s="99">
        <v>772.31</v>
      </c>
      <c r="N16" s="100">
        <f t="shared" si="1"/>
        <v>2.8517217139516E-2</v>
      </c>
      <c r="O16" s="100">
        <f t="shared" si="2"/>
        <v>3.4012611298874E-2</v>
      </c>
      <c r="P16" s="100">
        <f t="shared" si="3"/>
        <v>8.0848611548021993E-3</v>
      </c>
      <c r="Q16" s="101">
        <v>3.8737899135989E-3</v>
      </c>
      <c r="R16" s="102"/>
    </row>
    <row r="17" spans="1:18" ht="67.900000000000006" customHeight="1" x14ac:dyDescent="0.25">
      <c r="A17" s="371">
        <v>5</v>
      </c>
      <c r="B17" s="386" t="s">
        <v>318</v>
      </c>
      <c r="C17" s="391" t="s">
        <v>362</v>
      </c>
      <c r="D17" s="98" t="s">
        <v>363</v>
      </c>
      <c r="E17" s="99">
        <v>561932.85</v>
      </c>
      <c r="F17" s="99">
        <f>G17+H17+I17</f>
        <v>399667.21620000002</v>
      </c>
      <c r="G17" s="99">
        <f>G18*I28</f>
        <v>163785.296</v>
      </c>
      <c r="H17" s="99">
        <f>H18*I28</f>
        <v>147763.611</v>
      </c>
      <c r="I17" s="99">
        <f>I18*I30</f>
        <v>88118.309200000003</v>
      </c>
      <c r="J17" s="99"/>
      <c r="K17" s="99">
        <f>K18*1.19*I33</f>
        <v>19215.596995</v>
      </c>
      <c r="L17" s="99">
        <f>L18*1.19*I33</f>
        <v>0</v>
      </c>
      <c r="M17" s="99">
        <f>M18*1.266*I34</f>
        <v>1734.8322095999999</v>
      </c>
      <c r="N17" s="100">
        <f t="shared" si="1"/>
        <v>6.1677626090981999E-2</v>
      </c>
      <c r="O17" s="100">
        <f t="shared" si="2"/>
        <v>0</v>
      </c>
      <c r="P17" s="100">
        <f t="shared" si="3"/>
        <v>5.5684105147574998E-3</v>
      </c>
      <c r="Q17" s="101">
        <v>5.5643872525604002E-3</v>
      </c>
      <c r="R17" s="102">
        <f>N17+O17+P17+Q17</f>
        <v>7.2810423858299E-2</v>
      </c>
    </row>
    <row r="18" spans="1:18" ht="67.900000000000006" hidden="1" customHeight="1" x14ac:dyDescent="0.25">
      <c r="A18" s="373"/>
      <c r="B18" s="386"/>
      <c r="C18" s="392"/>
      <c r="D18" s="98" t="s">
        <v>359</v>
      </c>
      <c r="E18" s="99">
        <v>94393.09</v>
      </c>
      <c r="F18" s="99">
        <f>G18+H18+I18</f>
        <v>69651.210000000006</v>
      </c>
      <c r="G18" s="99">
        <v>25792.959999999999</v>
      </c>
      <c r="H18" s="99">
        <v>23269.86</v>
      </c>
      <c r="I18" s="99">
        <v>20588.39</v>
      </c>
      <c r="J18" s="99"/>
      <c r="K18" s="99">
        <v>4087.99</v>
      </c>
      <c r="L18" s="99">
        <v>0</v>
      </c>
      <c r="M18" s="99">
        <v>343.44</v>
      </c>
      <c r="N18" s="100">
        <f t="shared" si="1"/>
        <v>8.3321545724441004E-2</v>
      </c>
      <c r="O18" s="100">
        <f t="shared" si="2"/>
        <v>0</v>
      </c>
      <c r="P18" s="100">
        <f t="shared" si="3"/>
        <v>7.0000052993284996E-3</v>
      </c>
      <c r="Q18" s="101">
        <v>9.4728844648146997E-3</v>
      </c>
      <c r="R18" s="102"/>
    </row>
    <row r="19" spans="1:18" ht="67.900000000000006" customHeight="1" x14ac:dyDescent="0.25">
      <c r="A19" s="371">
        <v>6</v>
      </c>
      <c r="B19" s="386"/>
      <c r="C19" s="391" t="s">
        <v>320</v>
      </c>
      <c r="D19" s="104" t="s">
        <v>361</v>
      </c>
      <c r="E19" s="99">
        <v>738823.57</v>
      </c>
      <c r="F19" s="99">
        <v>511472.86</v>
      </c>
      <c r="G19" s="99">
        <v>257334.67</v>
      </c>
      <c r="H19" s="99">
        <v>230898.09</v>
      </c>
      <c r="I19" s="99">
        <v>23240.1</v>
      </c>
      <c r="J19" s="99"/>
      <c r="K19" s="99">
        <v>19584.188309000001</v>
      </c>
      <c r="L19" s="99">
        <v>0</v>
      </c>
      <c r="M19" s="99">
        <v>2539.5687809999999</v>
      </c>
      <c r="N19" s="100">
        <f t="shared" si="1"/>
        <v>4.0112401119907999E-2</v>
      </c>
      <c r="O19" s="100">
        <f t="shared" si="2"/>
        <v>0</v>
      </c>
      <c r="P19" s="100">
        <f t="shared" si="3"/>
        <v>5.2015534168579998E-3</v>
      </c>
      <c r="Q19" s="101">
        <v>5.1286902198045999E-3</v>
      </c>
      <c r="R19" s="102">
        <f>N19+O19+P19+Q19</f>
        <v>5.0442644756571002E-2</v>
      </c>
    </row>
    <row r="20" spans="1:18" ht="67.900000000000006" hidden="1" customHeight="1" x14ac:dyDescent="0.25">
      <c r="A20" s="373"/>
      <c r="B20" s="386"/>
      <c r="C20" s="392"/>
      <c r="D20" s="104" t="s">
        <v>359</v>
      </c>
      <c r="E20" s="99">
        <v>128717.35</v>
      </c>
      <c r="F20" s="99">
        <v>89613.6</v>
      </c>
      <c r="G20" s="99">
        <v>44598.73</v>
      </c>
      <c r="H20" s="99">
        <v>40017</v>
      </c>
      <c r="I20" s="99">
        <v>4997.87</v>
      </c>
      <c r="J20" s="99"/>
      <c r="K20" s="99">
        <v>4023.79</v>
      </c>
      <c r="L20" s="99">
        <v>0</v>
      </c>
      <c r="M20" s="99">
        <v>481.05</v>
      </c>
      <c r="N20" s="100">
        <f t="shared" si="1"/>
        <v>4.7553687712675E-2</v>
      </c>
      <c r="O20" s="100">
        <f t="shared" si="2"/>
        <v>0</v>
      </c>
      <c r="P20" s="100">
        <f t="shared" si="3"/>
        <v>5.6851131580381003E-3</v>
      </c>
      <c r="Q20" s="101">
        <v>5.5940533914911996E-3</v>
      </c>
      <c r="R20" s="102"/>
    </row>
    <row r="21" spans="1:18" ht="67.900000000000006" customHeight="1" x14ac:dyDescent="0.25">
      <c r="A21" s="371">
        <v>7</v>
      </c>
      <c r="B21" s="371" t="s">
        <v>321</v>
      </c>
      <c r="C21" s="391" t="s">
        <v>322</v>
      </c>
      <c r="D21" s="104" t="s">
        <v>364</v>
      </c>
      <c r="E21" s="99">
        <v>16001185.93</v>
      </c>
      <c r="F21" s="99">
        <f>G21+H21+I21+J21</f>
        <v>6269109.2307000002</v>
      </c>
      <c r="G21" s="99">
        <f>123094.59*K28+325303.92*K29</f>
        <v>2908258.6863000002</v>
      </c>
      <c r="H21" s="99">
        <f>110226.08*K28+375865.25*K29</f>
        <v>3158998.0832000002</v>
      </c>
      <c r="I21" s="99">
        <f>I22*K30</f>
        <v>201852.46119999999</v>
      </c>
      <c r="J21" s="99">
        <f>J22*K35</f>
        <v>0</v>
      </c>
      <c r="K21" s="99">
        <f>K22*K33*1.19</f>
        <v>48825.362634999998</v>
      </c>
      <c r="L21" s="99">
        <f>L22*1.19*K33</f>
        <v>73238.020449999996</v>
      </c>
      <c r="M21" s="99">
        <f>M22*K34*1.266</f>
        <v>11514.8831238</v>
      </c>
      <c r="N21" s="100">
        <f t="shared" si="1"/>
        <v>8.0473539343916007E-3</v>
      </c>
      <c r="O21" s="100">
        <f t="shared" si="2"/>
        <v>1.2071027027926E-2</v>
      </c>
      <c r="P21" s="100">
        <f t="shared" si="3"/>
        <v>1.8978730522309999E-3</v>
      </c>
      <c r="Q21" s="101">
        <v>5.9210415358545E-4</v>
      </c>
      <c r="R21" s="102">
        <f>N21+O21+P21+Q21</f>
        <v>2.2608358168133998E-2</v>
      </c>
    </row>
    <row r="22" spans="1:18" ht="67.900000000000006" hidden="1" customHeight="1" x14ac:dyDescent="0.25">
      <c r="A22" s="373"/>
      <c r="B22" s="373"/>
      <c r="C22" s="392"/>
      <c r="D22" s="105" t="s">
        <v>359</v>
      </c>
      <c r="E22" s="106">
        <v>2195184.4700000002</v>
      </c>
      <c r="F22" s="106">
        <f>G22+H22+I22+J22</f>
        <v>981651.63</v>
      </c>
      <c r="G22" s="106">
        <f>123094.59+325303.92</f>
        <v>448398.51</v>
      </c>
      <c r="H22" s="106">
        <f>110226.08+375865.25</f>
        <v>486091.33</v>
      </c>
      <c r="I22" s="106">
        <v>47161.79</v>
      </c>
      <c r="J22" s="106">
        <v>0</v>
      </c>
      <c r="K22" s="106">
        <v>10387.27</v>
      </c>
      <c r="L22" s="106">
        <v>15580.9</v>
      </c>
      <c r="M22" s="106">
        <v>2279.5700000000002</v>
      </c>
      <c r="N22" s="107">
        <f t="shared" si="1"/>
        <v>1.1115444551008E-2</v>
      </c>
      <c r="O22" s="107">
        <f t="shared" si="2"/>
        <v>1.6673161475998E-2</v>
      </c>
      <c r="P22" s="107">
        <f t="shared" si="3"/>
        <v>2.4393737656901999E-3</v>
      </c>
      <c r="Q22" s="108">
        <v>7.7662380726578996E-4</v>
      </c>
      <c r="R22" s="109"/>
    </row>
    <row r="23" spans="1:18" ht="67.900000000000006" customHeight="1" x14ac:dyDescent="0.25">
      <c r="A23" s="110"/>
      <c r="B23" s="110"/>
      <c r="C23" s="111" t="s">
        <v>365</v>
      </c>
      <c r="D23" s="112"/>
      <c r="E23" s="113"/>
      <c r="F23" s="113"/>
      <c r="G23" s="113"/>
      <c r="H23" s="113"/>
      <c r="I23" s="113"/>
      <c r="J23" s="113"/>
      <c r="K23" s="113"/>
      <c r="L23" s="113"/>
      <c r="M23" s="113"/>
      <c r="N23" s="114">
        <f>(N9+N11+N13+N15+N17+N19+N21)/7</f>
        <v>2.9452156597254999E-2</v>
      </c>
      <c r="O23" s="114">
        <f>(O9+O11+O13+O15+O17+O19+O21)/7</f>
        <v>1.3097362959135E-2</v>
      </c>
      <c r="P23" s="114">
        <f>(P9+P11+P13+P15+P17+P19+P21)/7</f>
        <v>6.9829983993947003E-3</v>
      </c>
      <c r="Q23" s="114">
        <f>(Q9+Q11+Q13+Q15+Q17+Q19+Q21)/7</f>
        <v>2.7711608883059999E-3</v>
      </c>
      <c r="R23" s="114">
        <f>N23+O23+P23+Q23</f>
        <v>5.2303678844090998E-2</v>
      </c>
    </row>
    <row r="24" spans="1:18" ht="67.900000000000006" customHeight="1" x14ac:dyDescent="0.25">
      <c r="A24" s="115"/>
      <c r="B24" s="115"/>
      <c r="C24" s="116"/>
      <c r="D24" s="117"/>
      <c r="E24" s="118"/>
      <c r="F24" s="118"/>
      <c r="G24" s="118"/>
      <c r="H24" s="118"/>
      <c r="I24" s="118"/>
      <c r="J24" s="118"/>
      <c r="K24" s="118"/>
      <c r="L24" s="118"/>
      <c r="M24" s="118"/>
      <c r="N24" s="119"/>
      <c r="O24" s="119"/>
      <c r="P24" s="119"/>
      <c r="Q24" s="71"/>
    </row>
    <row r="26" spans="1:18" ht="14.45" customHeight="1" outlineLevel="1" x14ac:dyDescent="0.25">
      <c r="D26" s="397" t="s">
        <v>366</v>
      </c>
      <c r="E26" s="397"/>
      <c r="F26" s="397"/>
      <c r="G26" s="397"/>
      <c r="H26" s="397"/>
      <c r="I26" s="397"/>
      <c r="J26" s="397"/>
      <c r="K26" s="397"/>
      <c r="L26" s="120"/>
      <c r="R26" s="121"/>
    </row>
    <row r="27" spans="1:18" outlineLevel="1" x14ac:dyDescent="0.25">
      <c r="D27" s="122"/>
      <c r="E27" s="122" t="s">
        <v>326</v>
      </c>
      <c r="F27" s="122" t="s">
        <v>327</v>
      </c>
      <c r="G27" s="122" t="s">
        <v>328</v>
      </c>
      <c r="H27" s="123" t="s">
        <v>329</v>
      </c>
      <c r="I27" s="123" t="s">
        <v>330</v>
      </c>
      <c r="J27" s="123" t="s">
        <v>331</v>
      </c>
      <c r="K27" s="110" t="s">
        <v>332</v>
      </c>
      <c r="L27" s="51"/>
    </row>
    <row r="28" spans="1:18" outlineLevel="1" x14ac:dyDescent="0.25">
      <c r="D28" s="398" t="s">
        <v>333</v>
      </c>
      <c r="E28" s="400">
        <v>6.09</v>
      </c>
      <c r="F28" s="402">
        <v>6.63</v>
      </c>
      <c r="G28" s="400">
        <v>5.77</v>
      </c>
      <c r="H28" s="404">
        <v>5.77</v>
      </c>
      <c r="I28" s="404">
        <v>6.35</v>
      </c>
      <c r="J28" s="400">
        <v>5.77</v>
      </c>
      <c r="K28" s="124">
        <v>6.29</v>
      </c>
      <c r="L28" s="86" t="s">
        <v>334</v>
      </c>
      <c r="M28" s="51"/>
    </row>
    <row r="29" spans="1:18" outlineLevel="1" x14ac:dyDescent="0.25">
      <c r="D29" s="399"/>
      <c r="E29" s="401"/>
      <c r="F29" s="403"/>
      <c r="G29" s="401"/>
      <c r="H29" s="405"/>
      <c r="I29" s="405"/>
      <c r="J29" s="401"/>
      <c r="K29" s="124">
        <v>6.56</v>
      </c>
      <c r="L29" s="86" t="s">
        <v>335</v>
      </c>
      <c r="M29" s="51"/>
    </row>
    <row r="30" spans="1:18" outlineLevel="1" x14ac:dyDescent="0.25">
      <c r="D30" s="125" t="s">
        <v>336</v>
      </c>
      <c r="E30" s="126">
        <v>4.46</v>
      </c>
      <c r="F30" s="122">
        <v>4.46</v>
      </c>
      <c r="G30" s="127">
        <v>4.6500000000000004</v>
      </c>
      <c r="H30" s="123">
        <v>4.6100000000000003</v>
      </c>
      <c r="I30" s="123">
        <v>4.28</v>
      </c>
      <c r="J30" s="124">
        <v>4.6500000000000004</v>
      </c>
      <c r="K30" s="124">
        <v>4.28</v>
      </c>
      <c r="L30" s="51"/>
    </row>
    <row r="31" spans="1:18" s="86" customFormat="1" outlineLevel="1" x14ac:dyDescent="0.25">
      <c r="D31" s="398" t="s">
        <v>310</v>
      </c>
      <c r="E31" s="400">
        <v>11.37</v>
      </c>
      <c r="F31" s="402">
        <v>13.56</v>
      </c>
      <c r="G31" s="400">
        <v>15.91</v>
      </c>
      <c r="H31" s="404">
        <v>15.91</v>
      </c>
      <c r="I31" s="404">
        <v>14.03</v>
      </c>
      <c r="J31" s="400">
        <v>15.91</v>
      </c>
      <c r="K31" s="124">
        <v>8.2899999999999991</v>
      </c>
      <c r="L31" s="86" t="s">
        <v>334</v>
      </c>
      <c r="R31" s="115"/>
    </row>
    <row r="32" spans="1:18" s="86" customFormat="1" outlineLevel="1" x14ac:dyDescent="0.25">
      <c r="D32" s="399"/>
      <c r="E32" s="401"/>
      <c r="F32" s="403"/>
      <c r="G32" s="401"/>
      <c r="H32" s="405"/>
      <c r="I32" s="405"/>
      <c r="J32" s="401"/>
      <c r="K32" s="124">
        <v>11.84</v>
      </c>
      <c r="L32" s="86" t="s">
        <v>335</v>
      </c>
      <c r="R32" s="115"/>
    </row>
    <row r="33" spans="4:18" s="86" customFormat="1" ht="15" customHeight="1" outlineLevel="1" x14ac:dyDescent="0.25">
      <c r="D33" s="128" t="s">
        <v>337</v>
      </c>
      <c r="E33" s="129">
        <v>3.83</v>
      </c>
      <c r="F33" s="130">
        <v>3.83</v>
      </c>
      <c r="G33" s="131">
        <v>3.99</v>
      </c>
      <c r="H33" s="132">
        <v>3.83</v>
      </c>
      <c r="I33" s="132">
        <v>3.95</v>
      </c>
      <c r="J33" s="133">
        <v>4.09</v>
      </c>
      <c r="K33" s="124">
        <v>3.95</v>
      </c>
      <c r="L33" s="86" t="s">
        <v>367</v>
      </c>
      <c r="R33" s="115"/>
    </row>
    <row r="34" spans="4:18" s="86" customFormat="1" outlineLevel="1" x14ac:dyDescent="0.25">
      <c r="D34" s="128" t="s">
        <v>338</v>
      </c>
      <c r="E34" s="129">
        <v>3.91</v>
      </c>
      <c r="F34" s="130">
        <v>3.91</v>
      </c>
      <c r="G34" s="131">
        <v>3.99</v>
      </c>
      <c r="H34" s="132">
        <v>3.91</v>
      </c>
      <c r="I34" s="132">
        <v>3.99</v>
      </c>
      <c r="J34" s="133">
        <v>4.17</v>
      </c>
      <c r="K34" s="124">
        <v>3.99</v>
      </c>
      <c r="L34" s="86" t="s">
        <v>367</v>
      </c>
      <c r="R34" s="115"/>
    </row>
    <row r="35" spans="4:18" s="86" customFormat="1" outlineLevel="1" x14ac:dyDescent="0.25">
      <c r="D35" s="125" t="s">
        <v>277</v>
      </c>
      <c r="E35" s="126">
        <v>8.7899999999999991</v>
      </c>
      <c r="F35" s="122">
        <v>8.7899999999999991</v>
      </c>
      <c r="G35" s="127">
        <v>9.19</v>
      </c>
      <c r="H35" s="123">
        <v>9.1</v>
      </c>
      <c r="I35" s="123">
        <v>8.42</v>
      </c>
      <c r="J35" s="124">
        <v>9.19</v>
      </c>
      <c r="K35" s="124">
        <v>8.42</v>
      </c>
      <c r="R35" s="115"/>
    </row>
    <row r="36" spans="4:18" s="86" customFormat="1" x14ac:dyDescent="0.25">
      <c r="R36" s="115"/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  <col min="6" max="6" width="9.140625" style="5"/>
  </cols>
  <sheetData>
    <row r="2" spans="1:4" x14ac:dyDescent="0.25">
      <c r="A2" s="311" t="s">
        <v>10</v>
      </c>
      <c r="B2" s="311"/>
      <c r="C2" s="311"/>
      <c r="D2" s="311"/>
    </row>
    <row r="3" spans="1:4" x14ac:dyDescent="0.25">
      <c r="A3" s="1"/>
      <c r="B3" s="1"/>
      <c r="C3" s="1"/>
    </row>
    <row r="4" spans="1:4" ht="63.6" customHeight="1" x14ac:dyDescent="0.25">
      <c r="A4" s="6" t="s">
        <v>11</v>
      </c>
      <c r="B4" s="1" t="str">
        <f>'4.1 Отдел 1'!A10</f>
        <v>И5-05-02</v>
      </c>
      <c r="C4" s="314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314"/>
    </row>
    <row r="5" spans="1:4" x14ac:dyDescent="0.25">
      <c r="A5" s="6"/>
      <c r="B5" s="1"/>
      <c r="C5" s="1"/>
    </row>
    <row r="6" spans="1:4" x14ac:dyDescent="0.25">
      <c r="A6" s="311" t="s">
        <v>12</v>
      </c>
      <c r="B6" s="311"/>
      <c r="C6" s="311"/>
      <c r="D6" s="311"/>
    </row>
    <row r="8" spans="1:4" hidden="1" outlineLevel="1" x14ac:dyDescent="0.25">
      <c r="A8" s="7" t="s">
        <v>13</v>
      </c>
      <c r="B8" s="7" t="s">
        <v>14</v>
      </c>
      <c r="C8" s="7" t="s">
        <v>15</v>
      </c>
    </row>
    <row r="9" spans="1:4" hidden="1" outlineLevel="1" x14ac:dyDescent="0.25">
      <c r="A9" s="8" t="s">
        <v>16</v>
      </c>
      <c r="B9" s="9" t="s">
        <v>17</v>
      </c>
      <c r="C9" s="3" t="e">
        <f>#REF!/1000</f>
        <v>#REF!</v>
      </c>
    </row>
    <row r="10" spans="1:4" hidden="1" outlineLevel="1" x14ac:dyDescent="0.25">
      <c r="A10" s="8" t="s">
        <v>18</v>
      </c>
      <c r="B10" s="9" t="s">
        <v>19</v>
      </c>
      <c r="C10" s="3"/>
    </row>
    <row r="11" spans="1:4" ht="39" hidden="1" customHeight="1" outlineLevel="1" x14ac:dyDescent="0.25">
      <c r="A11" s="8" t="s">
        <v>20</v>
      </c>
      <c r="B11" s="9" t="s">
        <v>21</v>
      </c>
      <c r="C11" s="3" t="e">
        <f>#REF!/1000</f>
        <v>#REF!</v>
      </c>
    </row>
    <row r="12" spans="1:4" ht="25.5" hidden="1" customHeight="1" outlineLevel="1" x14ac:dyDescent="0.25">
      <c r="A12" s="8" t="s">
        <v>22</v>
      </c>
      <c r="B12" s="9" t="s">
        <v>23</v>
      </c>
      <c r="C12" s="3" t="e">
        <f>#REF!/1000</f>
        <v>#REF!</v>
      </c>
    </row>
    <row r="13" spans="1:4" ht="26.45" hidden="1" customHeight="1" outlineLevel="1" x14ac:dyDescent="0.25">
      <c r="A13" s="8" t="s">
        <v>24</v>
      </c>
      <c r="B13" s="9" t="s">
        <v>25</v>
      </c>
      <c r="C13" s="3" t="e">
        <f>#REF!/1000</f>
        <v>#REF!</v>
      </c>
    </row>
    <row r="14" spans="1:4" ht="25.5" hidden="1" customHeight="1" outlineLevel="1" x14ac:dyDescent="0.25">
      <c r="A14" s="8" t="s">
        <v>26</v>
      </c>
      <c r="B14" s="9" t="s">
        <v>27</v>
      </c>
      <c r="C14" s="3">
        <v>0</v>
      </c>
    </row>
    <row r="15" spans="1:4" collapsed="1" x14ac:dyDescent="0.25">
      <c r="A15" s="315" t="s">
        <v>5</v>
      </c>
      <c r="B15" s="316" t="s">
        <v>15</v>
      </c>
      <c r="C15" s="316"/>
      <c r="D15" s="316"/>
    </row>
    <row r="16" spans="1:4" x14ac:dyDescent="0.25">
      <c r="A16" s="315"/>
      <c r="B16" s="315" t="s">
        <v>17</v>
      </c>
      <c r="C16" s="316" t="s">
        <v>28</v>
      </c>
      <c r="D16" s="316"/>
    </row>
    <row r="17" spans="1:4" ht="39" customHeight="1" x14ac:dyDescent="0.25">
      <c r="A17" s="315"/>
      <c r="B17" s="315"/>
      <c r="C17" s="10" t="s">
        <v>21</v>
      </c>
      <c r="D17" s="11" t="s">
        <v>23</v>
      </c>
    </row>
    <row r="18" spans="1:4" x14ac:dyDescent="0.25">
      <c r="A18" s="137" t="str">
        <f>B4</f>
        <v>И5-05-02</v>
      </c>
      <c r="B18" s="12" t="e">
        <f>C9</f>
        <v>#REF!</v>
      </c>
      <c r="C18" s="12" t="e">
        <f>C11</f>
        <v>#REF!</v>
      </c>
      <c r="D18" s="12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3" customWidth="1"/>
    <col min="7" max="7" width="11.140625" style="13" customWidth="1"/>
    <col min="8" max="8" width="9.5703125" style="13" customWidth="1"/>
    <col min="9" max="9" width="13.140625" style="14" customWidth="1"/>
    <col min="10" max="10" width="9.140625" style="14"/>
    <col min="11" max="11" width="9.140625" style="5"/>
  </cols>
  <sheetData>
    <row r="2" spans="1:10" x14ac:dyDescent="0.25">
      <c r="A2" s="317" t="s">
        <v>29</v>
      </c>
      <c r="B2" s="317"/>
      <c r="C2" s="317"/>
      <c r="D2" s="317"/>
    </row>
    <row r="3" spans="1:10" x14ac:dyDescent="0.25">
      <c r="H3" s="141" t="s">
        <v>30</v>
      </c>
      <c r="I3" s="141" t="s">
        <v>31</v>
      </c>
      <c r="J3" s="141" t="s">
        <v>32</v>
      </c>
    </row>
    <row r="4" spans="1:10" ht="26.45" customHeight="1" x14ac:dyDescent="0.25">
      <c r="A4" s="2" t="s">
        <v>33</v>
      </c>
      <c r="B4" s="2" t="s">
        <v>34</v>
      </c>
      <c r="C4" s="8" t="s">
        <v>35</v>
      </c>
      <c r="D4" s="2" t="s">
        <v>36</v>
      </c>
      <c r="F4" s="15"/>
      <c r="G4" s="16">
        <f>F9</f>
        <v>101670.86</v>
      </c>
      <c r="H4" s="134">
        <v>3985.09</v>
      </c>
      <c r="I4" s="134">
        <v>3153.63</v>
      </c>
      <c r="J4" s="134">
        <v>94532.14</v>
      </c>
    </row>
    <row r="5" spans="1:10" ht="102" customHeight="1" x14ac:dyDescent="0.25">
      <c r="A5" s="2">
        <v>1</v>
      </c>
      <c r="B5" s="9" t="s">
        <v>37</v>
      </c>
      <c r="C5" s="147" t="s">
        <v>38</v>
      </c>
      <c r="D5" s="18">
        <f>G5</f>
        <v>2.1285154861481002E-2</v>
      </c>
      <c r="F5" s="16">
        <v>2164.08</v>
      </c>
      <c r="G5" s="19">
        <f>F5/$G$4</f>
        <v>2.1285154861481002E-2</v>
      </c>
      <c r="H5" s="17"/>
      <c r="I5" s="17"/>
    </row>
    <row r="6" spans="1:10" ht="38.25" customHeight="1" x14ac:dyDescent="0.25">
      <c r="A6" s="2">
        <v>2</v>
      </c>
      <c r="B6" s="9" t="s">
        <v>39</v>
      </c>
      <c r="C6" s="147" t="s">
        <v>40</v>
      </c>
      <c r="D6" s="18">
        <f>G6</f>
        <v>1.7910835021951999E-2</v>
      </c>
      <c r="F6" s="16">
        <v>1821.01</v>
      </c>
      <c r="G6" s="19">
        <f>F6/$G$4</f>
        <v>1.7910835021951999E-2</v>
      </c>
      <c r="H6" s="17"/>
      <c r="I6" s="17"/>
    </row>
    <row r="7" spans="1:10" ht="25.5" customHeight="1" x14ac:dyDescent="0.25">
      <c r="A7" s="138">
        <v>3</v>
      </c>
      <c r="B7" s="148" t="s">
        <v>41</v>
      </c>
      <c r="C7" s="149" t="s">
        <v>42</v>
      </c>
      <c r="D7" s="18">
        <f>G7</f>
        <v>3.1018032108707998E-2</v>
      </c>
      <c r="F7" s="20">
        <v>3153.63</v>
      </c>
      <c r="G7" s="19">
        <f>F7/$G$4</f>
        <v>3.1018032108707998E-2</v>
      </c>
      <c r="H7" s="17"/>
      <c r="I7" s="21"/>
    </row>
    <row r="8" spans="1:10" ht="70.5" customHeight="1" x14ac:dyDescent="0.25">
      <c r="A8" s="139">
        <v>4</v>
      </c>
      <c r="B8" s="150" t="s">
        <v>43</v>
      </c>
      <c r="C8" s="151" t="s">
        <v>44</v>
      </c>
      <c r="D8" s="18">
        <f>G8</f>
        <v>0.92978597800786</v>
      </c>
      <c r="F8" s="20">
        <v>94532.14</v>
      </c>
      <c r="G8" s="19">
        <f>F8/$G$4</f>
        <v>0.92978597800786</v>
      </c>
      <c r="H8" s="17"/>
      <c r="I8" s="21"/>
    </row>
    <row r="9" spans="1:10" ht="14.45" customHeight="1" x14ac:dyDescent="0.25">
      <c r="F9" s="140">
        <f>SUM(F5:F8)</f>
        <v>101670.86</v>
      </c>
      <c r="G9" s="19">
        <f>SUM(G5:G8)</f>
        <v>1</v>
      </c>
      <c r="H9" s="17"/>
      <c r="I9" s="21"/>
    </row>
    <row r="10" spans="1:10" ht="14.45" customHeight="1" x14ac:dyDescent="0.25">
      <c r="F10" s="22"/>
      <c r="G10" s="23"/>
      <c r="H10" s="22"/>
      <c r="I10" s="21"/>
    </row>
    <row r="11" spans="1:10" ht="14.45" customHeight="1" x14ac:dyDescent="0.25">
      <c r="F11" s="24"/>
      <c r="G11" s="23"/>
      <c r="H11" s="23"/>
      <c r="I11" s="21"/>
    </row>
    <row r="12" spans="1:10" x14ac:dyDescent="0.25">
      <c r="F12" s="25"/>
    </row>
    <row r="13" spans="1:10" x14ac:dyDescent="0.25">
      <c r="F13" s="25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G32"/>
  <sheetViews>
    <sheetView view="pageBreakPreview" topLeftCell="A22" zoomScale="70" zoomScaleNormal="55" workbookViewId="0">
      <selection activeCell="D29" sqref="D29"/>
    </sheetView>
  </sheetViews>
  <sheetFormatPr defaultColWidth="9.140625" defaultRowHeight="15.75" x14ac:dyDescent="0.25"/>
  <cols>
    <col min="1" max="2" width="9.140625" style="159"/>
    <col min="3" max="3" width="36.85546875" style="159" customWidth="1"/>
    <col min="4" max="4" width="36.5703125" style="159" customWidth="1"/>
    <col min="5" max="5" width="17.5703125" style="159" customWidth="1"/>
    <col min="6" max="6" width="18.7109375" style="159" customWidth="1"/>
    <col min="7" max="7" width="9.140625" style="159"/>
  </cols>
  <sheetData>
    <row r="3" spans="2:4" x14ac:dyDescent="0.25">
      <c r="B3" s="318" t="s">
        <v>45</v>
      </c>
      <c r="C3" s="318"/>
      <c r="D3" s="318"/>
    </row>
    <row r="4" spans="2:4" x14ac:dyDescent="0.25">
      <c r="B4" s="319" t="s">
        <v>46</v>
      </c>
      <c r="C4" s="319"/>
      <c r="D4" s="319"/>
    </row>
    <row r="5" spans="2:4" x14ac:dyDescent="0.25">
      <c r="B5" s="160"/>
      <c r="C5" s="160"/>
      <c r="D5" s="160"/>
    </row>
    <row r="6" spans="2:4" x14ac:dyDescent="0.25">
      <c r="B6" s="160"/>
      <c r="C6" s="160"/>
      <c r="D6" s="160"/>
    </row>
    <row r="7" spans="2:4" ht="45.75" customHeight="1" x14ac:dyDescent="0.25">
      <c r="B7" s="320" t="s">
        <v>47</v>
      </c>
      <c r="C7" s="321"/>
      <c r="D7" s="321"/>
    </row>
    <row r="8" spans="2:4" ht="31.5" customHeight="1" x14ac:dyDescent="0.25">
      <c r="B8" s="321" t="s">
        <v>48</v>
      </c>
      <c r="C8" s="321"/>
      <c r="D8" s="321"/>
    </row>
    <row r="9" spans="2:4" x14ac:dyDescent="0.25">
      <c r="B9" s="321" t="s">
        <v>49</v>
      </c>
      <c r="C9" s="321"/>
      <c r="D9" s="321"/>
    </row>
    <row r="10" spans="2:4" x14ac:dyDescent="0.25">
      <c r="B10" s="266"/>
    </row>
    <row r="11" spans="2:4" x14ac:dyDescent="0.25">
      <c r="B11" s="267" t="s">
        <v>33</v>
      </c>
      <c r="C11" s="267" t="s">
        <v>50</v>
      </c>
      <c r="D11" s="161" t="s">
        <v>51</v>
      </c>
    </row>
    <row r="12" spans="2:4" ht="157.5" customHeight="1" x14ac:dyDescent="0.25">
      <c r="B12" s="267">
        <v>1</v>
      </c>
      <c r="C12" s="161" t="s">
        <v>52</v>
      </c>
      <c r="D12" s="306" t="s">
        <v>53</v>
      </c>
    </row>
    <row r="13" spans="2:4" ht="31.5" customHeight="1" x14ac:dyDescent="0.25">
      <c r="B13" s="267">
        <v>2</v>
      </c>
      <c r="C13" s="161" t="s">
        <v>54</v>
      </c>
      <c r="D13" s="306" t="s">
        <v>55</v>
      </c>
    </row>
    <row r="14" spans="2:4" x14ac:dyDescent="0.25">
      <c r="B14" s="267">
        <v>3</v>
      </c>
      <c r="C14" s="161" t="s">
        <v>56</v>
      </c>
      <c r="D14" s="306" t="s">
        <v>57</v>
      </c>
    </row>
    <row r="15" spans="2:4" x14ac:dyDescent="0.25">
      <c r="B15" s="267">
        <v>4</v>
      </c>
      <c r="C15" s="161" t="s">
        <v>58</v>
      </c>
      <c r="D15" s="306">
        <v>1</v>
      </c>
    </row>
    <row r="16" spans="2:4" ht="94.5" customHeight="1" x14ac:dyDescent="0.25">
      <c r="B16" s="267">
        <v>5</v>
      </c>
      <c r="C16" s="163" t="s">
        <v>59</v>
      </c>
      <c r="D16" s="161" t="s">
        <v>60</v>
      </c>
    </row>
    <row r="17" spans="2:6" ht="78.75" customHeight="1" x14ac:dyDescent="0.25">
      <c r="B17" s="267">
        <v>6</v>
      </c>
      <c r="C17" s="163" t="s">
        <v>61</v>
      </c>
      <c r="D17" s="164">
        <f>D18+D19</f>
        <v>14044.774009700001</v>
      </c>
    </row>
    <row r="18" spans="2:6" x14ac:dyDescent="0.25">
      <c r="B18" s="165" t="s">
        <v>62</v>
      </c>
      <c r="C18" s="161" t="s">
        <v>63</v>
      </c>
      <c r="D18" s="164">
        <f>'Прил.2 Расч стоим'!F12</f>
        <v>202.93157919999999</v>
      </c>
    </row>
    <row r="19" spans="2:6" ht="15.75" customHeight="1" x14ac:dyDescent="0.25">
      <c r="B19" s="165" t="s">
        <v>64</v>
      </c>
      <c r="C19" s="161" t="s">
        <v>65</v>
      </c>
      <c r="D19" s="164">
        <f>'Прил.2 Расч стоим'!H12</f>
        <v>13841.842430500001</v>
      </c>
    </row>
    <row r="20" spans="2:6" ht="16.5" customHeight="1" x14ac:dyDescent="0.25">
      <c r="B20" s="165" t="s">
        <v>66</v>
      </c>
      <c r="C20" s="161" t="s">
        <v>67</v>
      </c>
      <c r="D20" s="164"/>
      <c r="F20" s="166"/>
    </row>
    <row r="21" spans="2:6" ht="35.25" customHeight="1" x14ac:dyDescent="0.25">
      <c r="B21" s="165" t="s">
        <v>68</v>
      </c>
      <c r="C21" s="167" t="s">
        <v>69</v>
      </c>
      <c r="D21" s="164"/>
    </row>
    <row r="22" spans="2:6" x14ac:dyDescent="0.25">
      <c r="B22" s="267">
        <v>7</v>
      </c>
      <c r="C22" s="167" t="s">
        <v>70</v>
      </c>
      <c r="D22" s="306" t="s">
        <v>71</v>
      </c>
    </row>
    <row r="23" spans="2:6" ht="123" customHeight="1" x14ac:dyDescent="0.25">
      <c r="B23" s="267">
        <v>8</v>
      </c>
      <c r="C23" s="168" t="s">
        <v>72</v>
      </c>
      <c r="D23" s="164">
        <f>D17</f>
        <v>14044.774009700001</v>
      </c>
    </row>
    <row r="24" spans="2:6" ht="60.75" customHeight="1" x14ac:dyDescent="0.25">
      <c r="B24" s="267">
        <v>9</v>
      </c>
      <c r="C24" s="163" t="s">
        <v>73</v>
      </c>
      <c r="D24" s="164">
        <f>D23/D15</f>
        <v>14044.774009700001</v>
      </c>
    </row>
    <row r="25" spans="2:6" ht="118.5" customHeight="1" x14ac:dyDescent="0.25">
      <c r="B25" s="267">
        <v>10</v>
      </c>
      <c r="C25" s="161" t="s">
        <v>74</v>
      </c>
      <c r="D25" s="161"/>
    </row>
    <row r="26" spans="2:6" x14ac:dyDescent="0.25">
      <c r="B26" s="169"/>
      <c r="C26" s="170"/>
      <c r="D26" s="170"/>
    </row>
    <row r="27" spans="2:6" ht="37.5" customHeight="1" x14ac:dyDescent="0.25">
      <c r="B27" s="171"/>
    </row>
    <row r="28" spans="2:6" x14ac:dyDescent="0.25">
      <c r="B28" s="159" t="s">
        <v>75</v>
      </c>
    </row>
    <row r="29" spans="2:6" x14ac:dyDescent="0.25">
      <c r="B29" s="171" t="s">
        <v>76</v>
      </c>
    </row>
    <row r="31" spans="2:6" x14ac:dyDescent="0.25">
      <c r="B31" s="159" t="s">
        <v>77</v>
      </c>
    </row>
    <row r="32" spans="2:6" x14ac:dyDescent="0.25">
      <c r="B32" s="171" t="s">
        <v>78</v>
      </c>
    </row>
  </sheetData>
  <mergeCells count="5">
    <mergeCell ref="B3:D3"/>
    <mergeCell ref="B4:D4"/>
    <mergeCell ref="B7:D7"/>
    <mergeCell ref="B8:D8"/>
    <mergeCell ref="B9:D9"/>
  </mergeCells>
  <pageMargins left="0.7" right="0.7" top="0.75" bottom="0.75" header="0.3" footer="0.3"/>
  <pageSetup paperSize="9" scale="66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L26"/>
  <sheetViews>
    <sheetView view="pageBreakPreview" zoomScale="70" zoomScaleNormal="70" workbookViewId="0">
      <selection activeCell="E23" sqref="E23"/>
    </sheetView>
  </sheetViews>
  <sheetFormatPr defaultColWidth="9.140625" defaultRowHeight="15.75" x14ac:dyDescent="0.25"/>
  <cols>
    <col min="1" max="1" width="5.5703125" style="159" customWidth="1"/>
    <col min="2" max="2" width="9.140625" style="159"/>
    <col min="3" max="3" width="35.28515625" style="159" customWidth="1"/>
    <col min="4" max="4" width="13.85546875" style="159" customWidth="1"/>
    <col min="5" max="5" width="24.85546875" style="159" customWidth="1"/>
    <col min="6" max="6" width="15.5703125" style="159" customWidth="1"/>
    <col min="7" max="7" width="14.85546875" style="159" customWidth="1"/>
    <col min="8" max="8" width="16.7109375" style="159" customWidth="1"/>
    <col min="9" max="10" width="13" style="159" customWidth="1"/>
    <col min="11" max="11" width="18" style="159" customWidth="1"/>
    <col min="12" max="12" width="9.140625" style="159"/>
  </cols>
  <sheetData>
    <row r="3" spans="2:12" x14ac:dyDescent="0.25">
      <c r="B3" s="318" t="s">
        <v>79</v>
      </c>
      <c r="C3" s="318"/>
      <c r="D3" s="318"/>
      <c r="E3" s="318"/>
      <c r="F3" s="318"/>
      <c r="G3" s="318"/>
      <c r="H3" s="318"/>
      <c r="I3" s="318"/>
      <c r="J3" s="318"/>
      <c r="K3" s="171"/>
    </row>
    <row r="4" spans="2:12" x14ac:dyDescent="0.25">
      <c r="B4" s="319" t="s">
        <v>80</v>
      </c>
      <c r="C4" s="319"/>
      <c r="D4" s="319"/>
      <c r="E4" s="319"/>
      <c r="F4" s="319"/>
      <c r="G4" s="319"/>
      <c r="H4" s="319"/>
      <c r="I4" s="319"/>
      <c r="J4" s="319"/>
      <c r="K4" s="319"/>
    </row>
    <row r="5" spans="2:12" x14ac:dyDescent="0.25">
      <c r="B5" s="160"/>
      <c r="C5" s="160"/>
      <c r="D5" s="160"/>
      <c r="E5" s="160"/>
      <c r="F5" s="160"/>
      <c r="G5" s="160"/>
      <c r="H5" s="160"/>
      <c r="I5" s="160"/>
      <c r="J5" s="160"/>
      <c r="K5" s="160"/>
    </row>
    <row r="6" spans="2:12" ht="33" customHeight="1" x14ac:dyDescent="0.25">
      <c r="B6" s="323" t="s">
        <v>81</v>
      </c>
      <c r="C6" s="323"/>
      <c r="D6" s="323"/>
      <c r="E6" s="323"/>
      <c r="F6" s="323"/>
      <c r="G6" s="323"/>
      <c r="H6" s="323"/>
      <c r="I6" s="323"/>
      <c r="J6" s="323"/>
      <c r="K6" s="171"/>
      <c r="L6" s="172"/>
    </row>
    <row r="7" spans="2:12" x14ac:dyDescent="0.25">
      <c r="B7" s="321" t="s">
        <v>49</v>
      </c>
      <c r="C7" s="321"/>
      <c r="D7" s="321"/>
      <c r="E7" s="321"/>
      <c r="F7" s="321"/>
      <c r="G7" s="321"/>
      <c r="H7" s="321"/>
      <c r="I7" s="321"/>
      <c r="J7" s="321"/>
      <c r="K7" s="321"/>
      <c r="L7" s="172"/>
    </row>
    <row r="8" spans="2:12" x14ac:dyDescent="0.25">
      <c r="B8" s="266"/>
    </row>
    <row r="9" spans="2:12" ht="15.75" customHeight="1" x14ac:dyDescent="0.25">
      <c r="B9" s="324" t="s">
        <v>33</v>
      </c>
      <c r="C9" s="324" t="s">
        <v>82</v>
      </c>
      <c r="D9" s="324" t="s">
        <v>51</v>
      </c>
      <c r="E9" s="324"/>
      <c r="F9" s="324"/>
      <c r="G9" s="324"/>
      <c r="H9" s="324"/>
      <c r="I9" s="324"/>
      <c r="J9" s="324"/>
    </row>
    <row r="10" spans="2:12" ht="15.75" customHeight="1" x14ac:dyDescent="0.25">
      <c r="B10" s="324"/>
      <c r="C10" s="324"/>
      <c r="D10" s="324" t="s">
        <v>83</v>
      </c>
      <c r="E10" s="324" t="s">
        <v>84</v>
      </c>
      <c r="F10" s="324" t="s">
        <v>85</v>
      </c>
      <c r="G10" s="324"/>
      <c r="H10" s="324"/>
      <c r="I10" s="324"/>
      <c r="J10" s="324"/>
    </row>
    <row r="11" spans="2:12" ht="31.5" customHeight="1" x14ac:dyDescent="0.25">
      <c r="B11" s="324"/>
      <c r="C11" s="324"/>
      <c r="D11" s="324"/>
      <c r="E11" s="324"/>
      <c r="F11" s="267" t="s">
        <v>86</v>
      </c>
      <c r="G11" s="267" t="s">
        <v>87</v>
      </c>
      <c r="H11" s="267" t="s">
        <v>43</v>
      </c>
      <c r="I11" s="267" t="s">
        <v>88</v>
      </c>
      <c r="J11" s="267" t="s">
        <v>89</v>
      </c>
    </row>
    <row r="12" spans="2:12" ht="47.25" customHeight="1" x14ac:dyDescent="0.25">
      <c r="B12" s="268">
        <v>1</v>
      </c>
      <c r="C12" s="285" t="s">
        <v>90</v>
      </c>
      <c r="D12" s="173"/>
      <c r="E12" s="162"/>
      <c r="F12" s="325">
        <v>202.93157919999999</v>
      </c>
      <c r="G12" s="326"/>
      <c r="H12" s="174">
        <v>13841.842430500001</v>
      </c>
      <c r="I12" s="175"/>
      <c r="J12" s="176">
        <v>14044.774009700001</v>
      </c>
    </row>
    <row r="13" spans="2:12" ht="15.75" customHeight="1" x14ac:dyDescent="0.25">
      <c r="B13" s="322" t="s">
        <v>91</v>
      </c>
      <c r="C13" s="322"/>
      <c r="D13" s="322"/>
      <c r="E13" s="322"/>
      <c r="F13" s="177"/>
      <c r="G13" s="177"/>
      <c r="H13" s="177"/>
      <c r="I13" s="178"/>
      <c r="J13" s="179"/>
    </row>
    <row r="14" spans="2:12" ht="28.5" customHeight="1" x14ac:dyDescent="0.25">
      <c r="B14" s="322" t="s">
        <v>92</v>
      </c>
      <c r="C14" s="322"/>
      <c r="D14" s="322"/>
      <c r="E14" s="322"/>
      <c r="F14" s="327">
        <v>202.93157919999999</v>
      </c>
      <c r="G14" s="328"/>
      <c r="H14" s="308">
        <v>13841.842430500001</v>
      </c>
      <c r="I14" s="309"/>
      <c r="J14" s="310">
        <v>14044.774009700001</v>
      </c>
    </row>
    <row r="15" spans="2:12" x14ac:dyDescent="0.25">
      <c r="B15" s="266"/>
    </row>
    <row r="18" spans="2:3" x14ac:dyDescent="0.25">
      <c r="B18" s="180" t="s">
        <v>93</v>
      </c>
      <c r="C18" s="159" t="s">
        <v>94</v>
      </c>
    </row>
    <row r="22" spans="2:3" x14ac:dyDescent="0.25">
      <c r="B22" s="159" t="s">
        <v>75</v>
      </c>
    </row>
    <row r="23" spans="2:3" x14ac:dyDescent="0.25">
      <c r="B23" s="171" t="s">
        <v>76</v>
      </c>
    </row>
    <row r="25" spans="2:3" x14ac:dyDescent="0.25">
      <c r="B25" s="159" t="s">
        <v>77</v>
      </c>
    </row>
    <row r="26" spans="2:3" x14ac:dyDescent="0.25">
      <c r="B26" s="171" t="s">
        <v>78</v>
      </c>
    </row>
  </sheetData>
  <mergeCells count="14">
    <mergeCell ref="B13:E13"/>
    <mergeCell ref="B14:E14"/>
    <mergeCell ref="B3:J3"/>
    <mergeCell ref="B4:K4"/>
    <mergeCell ref="B6:J6"/>
    <mergeCell ref="B7:K7"/>
    <mergeCell ref="B9:B11"/>
    <mergeCell ref="C9:C11"/>
    <mergeCell ref="D9:J9"/>
    <mergeCell ref="D10:D11"/>
    <mergeCell ref="E10:E11"/>
    <mergeCell ref="F10:J10"/>
    <mergeCell ref="F12:G12"/>
    <mergeCell ref="F14:G14"/>
  </mergeCells>
  <pageMargins left="0.7" right="0.7" top="0.75" bottom="0.75" header="0.3" footer="0.3"/>
  <pageSetup paperSize="9" scale="54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M28"/>
  <sheetViews>
    <sheetView view="pageBreakPreview" zoomScale="55" zoomScaleSheetLayoutView="55" workbookViewId="0">
      <selection activeCell="D175" sqref="D175"/>
    </sheetView>
  </sheetViews>
  <sheetFormatPr defaultColWidth="9.140625" defaultRowHeight="15.75" x14ac:dyDescent="0.25"/>
  <cols>
    <col min="1" max="1" width="9.140625" style="159"/>
    <col min="2" max="2" width="12.5703125" style="159" customWidth="1"/>
    <col min="3" max="3" width="22.42578125" style="159" customWidth="1"/>
    <col min="4" max="4" width="49.7109375" style="159" customWidth="1"/>
    <col min="5" max="5" width="10.140625" style="181" customWidth="1"/>
    <col min="6" max="6" width="20.7109375" style="159" customWidth="1"/>
    <col min="7" max="7" width="16.140625" style="159" customWidth="1"/>
    <col min="8" max="8" width="16.7109375" style="159" customWidth="1"/>
    <col min="9" max="9" width="9.140625" style="159"/>
    <col min="10" max="10" width="10.28515625" style="159" customWidth="1"/>
    <col min="11" max="11" width="9.140625" style="159"/>
  </cols>
  <sheetData>
    <row r="2" spans="1:13" s="295" customFormat="1" x14ac:dyDescent="0.25">
      <c r="A2" s="294"/>
      <c r="B2" s="294"/>
      <c r="C2" s="294"/>
      <c r="D2" s="294"/>
      <c r="E2" s="181"/>
      <c r="F2" s="294"/>
      <c r="G2" s="294"/>
      <c r="H2" s="294"/>
      <c r="I2" s="294"/>
      <c r="J2" s="294"/>
      <c r="K2" s="294"/>
    </row>
    <row r="3" spans="1:13" s="295" customFormat="1" x14ac:dyDescent="0.25">
      <c r="A3" s="294"/>
      <c r="B3" s="294"/>
      <c r="C3" s="294"/>
      <c r="D3" s="294"/>
      <c r="E3" s="181"/>
      <c r="F3" s="294"/>
      <c r="G3" s="294"/>
      <c r="H3" s="294"/>
      <c r="I3" s="294"/>
      <c r="J3" s="294"/>
      <c r="K3" s="294"/>
    </row>
    <row r="4" spans="1:13" x14ac:dyDescent="0.25">
      <c r="A4" s="318" t="s">
        <v>95</v>
      </c>
      <c r="B4" s="318"/>
      <c r="C4" s="318"/>
      <c r="D4" s="318"/>
      <c r="E4" s="318"/>
      <c r="F4" s="318"/>
      <c r="G4" s="318"/>
      <c r="H4" s="318"/>
    </row>
    <row r="5" spans="1:13" x14ac:dyDescent="0.25">
      <c r="A5" s="319" t="s">
        <v>96</v>
      </c>
      <c r="B5" s="319"/>
      <c r="C5" s="319"/>
      <c r="D5" s="319"/>
      <c r="E5" s="319"/>
      <c r="F5" s="319"/>
      <c r="G5" s="319"/>
      <c r="H5" s="319"/>
    </row>
    <row r="6" spans="1:13" x14ac:dyDescent="0.25">
      <c r="A6" s="266"/>
    </row>
    <row r="7" spans="1:13" ht="30.75" customHeight="1" x14ac:dyDescent="0.25">
      <c r="A7" s="323" t="s">
        <v>97</v>
      </c>
      <c r="B7" s="323"/>
      <c r="C7" s="323"/>
      <c r="D7" s="323"/>
      <c r="E7" s="323"/>
      <c r="F7" s="323"/>
      <c r="G7" s="323"/>
      <c r="H7" s="323"/>
    </row>
    <row r="8" spans="1:13" x14ac:dyDescent="0.25">
      <c r="A8" s="182"/>
      <c r="B8" s="182"/>
      <c r="C8" s="182"/>
      <c r="D8" s="182"/>
      <c r="E8" s="160"/>
      <c r="F8" s="182"/>
      <c r="G8" s="182"/>
      <c r="H8" s="182"/>
    </row>
    <row r="9" spans="1:13" ht="38.25" customHeight="1" x14ac:dyDescent="0.25">
      <c r="A9" s="324" t="s">
        <v>98</v>
      </c>
      <c r="B9" s="324" t="s">
        <v>99</v>
      </c>
      <c r="C9" s="324" t="s">
        <v>100</v>
      </c>
      <c r="D9" s="324" t="s">
        <v>101</v>
      </c>
      <c r="E9" s="324" t="s">
        <v>102</v>
      </c>
      <c r="F9" s="324" t="s">
        <v>103</v>
      </c>
      <c r="G9" s="324" t="s">
        <v>104</v>
      </c>
      <c r="H9" s="324"/>
    </row>
    <row r="10" spans="1:13" ht="40.5" customHeight="1" x14ac:dyDescent="0.25">
      <c r="A10" s="324"/>
      <c r="B10" s="324"/>
      <c r="C10" s="324"/>
      <c r="D10" s="324"/>
      <c r="E10" s="324"/>
      <c r="F10" s="324"/>
      <c r="G10" s="267" t="s">
        <v>105</v>
      </c>
      <c r="H10" s="267" t="s">
        <v>106</v>
      </c>
    </row>
    <row r="11" spans="1:13" x14ac:dyDescent="0.25">
      <c r="A11" s="183">
        <v>1</v>
      </c>
      <c r="B11" s="183"/>
      <c r="C11" s="183">
        <v>2</v>
      </c>
      <c r="D11" s="183" t="s">
        <v>107</v>
      </c>
      <c r="E11" s="183">
        <v>4</v>
      </c>
      <c r="F11" s="183">
        <v>5</v>
      </c>
      <c r="G11" s="183">
        <v>6</v>
      </c>
      <c r="H11" s="183">
        <v>7</v>
      </c>
    </row>
    <row r="12" spans="1:13" s="185" customFormat="1" x14ac:dyDescent="0.25">
      <c r="A12" s="329" t="s">
        <v>108</v>
      </c>
      <c r="B12" s="330"/>
      <c r="C12" s="331"/>
      <c r="D12" s="331"/>
      <c r="E12" s="330"/>
      <c r="F12" s="184">
        <f>SUM(F13:F13)</f>
        <v>221.58664960196</v>
      </c>
      <c r="G12" s="184"/>
      <c r="H12" s="184">
        <f>SUM(H13:H13)</f>
        <v>2424.16</v>
      </c>
      <c r="I12" s="159"/>
      <c r="J12" s="159"/>
      <c r="K12" s="159"/>
      <c r="L12" s="159"/>
      <c r="M12" s="159"/>
    </row>
    <row r="13" spans="1:13" x14ac:dyDescent="0.25">
      <c r="A13" s="186">
        <v>1</v>
      </c>
      <c r="B13" s="187" t="s">
        <v>109</v>
      </c>
      <c r="C13" s="188" t="s">
        <v>110</v>
      </c>
      <c r="D13" s="189" t="s">
        <v>111</v>
      </c>
      <c r="E13" s="190" t="s">
        <v>112</v>
      </c>
      <c r="F13" s="186">
        <v>221.58664960196</v>
      </c>
      <c r="G13" s="191">
        <v>10.94</v>
      </c>
      <c r="H13" s="191">
        <f>ROUND(F13*G13,2)</f>
        <v>2424.16</v>
      </c>
    </row>
    <row r="14" spans="1:13" x14ac:dyDescent="0.25">
      <c r="A14" s="329" t="s">
        <v>113</v>
      </c>
      <c r="B14" s="330"/>
      <c r="C14" s="331"/>
      <c r="D14" s="331"/>
      <c r="E14" s="330"/>
      <c r="F14" s="286"/>
      <c r="G14" s="184"/>
      <c r="H14" s="184">
        <v>0</v>
      </c>
    </row>
    <row r="15" spans="1:13" s="185" customFormat="1" x14ac:dyDescent="0.25">
      <c r="A15" s="329" t="s">
        <v>114</v>
      </c>
      <c r="B15" s="330"/>
      <c r="C15" s="331"/>
      <c r="D15" s="331"/>
      <c r="E15" s="330"/>
      <c r="F15" s="286"/>
      <c r="G15" s="184"/>
      <c r="H15" s="184">
        <v>0</v>
      </c>
      <c r="I15" s="159"/>
      <c r="J15" s="307"/>
      <c r="K15" s="159"/>
      <c r="L15" s="159"/>
      <c r="M15" s="159"/>
    </row>
    <row r="16" spans="1:13" x14ac:dyDescent="0.25">
      <c r="A16" s="329" t="s">
        <v>43</v>
      </c>
      <c r="B16" s="330"/>
      <c r="C16" s="331"/>
      <c r="D16" s="331"/>
      <c r="E16" s="330"/>
      <c r="F16" s="286"/>
      <c r="G16" s="184"/>
      <c r="H16" s="184">
        <f>SUM(H17:H18)</f>
        <v>2853988.13</v>
      </c>
    </row>
    <row r="17" spans="1:13" s="185" customFormat="1" ht="47.25" customHeight="1" x14ac:dyDescent="0.25">
      <c r="A17" s="186">
        <v>2</v>
      </c>
      <c r="B17" s="186" t="s">
        <v>109</v>
      </c>
      <c r="C17" s="189" t="s">
        <v>115</v>
      </c>
      <c r="D17" s="189" t="s">
        <v>116</v>
      </c>
      <c r="E17" s="190" t="s">
        <v>117</v>
      </c>
      <c r="F17" s="186">
        <v>83</v>
      </c>
      <c r="G17" s="191">
        <v>34095.85</v>
      </c>
      <c r="H17" s="191">
        <f>ROUND(F17*G17,2)</f>
        <v>2829955.55</v>
      </c>
      <c r="I17" s="159"/>
      <c r="J17" s="159"/>
      <c r="K17" s="159"/>
      <c r="L17" s="159"/>
      <c r="M17" s="159"/>
    </row>
    <row r="18" spans="1:13" s="185" customFormat="1" x14ac:dyDescent="0.25">
      <c r="A18" s="186">
        <v>3</v>
      </c>
      <c r="B18" s="186" t="s">
        <v>109</v>
      </c>
      <c r="C18" s="189" t="s">
        <v>118</v>
      </c>
      <c r="D18" s="189" t="s">
        <v>119</v>
      </c>
      <c r="E18" s="190" t="s">
        <v>120</v>
      </c>
      <c r="F18" s="186">
        <v>2.3715967477284998</v>
      </c>
      <c r="G18" s="191">
        <v>10133.5</v>
      </c>
      <c r="H18" s="191">
        <f>ROUND(F18*G18,2)</f>
        <v>24032.58</v>
      </c>
      <c r="I18" s="159"/>
      <c r="J18" s="159"/>
      <c r="K18" s="159"/>
      <c r="L18" s="159"/>
      <c r="M18" s="159"/>
    </row>
    <row r="19" spans="1:13" x14ac:dyDescent="0.25">
      <c r="A19" s="329" t="s">
        <v>121</v>
      </c>
      <c r="B19" s="330"/>
      <c r="C19" s="331"/>
      <c r="D19" s="331"/>
      <c r="E19" s="330"/>
      <c r="F19" s="286"/>
      <c r="G19" s="184"/>
      <c r="H19" s="184">
        <f>SUM(H20:H21)</f>
        <v>23459.97</v>
      </c>
    </row>
    <row r="20" spans="1:13" ht="31.5" customHeight="1" x14ac:dyDescent="0.25">
      <c r="A20" s="186">
        <v>4</v>
      </c>
      <c r="B20" s="186" t="s">
        <v>109</v>
      </c>
      <c r="C20" s="189" t="s">
        <v>122</v>
      </c>
      <c r="D20" s="189" t="s">
        <v>123</v>
      </c>
      <c r="E20" s="190" t="s">
        <v>117</v>
      </c>
      <c r="F20" s="186">
        <v>59.279460450796002</v>
      </c>
      <c r="G20" s="191">
        <v>394.94</v>
      </c>
      <c r="H20" s="191">
        <f>ROUND(F20*G20,2)</f>
        <v>23411.83</v>
      </c>
    </row>
    <row r="21" spans="1:13" ht="31.5" customHeight="1" x14ac:dyDescent="0.25">
      <c r="A21" s="186">
        <v>5</v>
      </c>
      <c r="B21" s="186" t="s">
        <v>109</v>
      </c>
      <c r="C21" s="189" t="s">
        <v>124</v>
      </c>
      <c r="D21" s="189" t="s">
        <v>125</v>
      </c>
      <c r="E21" s="190" t="s">
        <v>126</v>
      </c>
      <c r="F21" s="186">
        <v>48.141731131931003</v>
      </c>
      <c r="G21" s="191">
        <v>1</v>
      </c>
      <c r="H21" s="191">
        <f>ROUND(F21*G21,2)</f>
        <v>48.14</v>
      </c>
    </row>
    <row r="24" spans="1:13" x14ac:dyDescent="0.25">
      <c r="B24" s="159" t="s">
        <v>75</v>
      </c>
    </row>
    <row r="25" spans="1:13" x14ac:dyDescent="0.25">
      <c r="B25" s="171" t="s">
        <v>76</v>
      </c>
    </row>
    <row r="27" spans="1:13" x14ac:dyDescent="0.25">
      <c r="B27" s="159" t="s">
        <v>77</v>
      </c>
    </row>
    <row r="28" spans="1:13" x14ac:dyDescent="0.25">
      <c r="B28" s="171" t="s">
        <v>78</v>
      </c>
    </row>
  </sheetData>
  <mergeCells count="15">
    <mergeCell ref="A14:E14"/>
    <mergeCell ref="A19:E19"/>
    <mergeCell ref="A12:E12"/>
    <mergeCell ref="A15:E15"/>
    <mergeCell ref="A4:H4"/>
    <mergeCell ref="A5:H5"/>
    <mergeCell ref="A7:H7"/>
    <mergeCell ref="A9:A10"/>
    <mergeCell ref="B9:B10"/>
    <mergeCell ref="C9:C10"/>
    <mergeCell ref="D9:D10"/>
    <mergeCell ref="E9:E10"/>
    <mergeCell ref="F9:F10"/>
    <mergeCell ref="G9:H9"/>
    <mergeCell ref="A16:E16"/>
  </mergeCells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50"/>
  <sheetViews>
    <sheetView view="pageBreakPreview" topLeftCell="A28" workbookViewId="0">
      <selection activeCell="D45" sqref="D45"/>
    </sheetView>
  </sheetViews>
  <sheetFormatPr defaultRowHeight="15" x14ac:dyDescent="0.25"/>
  <cols>
    <col min="1" max="1" width="4.140625" style="51" customWidth="1"/>
    <col min="2" max="2" width="36.28515625" style="51" customWidth="1"/>
    <col min="3" max="3" width="18.85546875" style="51" customWidth="1"/>
    <col min="4" max="4" width="18.28515625" style="51" customWidth="1"/>
    <col min="5" max="5" width="18.85546875" style="51" customWidth="1"/>
  </cols>
  <sheetData>
    <row r="1" spans="2:5" x14ac:dyDescent="0.25">
      <c r="B1" s="153"/>
      <c r="C1" s="153"/>
      <c r="D1" s="153"/>
      <c r="E1" s="153"/>
    </row>
    <row r="2" spans="2:5" x14ac:dyDescent="0.25">
      <c r="B2" s="153"/>
      <c r="C2" s="153"/>
      <c r="D2" s="153"/>
      <c r="E2" s="157" t="s">
        <v>127</v>
      </c>
    </row>
    <row r="3" spans="2:5" x14ac:dyDescent="0.25">
      <c r="B3" s="153"/>
      <c r="C3" s="153"/>
      <c r="D3" s="153"/>
      <c r="E3" s="153"/>
    </row>
    <row r="4" spans="2:5" x14ac:dyDescent="0.25">
      <c r="B4" s="153"/>
      <c r="C4" s="153"/>
      <c r="D4" s="153"/>
      <c r="E4" s="153"/>
    </row>
    <row r="5" spans="2:5" x14ac:dyDescent="0.25">
      <c r="B5" s="311" t="s">
        <v>128</v>
      </c>
      <c r="C5" s="311"/>
      <c r="D5" s="311"/>
      <c r="E5" s="311"/>
    </row>
    <row r="6" spans="2:5" x14ac:dyDescent="0.25">
      <c r="B6" s="193"/>
      <c r="C6" s="153"/>
      <c r="D6" s="153"/>
      <c r="E6" s="153"/>
    </row>
    <row r="7" spans="2:5" ht="25.5" customHeight="1" x14ac:dyDescent="0.25">
      <c r="B7" s="332" t="s">
        <v>47</v>
      </c>
      <c r="C7" s="332"/>
      <c r="D7" s="332"/>
      <c r="E7" s="332"/>
    </row>
    <row r="8" spans="2:5" x14ac:dyDescent="0.25">
      <c r="B8" s="333" t="s">
        <v>49</v>
      </c>
      <c r="C8" s="333"/>
      <c r="D8" s="333"/>
      <c r="E8" s="333"/>
    </row>
    <row r="9" spans="2:5" x14ac:dyDescent="0.25">
      <c r="B9" s="193"/>
      <c r="C9" s="153"/>
      <c r="D9" s="153"/>
      <c r="E9" s="153"/>
    </row>
    <row r="10" spans="2:5" ht="51" customHeight="1" x14ac:dyDescent="0.25">
      <c r="B10" s="194" t="s">
        <v>129</v>
      </c>
      <c r="C10" s="194" t="s">
        <v>130</v>
      </c>
      <c r="D10" s="194" t="s">
        <v>131</v>
      </c>
      <c r="E10" s="194" t="s">
        <v>132</v>
      </c>
    </row>
    <row r="11" spans="2:5" x14ac:dyDescent="0.25">
      <c r="B11" s="154" t="s">
        <v>133</v>
      </c>
      <c r="C11" s="155">
        <f>'Прил.5 Расчет СМР и ОБ'!J14</f>
        <v>111847.49</v>
      </c>
      <c r="D11" s="156">
        <f t="shared" ref="D11:D18" si="0">C11/$C$24</f>
        <v>0.24713395513351943</v>
      </c>
      <c r="E11" s="156">
        <f t="shared" ref="E11:E18" si="1">C11/$C$40</f>
        <v>5.649926210585624E-3</v>
      </c>
    </row>
    <row r="12" spans="2:5" x14ac:dyDescent="0.25">
      <c r="B12" s="154" t="s">
        <v>134</v>
      </c>
      <c r="C12" s="155">
        <f>'Прил.5 Расчет СМР и ОБ'!J17</f>
        <v>0</v>
      </c>
      <c r="D12" s="156">
        <f t="shared" si="0"/>
        <v>0</v>
      </c>
      <c r="E12" s="156">
        <f t="shared" si="1"/>
        <v>0</v>
      </c>
    </row>
    <row r="13" spans="2:5" x14ac:dyDescent="0.25">
      <c r="B13" s="154" t="s">
        <v>135</v>
      </c>
      <c r="C13" s="155">
        <f>'Прил.5 Расчет СМР и ОБ'!J18</f>
        <v>0</v>
      </c>
      <c r="D13" s="156">
        <f t="shared" si="0"/>
        <v>0</v>
      </c>
      <c r="E13" s="156">
        <f t="shared" si="1"/>
        <v>0</v>
      </c>
    </row>
    <row r="14" spans="2:5" x14ac:dyDescent="0.25">
      <c r="B14" s="154" t="s">
        <v>136</v>
      </c>
      <c r="C14" s="155">
        <f>C13+C12</f>
        <v>0</v>
      </c>
      <c r="D14" s="156">
        <f t="shared" si="0"/>
        <v>0</v>
      </c>
      <c r="E14" s="156">
        <f t="shared" si="1"/>
        <v>0</v>
      </c>
    </row>
    <row r="15" spans="2:5" x14ac:dyDescent="0.25">
      <c r="B15" s="154" t="s">
        <v>137</v>
      </c>
      <c r="C15" s="155">
        <v>0</v>
      </c>
      <c r="D15" s="156">
        <f t="shared" si="0"/>
        <v>0</v>
      </c>
      <c r="E15" s="156">
        <f t="shared" si="1"/>
        <v>0</v>
      </c>
    </row>
    <row r="16" spans="2:5" x14ac:dyDescent="0.25">
      <c r="B16" s="154" t="s">
        <v>138</v>
      </c>
      <c r="C16" s="155">
        <f>'Прил.5 Расчет СМР и ОБ'!J31</f>
        <v>188231.26</v>
      </c>
      <c r="D16" s="156">
        <f t="shared" si="0"/>
        <v>0.41590862489239439</v>
      </c>
      <c r="E16" s="156">
        <f t="shared" si="1"/>
        <v>9.508418378682949E-3</v>
      </c>
    </row>
    <row r="17" spans="2:5" x14ac:dyDescent="0.25">
      <c r="B17" s="154" t="s">
        <v>139</v>
      </c>
      <c r="C17" s="155">
        <f>'Прил.5 Расчет СМР и ОБ'!J33</f>
        <v>387.06</v>
      </c>
      <c r="D17" s="156">
        <f t="shared" si="0"/>
        <v>8.5523303807693879E-4</v>
      </c>
      <c r="E17" s="156">
        <f t="shared" si="1"/>
        <v>1.9552163746090965E-5</v>
      </c>
    </row>
    <row r="18" spans="2:5" x14ac:dyDescent="0.25">
      <c r="B18" s="154" t="s">
        <v>140</v>
      </c>
      <c r="C18" s="155">
        <f>C17+C16</f>
        <v>188618.32</v>
      </c>
      <c r="D18" s="156">
        <f t="shared" si="0"/>
        <v>0.41676385793047133</v>
      </c>
      <c r="E18" s="156">
        <f t="shared" si="1"/>
        <v>9.5279705424290394E-3</v>
      </c>
    </row>
    <row r="19" spans="2:5" x14ac:dyDescent="0.25">
      <c r="B19" s="154" t="s">
        <v>141</v>
      </c>
      <c r="C19" s="155">
        <f>C18+C14+C11</f>
        <v>300465.81</v>
      </c>
      <c r="D19" s="156"/>
      <c r="E19" s="154"/>
    </row>
    <row r="20" spans="2:5" x14ac:dyDescent="0.25">
      <c r="B20" s="154" t="s">
        <v>142</v>
      </c>
      <c r="C20" s="155">
        <f>ROUND(C21*(C11+C15),2)</f>
        <v>51449.85</v>
      </c>
      <c r="D20" s="156">
        <f>C20/$C$24</f>
        <v>0.11368162952540378</v>
      </c>
      <c r="E20" s="156">
        <f>C20/$C$40</f>
        <v>2.5989662892363409E-3</v>
      </c>
    </row>
    <row r="21" spans="2:5" x14ac:dyDescent="0.25">
      <c r="B21" s="154" t="s">
        <v>143</v>
      </c>
      <c r="C21" s="284">
        <v>0.46</v>
      </c>
      <c r="D21" s="156"/>
      <c r="E21" s="154"/>
    </row>
    <row r="22" spans="2:5" x14ac:dyDescent="0.25">
      <c r="B22" s="154" t="s">
        <v>144</v>
      </c>
      <c r="C22" s="155">
        <f>ROUND(C23*(C11+C15),2)</f>
        <v>100662.74</v>
      </c>
      <c r="D22" s="156">
        <f>C22/$C$24</f>
        <v>0.22242055741060557</v>
      </c>
      <c r="E22" s="156">
        <f>C22/$C$40</f>
        <v>5.0849335390125063E-3</v>
      </c>
    </row>
    <row r="23" spans="2:5" x14ac:dyDescent="0.25">
      <c r="B23" s="154" t="s">
        <v>145</v>
      </c>
      <c r="C23" s="284">
        <v>0.9</v>
      </c>
      <c r="D23" s="156"/>
      <c r="E23" s="154"/>
    </row>
    <row r="24" spans="2:5" x14ac:dyDescent="0.25">
      <c r="B24" s="154" t="s">
        <v>146</v>
      </c>
      <c r="C24" s="155">
        <f>C19+C20+C22</f>
        <v>452578.39999999997</v>
      </c>
      <c r="D24" s="156">
        <f>C24/$C$24</f>
        <v>1</v>
      </c>
      <c r="E24" s="156">
        <f>C24/$C$40</f>
        <v>2.286179658126351E-2</v>
      </c>
    </row>
    <row r="25" spans="2:5" ht="25.5" customHeight="1" x14ac:dyDescent="0.25">
      <c r="B25" s="154" t="s">
        <v>147</v>
      </c>
      <c r="C25" s="155">
        <f>'Прил.5 Расчет СМР и ОБ'!J26</f>
        <v>17865963.920000002</v>
      </c>
      <c r="D25" s="156"/>
      <c r="E25" s="156">
        <f>C25/$C$40</f>
        <v>0.90249122111712199</v>
      </c>
    </row>
    <row r="26" spans="2:5" ht="25.5" customHeight="1" x14ac:dyDescent="0.25">
      <c r="B26" s="154" t="s">
        <v>148</v>
      </c>
      <c r="C26" s="155">
        <f>'Прил.5 Расчет СМР и ОБ'!J27</f>
        <v>17865965.690000001</v>
      </c>
      <c r="D26" s="156"/>
      <c r="E26" s="156">
        <f>C26/$C$40</f>
        <v>0.90249131052788467</v>
      </c>
    </row>
    <row r="27" spans="2:5" x14ac:dyDescent="0.25">
      <c r="B27" s="154" t="s">
        <v>149</v>
      </c>
      <c r="C27" s="192">
        <f>C24+C25</f>
        <v>18318542.32</v>
      </c>
      <c r="D27" s="156"/>
      <c r="E27" s="156">
        <f>C27/$C$40</f>
        <v>0.9253530176983854</v>
      </c>
    </row>
    <row r="28" spans="2:5" ht="33" customHeight="1" x14ac:dyDescent="0.25">
      <c r="B28" s="154" t="s">
        <v>150</v>
      </c>
      <c r="C28" s="154"/>
      <c r="D28" s="154"/>
      <c r="E28" s="154"/>
    </row>
    <row r="29" spans="2:5" ht="25.5" customHeight="1" x14ac:dyDescent="0.25">
      <c r="B29" s="154" t="s">
        <v>151</v>
      </c>
      <c r="C29" s="192">
        <f>ROUND(C24*3.9%,2)</f>
        <v>17650.560000000001</v>
      </c>
      <c r="D29" s="154"/>
      <c r="E29" s="156">
        <f t="shared" ref="E29:E38" si="2">C29/$C$40</f>
        <v>8.9161018790420948E-4</v>
      </c>
    </row>
    <row r="30" spans="2:5" ht="38.25" customHeight="1" x14ac:dyDescent="0.25">
      <c r="B30" s="292" t="s">
        <v>152</v>
      </c>
      <c r="C30" s="293">
        <f>ROUND((C24+C29)*2.1%,2)</f>
        <v>9874.81</v>
      </c>
      <c r="D30" s="292"/>
      <c r="E30" s="156">
        <f t="shared" si="2"/>
        <v>4.9882163509930375E-4</v>
      </c>
    </row>
    <row r="31" spans="2:5" x14ac:dyDescent="0.25">
      <c r="B31" s="292" t="s">
        <v>153</v>
      </c>
      <c r="C31" s="293">
        <v>511550</v>
      </c>
      <c r="D31" s="292"/>
      <c r="E31" s="156">
        <f t="shared" si="2"/>
        <v>2.5840720726277147E-2</v>
      </c>
    </row>
    <row r="32" spans="2:5" ht="25.5" customHeight="1" x14ac:dyDescent="0.25">
      <c r="B32" s="292" t="s">
        <v>154</v>
      </c>
      <c r="C32" s="293">
        <v>0</v>
      </c>
      <c r="D32" s="292"/>
      <c r="E32" s="156">
        <f t="shared" si="2"/>
        <v>0</v>
      </c>
    </row>
    <row r="33" spans="2:5" ht="25.5" customHeight="1" x14ac:dyDescent="0.25">
      <c r="B33" s="154" t="s">
        <v>155</v>
      </c>
      <c r="C33" s="192">
        <v>0</v>
      </c>
      <c r="D33" s="154"/>
      <c r="E33" s="156">
        <f t="shared" si="2"/>
        <v>0</v>
      </c>
    </row>
    <row r="34" spans="2:5" ht="51" customHeight="1" x14ac:dyDescent="0.25">
      <c r="B34" s="154" t="s">
        <v>156</v>
      </c>
      <c r="C34" s="192">
        <v>0</v>
      </c>
      <c r="D34" s="154"/>
      <c r="E34" s="156">
        <f t="shared" si="2"/>
        <v>0</v>
      </c>
    </row>
    <row r="35" spans="2:5" ht="76.5" customHeight="1" x14ac:dyDescent="0.25">
      <c r="B35" s="154" t="s">
        <v>157</v>
      </c>
      <c r="C35" s="192">
        <v>0</v>
      </c>
      <c r="D35" s="154"/>
      <c r="E35" s="156">
        <f t="shared" si="2"/>
        <v>0</v>
      </c>
    </row>
    <row r="36" spans="2:5" ht="25.5" customHeight="1" x14ac:dyDescent="0.25">
      <c r="B36" s="154" t="s">
        <v>158</v>
      </c>
      <c r="C36" s="192">
        <f>ROUND((C27+C32+C33+C34+C35+C29+C31+C30)*1.72%,2)</f>
        <v>324351.02</v>
      </c>
      <c r="D36" s="154"/>
      <c r="E36" s="156">
        <f t="shared" si="2"/>
        <v>1.6384447512663734E-2</v>
      </c>
    </row>
    <row r="37" spans="2:5" x14ac:dyDescent="0.25">
      <c r="B37" s="154" t="s">
        <v>159</v>
      </c>
      <c r="C37" s="192">
        <f>ROUND((C27+C32+C33+C34+C35+C29+C31+C30)*0.2%,2)</f>
        <v>37715.24</v>
      </c>
      <c r="D37" s="154"/>
      <c r="E37" s="156">
        <f t="shared" si="2"/>
        <v>1.9051685738725771E-3</v>
      </c>
    </row>
    <row r="38" spans="2:5" ht="38.25" customHeight="1" x14ac:dyDescent="0.25">
      <c r="B38" s="154" t="s">
        <v>160</v>
      </c>
      <c r="C38" s="155">
        <f>C27+C32+C33+C34+C35+C29+C31+C30+C36+C37</f>
        <v>19219683.949999996</v>
      </c>
      <c r="D38" s="154"/>
      <c r="E38" s="156">
        <f t="shared" si="2"/>
        <v>0.97087378633420207</v>
      </c>
    </row>
    <row r="39" spans="2:5" ht="13.5" customHeight="1" x14ac:dyDescent="0.25">
      <c r="B39" s="154" t="s">
        <v>161</v>
      </c>
      <c r="C39" s="155">
        <f>ROUND(C38*3%,2)</f>
        <v>576590.52</v>
      </c>
      <c r="D39" s="154"/>
      <c r="E39" s="156">
        <f>C39/$C$38</f>
        <v>3.0000000078044996E-2</v>
      </c>
    </row>
    <row r="40" spans="2:5" x14ac:dyDescent="0.25">
      <c r="B40" s="154" t="s">
        <v>162</v>
      </c>
      <c r="C40" s="155">
        <f>C39+C38</f>
        <v>19796274.469999995</v>
      </c>
      <c r="D40" s="154"/>
      <c r="E40" s="156">
        <f>C40/$C$40</f>
        <v>1</v>
      </c>
    </row>
    <row r="41" spans="2:5" x14ac:dyDescent="0.25">
      <c r="B41" s="154" t="s">
        <v>163</v>
      </c>
      <c r="C41" s="155">
        <f>C40/'Прил.5 Расчет СМР и ОБ'!E40</f>
        <v>19796274.469999995</v>
      </c>
      <c r="D41" s="154"/>
      <c r="E41" s="154"/>
    </row>
    <row r="42" spans="2:5" x14ac:dyDescent="0.25">
      <c r="B42" s="158"/>
      <c r="C42" s="153"/>
      <c r="D42" s="153"/>
      <c r="E42" s="153"/>
    </row>
    <row r="43" spans="2:5" x14ac:dyDescent="0.25">
      <c r="B43" s="158" t="s">
        <v>164</v>
      </c>
      <c r="C43" s="153"/>
      <c r="D43" s="153"/>
      <c r="E43" s="153"/>
    </row>
    <row r="44" spans="2:5" x14ac:dyDescent="0.25">
      <c r="B44" s="158" t="s">
        <v>165</v>
      </c>
      <c r="C44" s="153"/>
      <c r="D44" s="153"/>
      <c r="E44" s="153"/>
    </row>
    <row r="45" spans="2:5" x14ac:dyDescent="0.25">
      <c r="B45" s="158"/>
      <c r="C45" s="153"/>
      <c r="D45" s="153"/>
      <c r="E45" s="153"/>
    </row>
    <row r="46" spans="2:5" x14ac:dyDescent="0.25">
      <c r="B46" s="158" t="s">
        <v>166</v>
      </c>
      <c r="C46" s="153"/>
      <c r="D46" s="153"/>
      <c r="E46" s="153"/>
    </row>
    <row r="47" spans="2:5" x14ac:dyDescent="0.25">
      <c r="B47" s="333" t="s">
        <v>167</v>
      </c>
      <c r="C47" s="333"/>
      <c r="D47" s="153"/>
      <c r="E47" s="153"/>
    </row>
    <row r="49" spans="2:5" x14ac:dyDescent="0.25">
      <c r="B49" s="153"/>
      <c r="C49" s="153"/>
      <c r="D49" s="153"/>
      <c r="E49" s="153"/>
    </row>
    <row r="50" spans="2:5" x14ac:dyDescent="0.25">
      <c r="B50" s="153"/>
      <c r="C50" s="153"/>
      <c r="D50" s="153"/>
      <c r="E50" s="153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J46"/>
  <sheetViews>
    <sheetView tabSelected="1" view="pageBreakPreview" zoomScale="70" zoomScaleSheetLayoutView="70" workbookViewId="0">
      <selection activeCell="J23" sqref="J23"/>
    </sheetView>
  </sheetViews>
  <sheetFormatPr defaultColWidth="9.140625" defaultRowHeight="15" outlineLevelRow="1" x14ac:dyDescent="0.25"/>
  <cols>
    <col min="1" max="1" width="5.7109375" style="14" customWidth="1"/>
    <col min="2" max="2" width="22.5703125" style="14" customWidth="1"/>
    <col min="3" max="3" width="39.140625" style="14" customWidth="1"/>
    <col min="4" max="4" width="15.7109375" style="14" customWidth="1"/>
    <col min="5" max="5" width="12.7109375" style="14" customWidth="1"/>
    <col min="6" max="6" width="15" style="14" customWidth="1"/>
    <col min="7" max="7" width="13.42578125" style="14" customWidth="1"/>
    <col min="8" max="8" width="12.7109375" style="14" customWidth="1"/>
    <col min="9" max="9" width="13.85546875" style="14" customWidth="1"/>
    <col min="10" max="10" width="17.5703125" style="14" customWidth="1"/>
  </cols>
  <sheetData>
    <row r="1" spans="1:10" s="196" customFormat="1" x14ac:dyDescent="0.25">
      <c r="A1" s="195"/>
      <c r="B1" s="195"/>
      <c r="C1" s="195"/>
      <c r="D1" s="195"/>
      <c r="E1" s="195"/>
      <c r="F1" s="195"/>
      <c r="G1" s="195"/>
      <c r="H1" s="195"/>
      <c r="I1" s="195"/>
      <c r="J1" s="195"/>
    </row>
    <row r="2" spans="1:10" s="196" customFormat="1" ht="15.75" customHeight="1" x14ac:dyDescent="0.25">
      <c r="A2" s="195"/>
      <c r="B2" s="195"/>
      <c r="C2" s="195"/>
      <c r="D2" s="195"/>
      <c r="E2" s="195"/>
      <c r="F2" s="195"/>
      <c r="G2" s="195"/>
      <c r="H2" s="334" t="s">
        <v>168</v>
      </c>
      <c r="I2" s="334"/>
      <c r="J2" s="334"/>
    </row>
    <row r="3" spans="1:10" s="196" customFormat="1" x14ac:dyDescent="0.25">
      <c r="A3" s="195"/>
      <c r="B3" s="195"/>
      <c r="C3" s="195"/>
      <c r="D3" s="195"/>
      <c r="E3" s="195"/>
      <c r="F3" s="195"/>
      <c r="G3" s="195"/>
      <c r="H3" s="195"/>
      <c r="I3" s="195"/>
      <c r="J3" s="195"/>
    </row>
    <row r="4" spans="1:10" s="197" customFormat="1" ht="12.75" customHeight="1" x14ac:dyDescent="0.2">
      <c r="A4" s="311" t="s">
        <v>169</v>
      </c>
      <c r="B4" s="311"/>
      <c r="C4" s="311"/>
      <c r="D4" s="311"/>
      <c r="E4" s="311"/>
      <c r="F4" s="311"/>
      <c r="G4" s="311"/>
      <c r="H4" s="311"/>
      <c r="I4" s="311"/>
      <c r="J4" s="311"/>
    </row>
    <row r="5" spans="1:10" s="197" customFormat="1" ht="12.75" customHeight="1" x14ac:dyDescent="0.2">
      <c r="A5" s="279"/>
      <c r="B5" s="279"/>
      <c r="C5" s="198"/>
      <c r="D5" s="279"/>
      <c r="E5" s="279"/>
      <c r="F5" s="279"/>
      <c r="G5" s="279"/>
      <c r="H5" s="279"/>
      <c r="I5" s="279"/>
      <c r="J5" s="279"/>
    </row>
    <row r="6" spans="1:10" s="197" customFormat="1" ht="22.5" customHeight="1" x14ac:dyDescent="0.2">
      <c r="A6" s="199" t="s">
        <v>170</v>
      </c>
      <c r="B6" s="200"/>
      <c r="C6" s="200"/>
      <c r="D6" s="340" t="s">
        <v>171</v>
      </c>
      <c r="E6" s="340"/>
      <c r="F6" s="340"/>
      <c r="G6" s="340"/>
      <c r="H6" s="340"/>
      <c r="I6" s="340"/>
      <c r="J6" s="340"/>
    </row>
    <row r="7" spans="1:10" s="197" customFormat="1" ht="12.75" customHeight="1" x14ac:dyDescent="0.2">
      <c r="A7" s="314" t="s">
        <v>49</v>
      </c>
      <c r="B7" s="332"/>
      <c r="C7" s="332"/>
      <c r="D7" s="332"/>
      <c r="E7" s="332"/>
      <c r="F7" s="332"/>
      <c r="G7" s="332"/>
      <c r="H7" s="332"/>
      <c r="I7" s="201"/>
      <c r="J7" s="201"/>
    </row>
    <row r="8" spans="1:10" s="4" customFormat="1" ht="13.5" customHeight="1" x14ac:dyDescent="0.2">
      <c r="A8" s="314"/>
      <c r="B8" s="332"/>
      <c r="C8" s="332"/>
      <c r="D8" s="332"/>
      <c r="E8" s="332"/>
      <c r="F8" s="332"/>
      <c r="G8" s="332"/>
      <c r="H8" s="332"/>
    </row>
    <row r="9" spans="1:10" s="196" customFormat="1" ht="27" customHeight="1" x14ac:dyDescent="0.25">
      <c r="A9" s="337" t="s">
        <v>13</v>
      </c>
      <c r="B9" s="337" t="s">
        <v>100</v>
      </c>
      <c r="C9" s="337" t="s">
        <v>129</v>
      </c>
      <c r="D9" s="337" t="s">
        <v>102</v>
      </c>
      <c r="E9" s="338" t="s">
        <v>172</v>
      </c>
      <c r="F9" s="335" t="s">
        <v>104</v>
      </c>
      <c r="G9" s="336"/>
      <c r="H9" s="338" t="s">
        <v>173</v>
      </c>
      <c r="I9" s="335" t="s">
        <v>174</v>
      </c>
      <c r="J9" s="336"/>
    </row>
    <row r="10" spans="1:10" s="196" customFormat="1" ht="28.5" customHeight="1" x14ac:dyDescent="0.25">
      <c r="A10" s="337"/>
      <c r="B10" s="337"/>
      <c r="C10" s="337"/>
      <c r="D10" s="337"/>
      <c r="E10" s="339"/>
      <c r="F10" s="144" t="s">
        <v>175</v>
      </c>
      <c r="G10" s="144" t="s">
        <v>106</v>
      </c>
      <c r="H10" s="339"/>
      <c r="I10" s="144" t="s">
        <v>175</v>
      </c>
      <c r="J10" s="144" t="s">
        <v>106</v>
      </c>
    </row>
    <row r="11" spans="1:10" s="196" customFormat="1" x14ac:dyDescent="0.25">
      <c r="A11" s="144">
        <v>1</v>
      </c>
      <c r="B11" s="144">
        <v>2</v>
      </c>
      <c r="C11" s="144">
        <v>3</v>
      </c>
      <c r="D11" s="144">
        <v>4</v>
      </c>
      <c r="E11" s="144">
        <v>5</v>
      </c>
      <c r="F11" s="144">
        <v>6</v>
      </c>
      <c r="G11" s="144">
        <v>7</v>
      </c>
      <c r="H11" s="144">
        <v>8</v>
      </c>
      <c r="I11" s="278">
        <v>9</v>
      </c>
      <c r="J11" s="278">
        <v>10</v>
      </c>
    </row>
    <row r="12" spans="1:10" x14ac:dyDescent="0.25">
      <c r="A12" s="2"/>
      <c r="B12" s="345" t="s">
        <v>176</v>
      </c>
      <c r="C12" s="346"/>
      <c r="D12" s="337"/>
      <c r="E12" s="347"/>
      <c r="F12" s="348"/>
      <c r="G12" s="348"/>
      <c r="H12" s="349"/>
      <c r="I12" s="202"/>
      <c r="J12" s="202"/>
    </row>
    <row r="13" spans="1:10" ht="25.5" customHeight="1" x14ac:dyDescent="0.25">
      <c r="A13" s="2">
        <v>1</v>
      </c>
      <c r="B13" s="203" t="s">
        <v>110</v>
      </c>
      <c r="C13" s="204" t="s">
        <v>177</v>
      </c>
      <c r="D13" s="144" t="s">
        <v>178</v>
      </c>
      <c r="E13" s="205">
        <v>221.58664960196</v>
      </c>
      <c r="F13" s="206">
        <v>10.94</v>
      </c>
      <c r="G13" s="206">
        <f>Прил.3!H12</f>
        <v>2424.16</v>
      </c>
      <c r="H13" s="207">
        <f>G13/$G$14</f>
        <v>1</v>
      </c>
      <c r="I13" s="208">
        <f>ФОТр.тек.!E13</f>
        <v>504.75733271476997</v>
      </c>
      <c r="J13" s="208">
        <f>ROUND(I13*E13,2)</f>
        <v>111847.49</v>
      </c>
    </row>
    <row r="14" spans="1:10" s="14" customFormat="1" ht="25.5" customHeight="1" x14ac:dyDescent="0.2">
      <c r="A14" s="2"/>
      <c r="B14" s="2"/>
      <c r="C14" s="270" t="s">
        <v>179</v>
      </c>
      <c r="D14" s="2" t="s">
        <v>178</v>
      </c>
      <c r="E14" s="209">
        <f>SUM(E13:E13)</f>
        <v>221.58664960196</v>
      </c>
      <c r="F14" s="28"/>
      <c r="G14" s="28">
        <f>SUM(G13:G13)</f>
        <v>2424.16</v>
      </c>
      <c r="H14" s="273">
        <v>1</v>
      </c>
      <c r="I14" s="202"/>
      <c r="J14" s="206">
        <f>SUM(J13:J13)</f>
        <v>111847.49</v>
      </c>
    </row>
    <row r="15" spans="1:10" s="14" customFormat="1" ht="14.25" customHeight="1" x14ac:dyDescent="0.2">
      <c r="A15" s="2"/>
      <c r="B15" s="346" t="s">
        <v>113</v>
      </c>
      <c r="C15" s="346"/>
      <c r="D15" s="337"/>
      <c r="E15" s="347"/>
      <c r="F15" s="348"/>
      <c r="G15" s="348"/>
      <c r="H15" s="349"/>
      <c r="I15" s="202"/>
      <c r="J15" s="202"/>
    </row>
    <row r="16" spans="1:10" s="14" customFormat="1" ht="14.25" customHeight="1" x14ac:dyDescent="0.2">
      <c r="A16" s="2"/>
      <c r="B16" s="345" t="s">
        <v>114</v>
      </c>
      <c r="C16" s="346"/>
      <c r="D16" s="337"/>
      <c r="E16" s="347"/>
      <c r="F16" s="348"/>
      <c r="G16" s="348"/>
      <c r="H16" s="349"/>
      <c r="I16" s="202"/>
      <c r="J16" s="202"/>
    </row>
    <row r="17" spans="1:10" s="14" customFormat="1" ht="14.25" customHeight="1" x14ac:dyDescent="0.2">
      <c r="A17" s="2"/>
      <c r="B17" s="2"/>
      <c r="C17" s="9" t="s">
        <v>180</v>
      </c>
      <c r="D17" s="2"/>
      <c r="E17" s="209"/>
      <c r="F17" s="28"/>
      <c r="G17" s="28">
        <v>0</v>
      </c>
      <c r="H17" s="273">
        <v>0</v>
      </c>
      <c r="I17" s="213"/>
      <c r="J17" s="28">
        <v>0</v>
      </c>
    </row>
    <row r="18" spans="1:10" s="14" customFormat="1" ht="14.25" customHeight="1" x14ac:dyDescent="0.2">
      <c r="A18" s="2"/>
      <c r="B18" s="2"/>
      <c r="C18" s="9" t="s">
        <v>181</v>
      </c>
      <c r="D18" s="2"/>
      <c r="E18" s="271"/>
      <c r="F18" s="28"/>
      <c r="G18" s="213">
        <v>0</v>
      </c>
      <c r="H18" s="214">
        <v>0</v>
      </c>
      <c r="I18" s="215"/>
      <c r="J18" s="215">
        <v>0</v>
      </c>
    </row>
    <row r="19" spans="1:10" s="14" customFormat="1" ht="25.5" customHeight="1" x14ac:dyDescent="0.2">
      <c r="A19" s="2"/>
      <c r="B19" s="2"/>
      <c r="C19" s="270" t="s">
        <v>182</v>
      </c>
      <c r="D19" s="2"/>
      <c r="E19" s="271"/>
      <c r="F19" s="28"/>
      <c r="G19" s="28">
        <f>G18+G17</f>
        <v>0</v>
      </c>
      <c r="H19" s="216">
        <v>1</v>
      </c>
      <c r="I19" s="217"/>
      <c r="J19" s="218">
        <f>J18+J17</f>
        <v>0</v>
      </c>
    </row>
    <row r="20" spans="1:10" s="14" customFormat="1" ht="14.25" customHeight="1" x14ac:dyDescent="0.2">
      <c r="A20" s="2"/>
      <c r="B20" s="345" t="s">
        <v>43</v>
      </c>
      <c r="C20" s="345"/>
      <c r="D20" s="350"/>
      <c r="E20" s="351"/>
      <c r="F20" s="352"/>
      <c r="G20" s="352"/>
      <c r="H20" s="353"/>
      <c r="I20" s="202"/>
      <c r="J20" s="202"/>
    </row>
    <row r="21" spans="1:10" x14ac:dyDescent="0.25">
      <c r="A21" s="274"/>
      <c r="B21" s="346" t="s">
        <v>183</v>
      </c>
      <c r="C21" s="346"/>
      <c r="D21" s="337"/>
      <c r="E21" s="347"/>
      <c r="F21" s="348"/>
      <c r="G21" s="348"/>
      <c r="H21" s="349"/>
      <c r="I21" s="219"/>
      <c r="J21" s="219"/>
    </row>
    <row r="22" spans="1:10" s="14" customFormat="1" ht="38.25" customHeight="1" x14ac:dyDescent="0.2">
      <c r="A22" s="2">
        <v>2</v>
      </c>
      <c r="B22" s="287" t="s">
        <v>184</v>
      </c>
      <c r="C22" s="288" t="s">
        <v>116</v>
      </c>
      <c r="D22" s="220" t="s">
        <v>117</v>
      </c>
      <c r="E22" s="221">
        <v>83</v>
      </c>
      <c r="F22" s="222">
        <f>ROUND(I22/Прил.10!$D$14,2)</f>
        <v>34095.85</v>
      </c>
      <c r="G22" s="212">
        <f>ROUND(E22*F22,2)</f>
        <v>2829955.55</v>
      </c>
      <c r="H22" s="214">
        <f>G22/$G$26</f>
        <v>0.99157929924536858</v>
      </c>
      <c r="I22" s="206">
        <v>213440</v>
      </c>
      <c r="J22" s="206">
        <f>ROUND(I22*E22,2)</f>
        <v>17715520</v>
      </c>
    </row>
    <row r="23" spans="1:10" x14ac:dyDescent="0.25">
      <c r="A23" s="2"/>
      <c r="B23" s="289"/>
      <c r="C23" s="290" t="s">
        <v>185</v>
      </c>
      <c r="D23" s="210"/>
      <c r="E23" s="209"/>
      <c r="F23" s="276"/>
      <c r="G23" s="223">
        <f>SUM(G22)</f>
        <v>2829955.55</v>
      </c>
      <c r="H23" s="214">
        <f>G22/$G$26</f>
        <v>0.99157929924536858</v>
      </c>
      <c r="I23" s="224"/>
      <c r="J23" s="223">
        <f>SUM(J22)</f>
        <v>17715520</v>
      </c>
    </row>
    <row r="24" spans="1:10" s="14" customFormat="1" ht="14.25" customHeight="1" outlineLevel="1" x14ac:dyDescent="0.2">
      <c r="A24" s="2">
        <v>3</v>
      </c>
      <c r="B24" s="287" t="s">
        <v>118</v>
      </c>
      <c r="C24" s="288" t="s">
        <v>119</v>
      </c>
      <c r="D24" s="220" t="s">
        <v>120</v>
      </c>
      <c r="E24" s="221">
        <v>2.3715967477284998</v>
      </c>
      <c r="F24" s="222">
        <v>10133.5</v>
      </c>
      <c r="G24" s="212">
        <f>ROUND(E24*F24,2)</f>
        <v>24032.58</v>
      </c>
      <c r="H24" s="214">
        <f>G24/$G$26</f>
        <v>8.4207007546313814E-3</v>
      </c>
      <c r="I24" s="206">
        <f>ROUND(F24*Прил.10!$D$14,2)</f>
        <v>63435.71</v>
      </c>
      <c r="J24" s="206">
        <f>ROUND(I24*E24,2)</f>
        <v>150443.92000000001</v>
      </c>
    </row>
    <row r="25" spans="1:10" x14ac:dyDescent="0.25">
      <c r="A25" s="2"/>
      <c r="B25" s="289"/>
      <c r="C25" s="290" t="s">
        <v>186</v>
      </c>
      <c r="D25" s="274"/>
      <c r="E25" s="209"/>
      <c r="F25" s="276"/>
      <c r="G25" s="223">
        <f>SUM(G24)</f>
        <v>24032.58</v>
      </c>
      <c r="H25" s="214">
        <f>G25/$G$26</f>
        <v>8.4207007546313814E-3</v>
      </c>
      <c r="I25" s="224"/>
      <c r="J25" s="223">
        <f>SUM(J24)</f>
        <v>150443.92000000001</v>
      </c>
    </row>
    <row r="26" spans="1:10" x14ac:dyDescent="0.25">
      <c r="A26" s="274"/>
      <c r="B26" s="289"/>
      <c r="C26" s="291" t="s">
        <v>187</v>
      </c>
      <c r="D26" s="274"/>
      <c r="E26" s="275"/>
      <c r="F26" s="276"/>
      <c r="G26" s="223">
        <f>G23+G25</f>
        <v>2853988.13</v>
      </c>
      <c r="H26" s="273">
        <v>1</v>
      </c>
      <c r="I26" s="224"/>
      <c r="J26" s="223">
        <f>J25+J23</f>
        <v>17865963.920000002</v>
      </c>
    </row>
    <row r="27" spans="1:10" ht="25.5" customHeight="1" x14ac:dyDescent="0.25">
      <c r="A27" s="274"/>
      <c r="B27" s="289"/>
      <c r="C27" s="290" t="s">
        <v>188</v>
      </c>
      <c r="D27" s="274"/>
      <c r="E27" s="226"/>
      <c r="F27" s="276"/>
      <c r="G27" s="223">
        <f>'Прил.6 Расчет ОБ'!G14</f>
        <v>2853988.13</v>
      </c>
      <c r="H27" s="277"/>
      <c r="I27" s="224"/>
      <c r="J27" s="223">
        <f>ROUND(G27*Прил.10!D14,2)</f>
        <v>17865965.690000001</v>
      </c>
    </row>
    <row r="28" spans="1:10" s="14" customFormat="1" ht="14.25" customHeight="1" x14ac:dyDescent="0.2">
      <c r="A28" s="2"/>
      <c r="B28" s="345" t="s">
        <v>121</v>
      </c>
      <c r="C28" s="345"/>
      <c r="D28" s="350"/>
      <c r="E28" s="351"/>
      <c r="F28" s="352"/>
      <c r="G28" s="352"/>
      <c r="H28" s="353"/>
      <c r="I28" s="202"/>
      <c r="J28" s="202"/>
    </row>
    <row r="29" spans="1:10" s="14" customFormat="1" ht="14.25" customHeight="1" x14ac:dyDescent="0.2">
      <c r="A29" s="269"/>
      <c r="B29" s="341" t="s">
        <v>189</v>
      </c>
      <c r="C29" s="341"/>
      <c r="D29" s="338"/>
      <c r="E29" s="342"/>
      <c r="F29" s="343"/>
      <c r="G29" s="343"/>
      <c r="H29" s="344"/>
      <c r="I29" s="227"/>
      <c r="J29" s="227"/>
    </row>
    <row r="30" spans="1:10" s="14" customFormat="1" ht="25.5" customHeight="1" x14ac:dyDescent="0.2">
      <c r="A30" s="220">
        <v>4</v>
      </c>
      <c r="B30" s="220" t="s">
        <v>122</v>
      </c>
      <c r="C30" s="150" t="s">
        <v>123</v>
      </c>
      <c r="D30" s="220" t="s">
        <v>117</v>
      </c>
      <c r="E30" s="221">
        <v>59.279460450796002</v>
      </c>
      <c r="F30" s="222">
        <v>394.94</v>
      </c>
      <c r="G30" s="212">
        <f>ROUND(E30*F30,2)</f>
        <v>23411.83</v>
      </c>
      <c r="H30" s="214">
        <f>G30/$G$34</f>
        <v>0.99794799396589173</v>
      </c>
      <c r="I30" s="206">
        <f>ROUND(F30*Прил.10!$D$13,2)</f>
        <v>3175.32</v>
      </c>
      <c r="J30" s="206">
        <f>ROUND(I30*E30,2)</f>
        <v>188231.26</v>
      </c>
    </row>
    <row r="31" spans="1:10" s="14" customFormat="1" ht="14.25" customHeight="1" x14ac:dyDescent="0.2">
      <c r="A31" s="228"/>
      <c r="B31" s="229"/>
      <c r="C31" s="230" t="s">
        <v>190</v>
      </c>
      <c r="D31" s="231"/>
      <c r="E31" s="232"/>
      <c r="F31" s="233"/>
      <c r="G31" s="234">
        <f>SUM(G30)</f>
        <v>23411.83</v>
      </c>
      <c r="H31" s="214">
        <f>G31/$G$34</f>
        <v>0.99794799396589173</v>
      </c>
      <c r="I31" s="206"/>
      <c r="J31" s="234">
        <f>SUM(J30)</f>
        <v>188231.26</v>
      </c>
    </row>
    <row r="32" spans="1:10" s="14" customFormat="1" ht="25.5" customHeight="1" outlineLevel="1" x14ac:dyDescent="0.2">
      <c r="A32" s="220">
        <v>5</v>
      </c>
      <c r="B32" s="220" t="s">
        <v>124</v>
      </c>
      <c r="C32" s="150" t="s">
        <v>125</v>
      </c>
      <c r="D32" s="220" t="s">
        <v>126</v>
      </c>
      <c r="E32" s="221">
        <v>48.141731131931003</v>
      </c>
      <c r="F32" s="222">
        <v>1</v>
      </c>
      <c r="G32" s="212">
        <f>ROUND(E32*F32,2)</f>
        <v>48.14</v>
      </c>
      <c r="H32" s="214">
        <f>G32/$G$34</f>
        <v>2.0520060341083128E-3</v>
      </c>
      <c r="I32" s="206">
        <f>ROUND(F32*Прил.10!$D$13,2)</f>
        <v>8.0399999999999991</v>
      </c>
      <c r="J32" s="206">
        <f>ROUND(I32*E32,2)</f>
        <v>387.06</v>
      </c>
    </row>
    <row r="33" spans="1:10" s="14" customFormat="1" ht="14.25" customHeight="1" x14ac:dyDescent="0.2">
      <c r="A33" s="2"/>
      <c r="B33" s="2"/>
      <c r="C33" s="9" t="s">
        <v>191</v>
      </c>
      <c r="D33" s="2"/>
      <c r="E33" s="271"/>
      <c r="F33" s="272"/>
      <c r="G33" s="28">
        <f>SUM(G32:G32)</f>
        <v>48.14</v>
      </c>
      <c r="H33" s="214">
        <f>G33/$G$34</f>
        <v>2.0520060341083128E-3</v>
      </c>
      <c r="I33" s="28"/>
      <c r="J33" s="28">
        <f>SUM(J32:J32)</f>
        <v>387.06</v>
      </c>
    </row>
    <row r="34" spans="1:10" s="14" customFormat="1" ht="14.25" customHeight="1" x14ac:dyDescent="0.2">
      <c r="A34" s="2"/>
      <c r="B34" s="2"/>
      <c r="C34" s="270" t="s">
        <v>192</v>
      </c>
      <c r="D34" s="2"/>
      <c r="E34" s="271"/>
      <c r="F34" s="272"/>
      <c r="G34" s="28">
        <f>G31+G33</f>
        <v>23459.97</v>
      </c>
      <c r="H34" s="273">
        <f>G34/$G$34</f>
        <v>1</v>
      </c>
      <c r="I34" s="28"/>
      <c r="J34" s="28">
        <f>J31+J33</f>
        <v>188618.32</v>
      </c>
    </row>
    <row r="35" spans="1:10" s="14" customFormat="1" ht="14.25" customHeight="1" x14ac:dyDescent="0.2">
      <c r="A35" s="2"/>
      <c r="B35" s="2"/>
      <c r="C35" s="9" t="s">
        <v>193</v>
      </c>
      <c r="D35" s="2"/>
      <c r="E35" s="271"/>
      <c r="F35" s="272"/>
      <c r="G35" s="28">
        <f>G14+G19+G34</f>
        <v>25884.13</v>
      </c>
      <c r="H35" s="273"/>
      <c r="I35" s="28"/>
      <c r="J35" s="28">
        <f>J14+J19+J34</f>
        <v>300465.81</v>
      </c>
    </row>
    <row r="36" spans="1:10" s="14" customFormat="1" ht="14.25" customHeight="1" x14ac:dyDescent="0.2">
      <c r="A36" s="2"/>
      <c r="B36" s="2"/>
      <c r="C36" s="9" t="s">
        <v>194</v>
      </c>
      <c r="D36" s="235">
        <f>ROUND(G36/(0+$G$14),2)</f>
        <v>0.08</v>
      </c>
      <c r="E36" s="271"/>
      <c r="F36" s="272"/>
      <c r="G36" s="28">
        <v>184.03</v>
      </c>
      <c r="H36" s="273"/>
      <c r="I36" s="28"/>
      <c r="J36" s="206">
        <f>ROUND(D36*(J14+0),2)</f>
        <v>8947.7999999999993</v>
      </c>
    </row>
    <row r="37" spans="1:10" s="14" customFormat="1" ht="14.25" customHeight="1" x14ac:dyDescent="0.2">
      <c r="A37" s="2"/>
      <c r="B37" s="2"/>
      <c r="C37" s="9" t="s">
        <v>195</v>
      </c>
      <c r="D37" s="235">
        <f>ROUND(G37/(G$14+0),2)</f>
        <v>0.04</v>
      </c>
      <c r="E37" s="271"/>
      <c r="F37" s="272"/>
      <c r="G37" s="28">
        <v>94.05</v>
      </c>
      <c r="H37" s="273"/>
      <c r="I37" s="28"/>
      <c r="J37" s="206">
        <f>ROUND(D37*(J14+0),2)</f>
        <v>4473.8999999999996</v>
      </c>
    </row>
    <row r="38" spans="1:10" s="14" customFormat="1" ht="14.25" customHeight="1" x14ac:dyDescent="0.2">
      <c r="A38" s="2"/>
      <c r="B38" s="2"/>
      <c r="C38" s="9" t="s">
        <v>196</v>
      </c>
      <c r="D38" s="2"/>
      <c r="E38" s="271"/>
      <c r="F38" s="272"/>
      <c r="G38" s="28">
        <f>G14+G19+G34+G36+G37</f>
        <v>26162.21</v>
      </c>
      <c r="H38" s="273"/>
      <c r="I38" s="28"/>
      <c r="J38" s="28">
        <f>J14+J19+J34+J36+J37</f>
        <v>313887.51</v>
      </c>
    </row>
    <row r="39" spans="1:10" s="14" customFormat="1" ht="14.25" customHeight="1" x14ac:dyDescent="0.2">
      <c r="A39" s="2"/>
      <c r="B39" s="2"/>
      <c r="C39" s="9" t="s">
        <v>197</v>
      </c>
      <c r="D39" s="2"/>
      <c r="E39" s="271"/>
      <c r="F39" s="272"/>
      <c r="G39" s="28">
        <f>G38+G26</f>
        <v>2880150.34</v>
      </c>
      <c r="H39" s="273"/>
      <c r="I39" s="28"/>
      <c r="J39" s="28">
        <f>J38+J26</f>
        <v>18179851.430000003</v>
      </c>
    </row>
    <row r="40" spans="1:10" s="14" customFormat="1" ht="34.5" customHeight="1" x14ac:dyDescent="0.2">
      <c r="A40" s="2"/>
      <c r="B40" s="2"/>
      <c r="C40" s="9" t="s">
        <v>163</v>
      </c>
      <c r="D40" s="2" t="s">
        <v>198</v>
      </c>
      <c r="E40" s="283">
        <v>1</v>
      </c>
      <c r="F40" s="272"/>
      <c r="G40" s="28">
        <f>G39/E40</f>
        <v>2880150.34</v>
      </c>
      <c r="H40" s="273"/>
      <c r="I40" s="28"/>
      <c r="J40" s="28">
        <f>J39/E40</f>
        <v>18179851.430000003</v>
      </c>
    </row>
    <row r="42" spans="1:10" s="14" customFormat="1" ht="14.25" customHeight="1" x14ac:dyDescent="0.2">
      <c r="A42" s="4" t="s">
        <v>199</v>
      </c>
    </row>
    <row r="43" spans="1:10" s="14" customFormat="1" ht="14.25" customHeight="1" x14ac:dyDescent="0.2">
      <c r="A43" s="236" t="s">
        <v>76</v>
      </c>
    </row>
    <row r="44" spans="1:10" s="14" customFormat="1" ht="14.25" customHeight="1" x14ac:dyDescent="0.2">
      <c r="A44" s="4"/>
    </row>
    <row r="45" spans="1:10" s="14" customFormat="1" ht="14.25" customHeight="1" x14ac:dyDescent="0.2">
      <c r="A45" s="4" t="s">
        <v>200</v>
      </c>
    </row>
    <row r="46" spans="1:10" s="14" customFormat="1" ht="14.25" customHeight="1" x14ac:dyDescent="0.2">
      <c r="A46" s="236" t="s">
        <v>78</v>
      </c>
    </row>
  </sheetData>
  <sheetProtection formatCells="0" formatColumns="0" formatRows="0" insertColumns="0" insertRows="0" insertHyperlinks="0" deleteColumns="0" deleteRows="0" sort="0" autoFilter="0" pivotTables="0"/>
  <mergeCells count="20">
    <mergeCell ref="B29:H29"/>
    <mergeCell ref="B12:H12"/>
    <mergeCell ref="B15:H15"/>
    <mergeCell ref="B16:H16"/>
    <mergeCell ref="B21:H21"/>
    <mergeCell ref="B20:H20"/>
    <mergeCell ref="B28:H28"/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</mergeCells>
  <pageMargins left="0.70866141732283505" right="0.70866141732283505" top="0.74803149606299202" bottom="0.74803149606299202" header="0.31496062992126" footer="0.31496062992126"/>
  <pageSetup paperSize="9" scale="77" fitToHeight="0" orientation="landscape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21"/>
  <sheetViews>
    <sheetView view="pageBreakPreview" workbookViewId="0">
      <selection activeCell="D16" sqref="D16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354" t="s">
        <v>201</v>
      </c>
      <c r="B1" s="354"/>
      <c r="C1" s="354"/>
      <c r="D1" s="354"/>
      <c r="E1" s="354"/>
      <c r="F1" s="354"/>
      <c r="G1" s="354"/>
    </row>
    <row r="2" spans="1:7" ht="21.75" customHeight="1" x14ac:dyDescent="0.25">
      <c r="A2" s="280"/>
      <c r="B2" s="280"/>
      <c r="C2" s="280"/>
      <c r="D2" s="280"/>
      <c r="E2" s="280"/>
      <c r="F2" s="280"/>
      <c r="G2" s="280"/>
    </row>
    <row r="3" spans="1:7" x14ac:dyDescent="0.25">
      <c r="A3" s="311" t="s">
        <v>202</v>
      </c>
      <c r="B3" s="311"/>
      <c r="C3" s="311"/>
      <c r="D3" s="311"/>
      <c r="E3" s="311"/>
      <c r="F3" s="311"/>
      <c r="G3" s="311"/>
    </row>
    <row r="4" spans="1:7" ht="25.5" customHeight="1" x14ac:dyDescent="0.25">
      <c r="A4" s="314" t="s">
        <v>47</v>
      </c>
      <c r="B4" s="314"/>
      <c r="C4" s="314"/>
      <c r="D4" s="314"/>
      <c r="E4" s="314"/>
      <c r="F4" s="314"/>
      <c r="G4" s="314"/>
    </row>
    <row r="5" spans="1:7" x14ac:dyDescent="0.25">
      <c r="A5" s="237"/>
      <c r="B5" s="237"/>
      <c r="C5" s="237"/>
      <c r="D5" s="237"/>
      <c r="E5" s="237"/>
      <c r="F5" s="237"/>
      <c r="G5" s="237"/>
    </row>
    <row r="6" spans="1:7" ht="30" customHeight="1" x14ac:dyDescent="0.25">
      <c r="A6" s="359" t="s">
        <v>13</v>
      </c>
      <c r="B6" s="359" t="s">
        <v>100</v>
      </c>
      <c r="C6" s="359" t="s">
        <v>129</v>
      </c>
      <c r="D6" s="359" t="s">
        <v>102</v>
      </c>
      <c r="E6" s="338" t="s">
        <v>172</v>
      </c>
      <c r="F6" s="359" t="s">
        <v>104</v>
      </c>
      <c r="G6" s="359"/>
    </row>
    <row r="7" spans="1:7" x14ac:dyDescent="0.25">
      <c r="A7" s="359"/>
      <c r="B7" s="359"/>
      <c r="C7" s="359"/>
      <c r="D7" s="359"/>
      <c r="E7" s="339"/>
      <c r="F7" s="274" t="s">
        <v>175</v>
      </c>
      <c r="G7" s="274" t="s">
        <v>106</v>
      </c>
    </row>
    <row r="8" spans="1:7" x14ac:dyDescent="0.25">
      <c r="A8" s="274">
        <v>1</v>
      </c>
      <c r="B8" s="274">
        <v>2</v>
      </c>
      <c r="C8" s="274">
        <v>3</v>
      </c>
      <c r="D8" s="274">
        <v>4</v>
      </c>
      <c r="E8" s="274">
        <v>5</v>
      </c>
      <c r="F8" s="274">
        <v>6</v>
      </c>
      <c r="G8" s="274">
        <v>7</v>
      </c>
    </row>
    <row r="9" spans="1:7" ht="15" customHeight="1" x14ac:dyDescent="0.25">
      <c r="A9" s="238"/>
      <c r="B9" s="355" t="s">
        <v>203</v>
      </c>
      <c r="C9" s="356"/>
      <c r="D9" s="356"/>
      <c r="E9" s="356"/>
      <c r="F9" s="356"/>
      <c r="G9" s="357"/>
    </row>
    <row r="10" spans="1:7" ht="27" customHeight="1" x14ac:dyDescent="0.25">
      <c r="A10" s="274"/>
      <c r="B10" s="225"/>
      <c r="C10" s="135" t="s">
        <v>204</v>
      </c>
      <c r="D10" s="225"/>
      <c r="E10" s="239"/>
      <c r="F10" s="276"/>
      <c r="G10" s="223">
        <v>0</v>
      </c>
    </row>
    <row r="11" spans="1:7" x14ac:dyDescent="0.25">
      <c r="A11" s="274"/>
      <c r="B11" s="346" t="s">
        <v>205</v>
      </c>
      <c r="C11" s="346"/>
      <c r="D11" s="346"/>
      <c r="E11" s="358"/>
      <c r="F11" s="348"/>
      <c r="G11" s="348"/>
    </row>
    <row r="12" spans="1:7" s="159" customFormat="1" ht="38.25" customHeight="1" x14ac:dyDescent="0.25">
      <c r="A12" s="274">
        <v>1</v>
      </c>
      <c r="B12" s="135" t="str">
        <f>'Прил.5 Расчет СМР и ОБ'!B22</f>
        <v>БЦ.54.14</v>
      </c>
      <c r="C12" s="240" t="str">
        <f>'Прил.5 Расчет СМР и ОБ'!C22</f>
        <v>Сетевая стационарная IP- камера В5650 и кронштейн крепления для подвесных купольных и стационарных видеокамер</v>
      </c>
      <c r="D12" s="241" t="str">
        <f>'Прил.5 Расчет СМР и ОБ'!D22</f>
        <v>шт</v>
      </c>
      <c r="E12" s="242">
        <f>'Прил.5 Расчет СМР и ОБ'!E22</f>
        <v>83</v>
      </c>
      <c r="F12" s="211">
        <f>'Прил.5 Расчет СМР и ОБ'!F22</f>
        <v>34095.85</v>
      </c>
      <c r="G12" s="223">
        <f>ROUND(E12*F12,2)</f>
        <v>2829955.55</v>
      </c>
    </row>
    <row r="13" spans="1:7" s="159" customFormat="1" ht="15.75" customHeight="1" x14ac:dyDescent="0.25">
      <c r="A13" s="274">
        <v>2</v>
      </c>
      <c r="B13" s="135" t="str">
        <f>'Прил.5 Расчет СМР и ОБ'!B24</f>
        <v>61.3.01.02-0071</v>
      </c>
      <c r="C13" s="240" t="str">
        <f>'Прил.5 Расчет СМР и ОБ'!C24</f>
        <v>Объектив вариофокальный LTC3364/50</v>
      </c>
      <c r="D13" s="241" t="str">
        <f>'Прил.5 Расчет СМР и ОБ'!D24</f>
        <v>10 шт</v>
      </c>
      <c r="E13" s="242">
        <f>'Прил.5 Расчет СМР и ОБ'!E24</f>
        <v>2.3715967477284998</v>
      </c>
      <c r="F13" s="211">
        <f>'Прил.5 Расчет СМР и ОБ'!F24</f>
        <v>10133.5</v>
      </c>
      <c r="G13" s="223">
        <f>ROUND(E13*F13,2)</f>
        <v>24032.58</v>
      </c>
    </row>
    <row r="14" spans="1:7" ht="25.5" customHeight="1" x14ac:dyDescent="0.25">
      <c r="A14" s="274"/>
      <c r="B14" s="135"/>
      <c r="C14" s="135" t="s">
        <v>206</v>
      </c>
      <c r="D14" s="135"/>
      <c r="E14" s="281"/>
      <c r="F14" s="276"/>
      <c r="G14" s="223">
        <f>SUM(G12:G13)</f>
        <v>2853988.13</v>
      </c>
    </row>
    <row r="15" spans="1:7" ht="19.5" customHeight="1" x14ac:dyDescent="0.25">
      <c r="A15" s="274"/>
      <c r="B15" s="135"/>
      <c r="C15" s="135" t="s">
        <v>207</v>
      </c>
      <c r="D15" s="135"/>
      <c r="E15" s="281"/>
      <c r="F15" s="276"/>
      <c r="G15" s="223">
        <f>G10+G14</f>
        <v>2853988.13</v>
      </c>
    </row>
    <row r="16" spans="1:7" x14ac:dyDescent="0.25">
      <c r="A16" s="243"/>
      <c r="B16" s="244"/>
      <c r="C16" s="243"/>
      <c r="D16" s="243"/>
      <c r="E16" s="243"/>
      <c r="F16" s="243"/>
      <c r="G16" s="243"/>
    </row>
    <row r="17" spans="1:7" x14ac:dyDescent="0.25">
      <c r="A17" s="4" t="s">
        <v>199</v>
      </c>
      <c r="B17" s="14"/>
      <c r="C17" s="14"/>
      <c r="D17" s="243"/>
      <c r="E17" s="243"/>
      <c r="F17" s="243"/>
      <c r="G17" s="243"/>
    </row>
    <row r="18" spans="1:7" x14ac:dyDescent="0.25">
      <c r="A18" s="236" t="s">
        <v>76</v>
      </c>
      <c r="B18" s="14"/>
      <c r="C18" s="14"/>
      <c r="D18" s="243"/>
      <c r="E18" s="243"/>
      <c r="F18" s="243"/>
      <c r="G18" s="243"/>
    </row>
    <row r="19" spans="1:7" x14ac:dyDescent="0.25">
      <c r="A19" s="4"/>
      <c r="B19" s="14"/>
      <c r="C19" s="14"/>
      <c r="D19" s="243"/>
      <c r="E19" s="243"/>
      <c r="F19" s="243"/>
      <c r="G19" s="243"/>
    </row>
    <row r="20" spans="1:7" x14ac:dyDescent="0.25">
      <c r="A20" s="4" t="s">
        <v>200</v>
      </c>
      <c r="B20" s="14"/>
      <c r="C20" s="14"/>
      <c r="D20" s="243"/>
      <c r="E20" s="243"/>
      <c r="F20" s="243"/>
      <c r="G20" s="243"/>
    </row>
    <row r="21" spans="1:7" x14ac:dyDescent="0.25">
      <c r="A21" s="236" t="s">
        <v>78</v>
      </c>
      <c r="B21" s="14"/>
      <c r="C21" s="14"/>
      <c r="D21" s="243"/>
      <c r="E21" s="243"/>
      <c r="F21" s="243"/>
      <c r="G21" s="243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14</vt:i4>
      </vt:variant>
    </vt:vector>
  </HeadingPairs>
  <TitlesOfParts>
    <vt:vector size="29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'Прил.1 Сравнит табл'!Область_печати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2023-11-26T05:39:35Z</cp:lastPrinted>
  <dcterms:created xsi:type="dcterms:W3CDTF">2020-09-30T08:50:27Z</dcterms:created>
  <dcterms:modified xsi:type="dcterms:W3CDTF">2023-11-26T05:39:49Z</dcterms:modified>
  <cp:category/>
</cp:coreProperties>
</file>