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91CC2843-FFC2-4CFB-A0B2-CD9ED174721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3" i="9"/>
  <c r="G14" i="9" s="1"/>
  <c r="G12" i="9"/>
  <c r="F12" i="9"/>
  <c r="E12" i="9"/>
  <c r="D12" i="9"/>
  <c r="C12" i="9"/>
  <c r="B12" i="9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G51" i="8" s="1"/>
  <c r="G43" i="8"/>
  <c r="J42" i="8"/>
  <c r="I42" i="8"/>
  <c r="G42" i="8"/>
  <c r="J41" i="8"/>
  <c r="I41" i="8"/>
  <c r="G41" i="8"/>
  <c r="J40" i="8"/>
  <c r="J43" i="8" s="1"/>
  <c r="I40" i="8"/>
  <c r="G40" i="8"/>
  <c r="J39" i="8"/>
  <c r="I39" i="8"/>
  <c r="G39" i="8"/>
  <c r="J38" i="8"/>
  <c r="I38" i="8"/>
  <c r="G38" i="8"/>
  <c r="G35" i="8"/>
  <c r="J35" i="8" s="1"/>
  <c r="C26" i="7" s="1"/>
  <c r="J34" i="8"/>
  <c r="G34" i="8"/>
  <c r="H33" i="8" s="1"/>
  <c r="J32" i="8"/>
  <c r="G32" i="8"/>
  <c r="J31" i="8"/>
  <c r="H31" i="8"/>
  <c r="G31" i="8"/>
  <c r="F31" i="8"/>
  <c r="G27" i="8"/>
  <c r="J26" i="8"/>
  <c r="I26" i="8"/>
  <c r="G26" i="8"/>
  <c r="J25" i="8"/>
  <c r="I25" i="8"/>
  <c r="G25" i="8"/>
  <c r="J24" i="8"/>
  <c r="I24" i="8"/>
  <c r="G24" i="8"/>
  <c r="J23" i="8"/>
  <c r="J27" i="8" s="1"/>
  <c r="I23" i="8"/>
  <c r="G23" i="8"/>
  <c r="J22" i="8"/>
  <c r="G22" i="8"/>
  <c r="J21" i="8"/>
  <c r="I21" i="8"/>
  <c r="G21" i="8"/>
  <c r="J20" i="8"/>
  <c r="I20" i="8"/>
  <c r="G20" i="8"/>
  <c r="J19" i="8"/>
  <c r="I19" i="8"/>
  <c r="G19" i="8"/>
  <c r="G16" i="8"/>
  <c r="E16" i="8"/>
  <c r="J14" i="8"/>
  <c r="E14" i="8"/>
  <c r="J13" i="8"/>
  <c r="I13" i="8"/>
  <c r="G13" i="8"/>
  <c r="C25" i="7"/>
  <c r="C12" i="7"/>
  <c r="C11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8" i="8" l="1"/>
  <c r="C13" i="7"/>
  <c r="C14" i="7" s="1"/>
  <c r="J51" i="8"/>
  <c r="C17" i="7" s="1"/>
  <c r="G52" i="8"/>
  <c r="H50" i="8" s="1"/>
  <c r="H51" i="8"/>
  <c r="C18" i="7"/>
  <c r="H27" i="8"/>
  <c r="J53" i="8"/>
  <c r="C16" i="7"/>
  <c r="J52" i="8"/>
  <c r="G28" i="8"/>
  <c r="H22" i="8" s="1"/>
  <c r="H43" i="8"/>
  <c r="H32" i="8"/>
  <c r="F16" i="8"/>
  <c r="I16" i="8" s="1"/>
  <c r="J16" i="8" s="1"/>
  <c r="C15" i="7" s="1"/>
  <c r="G14" i="8"/>
  <c r="H13" i="8" s="1"/>
  <c r="D54" i="8"/>
  <c r="H28" i="8" l="1"/>
  <c r="C19" i="7"/>
  <c r="H40" i="8"/>
  <c r="H52" i="8"/>
  <c r="H39" i="8"/>
  <c r="H48" i="8"/>
  <c r="H45" i="8"/>
  <c r="H42" i="8"/>
  <c r="H49" i="8"/>
  <c r="H41" i="8"/>
  <c r="H44" i="8"/>
  <c r="H38" i="8"/>
  <c r="H47" i="8"/>
  <c r="H46" i="8"/>
  <c r="H24" i="8"/>
  <c r="H19" i="8"/>
  <c r="H25" i="8"/>
  <c r="H20" i="8"/>
  <c r="H26" i="8"/>
  <c r="H23" i="8"/>
  <c r="H21" i="8"/>
  <c r="D55" i="8"/>
  <c r="G56" i="8"/>
  <c r="G57" i="8" s="1"/>
  <c r="G58" i="8" s="1"/>
  <c r="G53" i="8"/>
  <c r="C23" i="7"/>
  <c r="C22" i="7" s="1"/>
  <c r="J54" i="8"/>
  <c r="C21" i="7" l="1"/>
  <c r="C20" i="7" s="1"/>
  <c r="J55" i="8"/>
  <c r="J56" i="8" s="1"/>
  <c r="J57" i="8" s="1"/>
  <c r="J58" i="8" s="1"/>
  <c r="C24" i="7" l="1"/>
  <c r="D20" i="7" s="1"/>
  <c r="C27" i="7" l="1"/>
  <c r="D18" i="7"/>
  <c r="D14" i="7"/>
  <c r="D24" i="7"/>
  <c r="D16" i="7"/>
  <c r="D12" i="7"/>
  <c r="C29" i="7"/>
  <c r="C30" i="7" s="1"/>
  <c r="D17" i="7"/>
  <c r="D13" i="7"/>
  <c r="D11" i="7"/>
  <c r="D15" i="7"/>
  <c r="D22" i="7"/>
  <c r="C33" i="7" l="1"/>
  <c r="C36" i="7" l="1"/>
  <c r="C37" i="7"/>
  <c r="C38" i="7" l="1"/>
  <c r="C39" i="7" s="1"/>
  <c r="E39" i="7" l="1"/>
  <c r="C40" i="7"/>
  <c r="E32" i="7" l="1"/>
  <c r="E18" i="7"/>
  <c r="E16" i="7"/>
  <c r="E14" i="7"/>
  <c r="E12" i="7"/>
  <c r="E11" i="7"/>
  <c r="E31" i="7"/>
  <c r="E13" i="7"/>
  <c r="E35" i="7"/>
  <c r="E26" i="7"/>
  <c r="C41" i="7"/>
  <c r="D11" i="10" s="1"/>
  <c r="E34" i="7"/>
  <c r="E17" i="7"/>
  <c r="E40" i="7"/>
  <c r="E25" i="7"/>
  <c r="E15" i="7"/>
  <c r="E22" i="7"/>
  <c r="E20" i="7"/>
  <c r="E24" i="7"/>
  <c r="E30" i="7"/>
  <c r="E29" i="7"/>
  <c r="E27" i="7"/>
  <c r="E33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<sst xmlns="http://schemas.openxmlformats.org/spreadsheetml/2006/main" count="638" uniqueCount="403">
  <si>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</si>
  <si>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</si>
  <si>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</si>
  <si>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</si>
  <si>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</si>
  <si>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</si>
  <si>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</si>
  <si>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</si>
  <si>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</si>
  <si>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</si>
  <si>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</si>
  <si>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</si>
  <si>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</si>
  <si>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</si>
  <si>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</si>
  <si>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</si>
  <si>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</si>
  <si>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</si>
  <si>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</si>
  <si>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</si>
  <si>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</si>
  <si>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</si>
  <si>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</si>
  <si>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</si>
  <si>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</si>
  <si>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</si>
  <si>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</si>
  <si>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</si>
  <si>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</si>
  <si>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</si>
  <si>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</si>
  <si>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</si>
  <si>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</si>
  <si>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</si>
  <si>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</si>
  <si>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</si>
  <si>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</si>
  <si>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</si>
  <si>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</si>
  <si>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</si>
  <si>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</si>
  <si>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</si>
  <si>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</si>
  <si>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</si>
  <si>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</si>
  <si>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</si>
  <si>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</si>
  <si>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устройство турникета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</si>
  <si>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</si>
  <si>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</si>
  <si>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</si>
  <si>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</si>
  <si>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</si>
  <si>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</si>
  <si>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</si>
  <si>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</si>
  <si>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</si>
  <si>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</si>
  <si>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</si>
  <si>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</si>
  <si>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</si>
  <si>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</si>
  <si>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</si>
  <si>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</si>
  <si>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</si>
  <si>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</si>
  <si>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</si>
  <si>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</si>
  <si>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</si>
  <si>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</si>
  <si>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</si>
  <si>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</si>
  <si>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</si>
  <si>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</si>
  <si>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</si>
  <si>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</si>
  <si>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</si>
  <si>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</si>
  <si>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</si>
  <si>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</si>
  <si>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</si>
  <si>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устройство турникета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</si>
  <si>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</si>
  <si>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</si>
  <si>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</si>
  <si>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</si>
  <si>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</si>
  <si>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</si>
  <si>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</si>
  <si>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</si>
  <si>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</si>
  <si>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</si>
  <si>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</si>
  <si>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</si>
  <si>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</si>
  <si>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</si>
  <si>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устройство турникета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</si>
  <si>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</si>
  <si>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</si>
  <si>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</si>
  <si>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</si>
  <si>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</si>
  <si>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</si>
  <si>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</si>
  <si>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</si>
  <si>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</si>
  <si>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</si>
  <si>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</si>
  <si>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</si>
  <si>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</si>
  <si>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</si>
  <si>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</si>
  <si>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</si>
  <si>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</si>
  <si>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</si>
  <si>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</si>
  <si>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</si>
  <si>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</si>
  <si>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</si>
  <si>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</si>
  <si>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</si>
  <si>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</si>
  <si>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</si>
  <si>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</si>
  <si>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</si>
  <si>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</si>
  <si>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</si>
  <si>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</si>
  <si>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</si>
  <si>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</si>
  <si>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</si>
  <si>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</si>
  <si>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</si>
  <si>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</si>
  <si>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</si>
  <si>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</si>
  <si>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</si>
  <si>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</si>
  <si>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</si>
  <si>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</si>
  <si>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</si>
  <si>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</si>
  <si>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</si>
  <si>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</si>
  <si>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</si>
  <si>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</si>
  <si>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</si>
  <si>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</si>
  <si>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</si>
  <si>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</si>
  <si>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</si>
  <si>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</si>
  <si>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</si>
  <si>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</si>
  <si>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</si>
  <si>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</si>
  <si>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</si>
  <si>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</si>
  <si>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</si>
  <si>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</si>
  <si>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</si>
  <si>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</si>
  <si>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</si>
  <si>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</si>
  <si>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</si>
  <si>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</si>
  <si>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</si>
  <si>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</si>
  <si>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</si>
  <si>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</si>
  <si>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</si>
  <si>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</si>
  <si>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</si>
  <si>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</si>
  <si>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</si>
  <si>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</si>
  <si>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</si>
  <si>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</si>
  <si>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</si>
  <si>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</si>
  <si>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</si>
  <si>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</si>
  <si>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</si>
  <si>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</si>
  <si>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</si>
  <si>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</si>
  <si>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</si>
  <si>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</si>
  <si>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</si>
  <si>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</si>
  <si>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</si>
  <si>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</si>
  <si>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</si>
  <si>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</si>
  <si>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</si>
  <si>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</si>
  <si>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</si>
  <si>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</si>
  <si>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</si>
  <si>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</si>
  <si>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</si>
  <si>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</si>
  <si>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</si>
  <si>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</si>
  <si>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</si>
  <si>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устройство турникета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</si>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</sst>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6" fillId="0" borderId="0" xfId="0" applyFont="1"/>
    <xf numFmtId="170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28</xdr:row>
      <xdr:rowOff>96157</xdr:rowOff>
    </xdr:from>
    <xdr:to>
      <xdr:col>2</xdr:col>
      <xdr:colOff>1262302</xdr:colOff>
      <xdr:row>31</xdr:row>
      <xdr:rowOff>12131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AF04B1E-475F-4575-BAF3-B635C62DF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143" y="13172621"/>
          <a:ext cx="944802" cy="528296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412751</xdr:colOff>
      <xdr:row>26</xdr:row>
      <xdr:rowOff>300265</xdr:rowOff>
    </xdr:from>
    <xdr:to>
      <xdr:col>2</xdr:col>
      <xdr:colOff>1250950</xdr:colOff>
      <xdr:row>28</xdr:row>
      <xdr:rowOff>75367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29FBFBC-CAA6-468B-9623-00343E7D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394" y="12696372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415018</xdr:colOff>
      <xdr:row>22</xdr:row>
      <xdr:rowOff>120650</xdr:rowOff>
    </xdr:from>
    <xdr:to>
      <xdr:col>2</xdr:col>
      <xdr:colOff>1359820</xdr:colOff>
      <xdr:row>25</xdr:row>
      <xdr:rowOff>36624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503D6B-37D8-463D-870B-942AA952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732" y="6379936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510269</xdr:colOff>
      <xdr:row>20</xdr:row>
      <xdr:rowOff>52615</xdr:rowOff>
    </xdr:from>
    <xdr:to>
      <xdr:col>2</xdr:col>
      <xdr:colOff>1348468</xdr:colOff>
      <xdr:row>22</xdr:row>
      <xdr:rowOff>99860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88F3A3-946C-4639-811F-E2C68CED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983" y="590368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41</xdr:row>
      <xdr:rowOff>68036</xdr:rowOff>
    </xdr:from>
    <xdr:to>
      <xdr:col>2</xdr:col>
      <xdr:colOff>1325802</xdr:colOff>
      <xdr:row>43</xdr:row>
      <xdr:rowOff>184035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CB3E32-5499-4166-B66D-9E3E14149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1421836"/>
          <a:ext cx="944802" cy="49699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39</xdr:row>
      <xdr:rowOff>0</xdr:rowOff>
    </xdr:from>
    <xdr:to>
      <xdr:col>2</xdr:col>
      <xdr:colOff>1314450</xdr:colOff>
      <xdr:row>41</xdr:row>
      <xdr:rowOff>47246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DFBD56A-457E-4B82-B979-381528C60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1" y="10972800"/>
          <a:ext cx="838199" cy="428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D356D0-A046-4DA9-BD53-F59ECDEC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166E0C2-1E48-44F7-9733-5E855946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60</xdr:row>
      <xdr:rowOff>79562</xdr:rowOff>
    </xdr:from>
    <xdr:to>
      <xdr:col>2</xdr:col>
      <xdr:colOff>251158</xdr:colOff>
      <xdr:row>63</xdr:row>
      <xdr:rowOff>32275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F83719-08AD-499D-B636-79B48C8A3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1440516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906557</xdr:colOff>
      <xdr:row>57</xdr:row>
      <xdr:rowOff>441512</xdr:rowOff>
    </xdr:from>
    <xdr:to>
      <xdr:col>2</xdr:col>
      <xdr:colOff>239806</xdr:colOff>
      <xdr:row>60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1D5683A-6B2B-4B3B-BAFE-CE83C43C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557" y="139289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76200</xdr:rowOff>
    </xdr:from>
    <xdr:to>
      <xdr:col>2</xdr:col>
      <xdr:colOff>287577</xdr:colOff>
      <xdr:row>19</xdr:row>
      <xdr:rowOff>28913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15B65F6-3E10-4804-9467-905F791C1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388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609601</xdr:colOff>
      <xdr:row>13</xdr:row>
      <xdr:rowOff>228600</xdr:rowOff>
    </xdr:from>
    <xdr:to>
      <xdr:col>2</xdr:col>
      <xdr:colOff>276225</xdr:colOff>
      <xdr:row>16</xdr:row>
      <xdr:rowOff>55410</xdr:rowOff>
    </xdr:to>
    <xdr:pic>
      <xdr:nvPicPr>
        <xdr:cNvPr id="5" name="Рисунок 4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BA93B37-7B83-44F0-B372-B88C8ECB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3409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4DDB705-FF83-4507-88F2-04344DB85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38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1B6A139-C711-41AE-A25B-DA55B707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27</xdr:row>
      <xdr:rowOff>63500</xdr:rowOff>
    </xdr:from>
    <xdr:to>
      <xdr:col>1</xdr:col>
      <xdr:colOff>1881427</xdr:colOff>
      <xdr:row>30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F6A719-8586-4BF9-8EF4-B2CF730F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9366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1031876</xdr:colOff>
      <xdr:row>24</xdr:row>
      <xdr:rowOff>158750</xdr:rowOff>
    </xdr:from>
    <xdr:to>
      <xdr:col>1</xdr:col>
      <xdr:colOff>1870075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F67C7B8-43AE-4470-899D-4DF872C3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26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9" t="s">
        <v>0</v>
      </c>
      <c r="B2" s="319"/>
      <c r="C2" s="319"/>
    </row>
    <row r="3" spans="1:3" x14ac:dyDescent="0.25">
      <c r="A3" s="1"/>
      <c r="B3" s="1"/>
      <c r="C3" s="1"/>
    </row>
    <row r="4" spans="1:3" x14ac:dyDescent="0.25">
      <c r="A4" s="320" t="s">
        <v>1</v>
      </c>
      <c r="B4" s="320"/>
      <c r="C4" s="3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1" t="s">
        <v>3</v>
      </c>
      <c r="C6" s="32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3" customWidth="1"/>
    <col min="2" max="2" width="16.42578125" style="303" customWidth="1"/>
    <col min="3" max="3" width="37.140625" style="303" customWidth="1"/>
    <col min="4" max="4" width="49" style="303" customWidth="1"/>
    <col min="5" max="5" width="9.140625" style="303" customWidth="1"/>
  </cols>
  <sheetData>
    <row r="1" spans="1:4" ht="15.75" customHeight="1" x14ac:dyDescent="0.25">
      <c r="A1" s="302"/>
      <c r="B1" s="302"/>
      <c r="C1" s="302"/>
      <c r="D1" s="302" t="s">
        <v>243</v>
      </c>
    </row>
    <row r="2" spans="1:4" ht="15.75" customHeight="1" x14ac:dyDescent="0.25">
      <c r="A2" s="302"/>
      <c r="B2" s="302"/>
      <c r="C2" s="302"/>
      <c r="D2" s="302"/>
    </row>
    <row r="3" spans="1:4" ht="15.75" customHeight="1" x14ac:dyDescent="0.25">
      <c r="A3" s="302"/>
      <c r="B3" s="304" t="s">
        <v>244</v>
      </c>
      <c r="C3" s="302"/>
      <c r="D3" s="302"/>
    </row>
    <row r="4" spans="1:4" ht="15.75" customHeight="1" x14ac:dyDescent="0.25">
      <c r="A4" s="302"/>
      <c r="B4" s="302"/>
      <c r="C4" s="302"/>
      <c r="D4" s="302"/>
    </row>
    <row r="5" spans="1:4" ht="31.5" customHeight="1" x14ac:dyDescent="0.25">
      <c r="A5" s="368" t="s">
        <v>245</v>
      </c>
      <c r="B5" s="368"/>
      <c r="C5" s="368"/>
      <c r="D5" s="305" t="str">
        <f>'Прил.5 Расчет СМР и ОБ'!D6:J6</f>
        <v>Постоянная часть ПС, устройство турникета ПС 750 кВ</v>
      </c>
    </row>
    <row r="6" spans="1:4" ht="15.75" customHeight="1" x14ac:dyDescent="0.25">
      <c r="A6" s="302" t="s">
        <v>49</v>
      </c>
      <c r="B6" s="302"/>
      <c r="C6" s="302"/>
      <c r="D6" s="302"/>
    </row>
    <row r="7" spans="1:4" ht="15.75" customHeight="1" x14ac:dyDescent="0.25">
      <c r="A7" s="302"/>
      <c r="B7" s="302"/>
      <c r="C7" s="302"/>
      <c r="D7" s="302"/>
    </row>
    <row r="8" spans="1:4" x14ac:dyDescent="0.25">
      <c r="A8" s="332" t="s">
        <v>5</v>
      </c>
      <c r="B8" s="332" t="s">
        <v>6</v>
      </c>
      <c r="C8" s="332" t="s">
        <v>246</v>
      </c>
      <c r="D8" s="332" t="s">
        <v>247</v>
      </c>
    </row>
    <row r="9" spans="1:4" x14ac:dyDescent="0.25">
      <c r="A9" s="332"/>
      <c r="B9" s="332"/>
      <c r="C9" s="332"/>
      <c r="D9" s="332"/>
    </row>
    <row r="10" spans="1:4" ht="15.75" customHeight="1" x14ac:dyDescent="0.25">
      <c r="A10" s="306">
        <v>1</v>
      </c>
      <c r="B10" s="306">
        <v>2</v>
      </c>
      <c r="C10" s="306">
        <v>3</v>
      </c>
      <c r="D10" s="306">
        <v>4</v>
      </c>
    </row>
    <row r="11" spans="1:4" ht="63" customHeight="1" x14ac:dyDescent="0.25">
      <c r="A11" s="313" t="s">
        <v>248</v>
      </c>
      <c r="B11" s="313" t="s">
        <v>249</v>
      </c>
      <c r="C11" s="307" t="str">
        <f>D5</f>
        <v>Постоянная часть ПС, устройство турникета ПС 750 кВ</v>
      </c>
      <c r="D11" s="308">
        <f>'Прил.4 РМ'!C41/1000</f>
        <v>405.91080000000005</v>
      </c>
    </row>
    <row r="13" spans="1:4" x14ac:dyDescent="0.25">
      <c r="A13" s="309" t="s">
        <v>250</v>
      </c>
      <c r="B13" s="310"/>
      <c r="C13" s="310"/>
      <c r="D13" s="311"/>
    </row>
    <row r="14" spans="1:4" x14ac:dyDescent="0.25">
      <c r="A14" s="312" t="s">
        <v>76</v>
      </c>
      <c r="B14" s="310"/>
      <c r="C14" s="310"/>
      <c r="D14" s="311"/>
    </row>
    <row r="15" spans="1:4" x14ac:dyDescent="0.25">
      <c r="A15" s="309"/>
      <c r="B15" s="310"/>
      <c r="C15" s="310"/>
      <c r="D15" s="311"/>
    </row>
    <row r="16" spans="1:4" x14ac:dyDescent="0.25">
      <c r="A16" s="309" t="s">
        <v>77</v>
      </c>
      <c r="B16" s="310"/>
      <c r="C16" s="310"/>
      <c r="D16" s="311"/>
    </row>
    <row r="17" spans="1:4" x14ac:dyDescent="0.25">
      <c r="A17" s="312" t="s">
        <v>78</v>
      </c>
      <c r="B17" s="310"/>
      <c r="C17" s="310"/>
      <c r="D17" s="31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4" sqref="C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6" t="s">
        <v>251</v>
      </c>
      <c r="C4" s="326"/>
      <c r="D4" s="326"/>
    </row>
    <row r="5" spans="2:5" ht="18.75" customHeight="1" x14ac:dyDescent="0.25">
      <c r="B5" s="252"/>
    </row>
    <row r="6" spans="2:5" ht="15.75" customHeight="1" x14ac:dyDescent="0.25">
      <c r="B6" s="327" t="s">
        <v>252</v>
      </c>
      <c r="C6" s="327"/>
      <c r="D6" s="327"/>
    </row>
    <row r="7" spans="2:5" x14ac:dyDescent="0.25">
      <c r="B7" s="369"/>
      <c r="C7" s="369"/>
      <c r="D7" s="369"/>
      <c r="E7" s="369"/>
    </row>
    <row r="8" spans="2:5" x14ac:dyDescent="0.25">
      <c r="B8" s="253"/>
      <c r="C8" s="253"/>
      <c r="D8" s="253"/>
      <c r="E8" s="253"/>
    </row>
    <row r="9" spans="2:5" ht="47.25" customHeight="1" x14ac:dyDescent="0.25">
      <c r="B9" s="166" t="s">
        <v>253</v>
      </c>
      <c r="C9" s="166" t="s">
        <v>254</v>
      </c>
      <c r="D9" s="166" t="s">
        <v>255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45" customHeight="1" x14ac:dyDescent="0.25">
      <c r="B11" s="166" t="s">
        <v>256</v>
      </c>
      <c r="C11" s="166" t="s">
        <v>257</v>
      </c>
      <c r="D11" s="166">
        <v>44.29</v>
      </c>
    </row>
    <row r="12" spans="2:5" ht="29.25" customHeight="1" x14ac:dyDescent="0.25">
      <c r="B12" s="166" t="s">
        <v>258</v>
      </c>
      <c r="C12" s="166" t="s">
        <v>257</v>
      </c>
      <c r="D12" s="166">
        <v>13.47</v>
      </c>
    </row>
    <row r="13" spans="2:5" ht="29.25" customHeight="1" x14ac:dyDescent="0.25">
      <c r="B13" s="166" t="s">
        <v>259</v>
      </c>
      <c r="C13" s="166" t="s">
        <v>257</v>
      </c>
      <c r="D13" s="166">
        <v>8.0399999999999991</v>
      </c>
    </row>
    <row r="14" spans="2:5" ht="30.75" customHeight="1" x14ac:dyDescent="0.25">
      <c r="B14" s="166" t="s">
        <v>260</v>
      </c>
      <c r="C14" s="169" t="s">
        <v>261</v>
      </c>
      <c r="D14" s="166">
        <v>6.26</v>
      </c>
    </row>
    <row r="15" spans="2:5" ht="89.25" customHeight="1" x14ac:dyDescent="0.25">
      <c r="B15" s="166" t="s">
        <v>262</v>
      </c>
      <c r="C15" s="166" t="s">
        <v>263</v>
      </c>
      <c r="D15" s="254">
        <v>3.9E-2</v>
      </c>
    </row>
    <row r="16" spans="2:5" ht="78.75" customHeight="1" x14ac:dyDescent="0.25">
      <c r="B16" s="166" t="s">
        <v>264</v>
      </c>
      <c r="C16" s="166" t="s">
        <v>265</v>
      </c>
      <c r="D16" s="254">
        <v>2.1000000000000001E-2</v>
      </c>
    </row>
    <row r="17" spans="2:4" ht="34.5" customHeight="1" x14ac:dyDescent="0.25">
      <c r="B17" s="166"/>
      <c r="C17" s="166"/>
      <c r="D17" s="166"/>
    </row>
    <row r="18" spans="2:4" ht="31.5" customHeight="1" x14ac:dyDescent="0.25">
      <c r="B18" s="166" t="s">
        <v>266</v>
      </c>
      <c r="C18" s="166" t="s">
        <v>267</v>
      </c>
      <c r="D18" s="254">
        <v>2.1399999999999999E-2</v>
      </c>
    </row>
    <row r="19" spans="2:4" ht="31.5" customHeight="1" x14ac:dyDescent="0.25">
      <c r="B19" s="166" t="s">
        <v>193</v>
      </c>
      <c r="C19" s="166" t="s">
        <v>268</v>
      </c>
      <c r="D19" s="254">
        <v>2E-3</v>
      </c>
    </row>
    <row r="20" spans="2:4" ht="24" customHeight="1" x14ac:dyDescent="0.25">
      <c r="B20" s="166" t="s">
        <v>195</v>
      </c>
      <c r="C20" s="166" t="s">
        <v>269</v>
      </c>
      <c r="D20" s="254">
        <v>0.03</v>
      </c>
    </row>
    <row r="21" spans="2:4" ht="18.75" customHeight="1" x14ac:dyDescent="0.25">
      <c r="B21" s="255"/>
    </row>
    <row r="22" spans="2:4" ht="18.75" customHeight="1" x14ac:dyDescent="0.25">
      <c r="B22" s="255"/>
    </row>
    <row r="23" spans="2:4" ht="18.75" customHeight="1" x14ac:dyDescent="0.25">
      <c r="B23" s="255"/>
    </row>
    <row r="24" spans="2:4" ht="18.75" customHeight="1" x14ac:dyDescent="0.25">
      <c r="B24" s="255"/>
    </row>
    <row r="27" spans="2:4" x14ac:dyDescent="0.25">
      <c r="B27" s="4" t="s">
        <v>270</v>
      </c>
      <c r="C27" s="14"/>
    </row>
    <row r="28" spans="2:4" x14ac:dyDescent="0.25">
      <c r="B28" s="243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235</v>
      </c>
      <c r="C30" s="14"/>
    </row>
    <row r="31" spans="2:4" x14ac:dyDescent="0.25">
      <c r="B31" s="243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5" sqref="K15"/>
    </sheetView>
  </sheetViews>
  <sheetFormatPr defaultRowHeight="15" x14ac:dyDescent="0.25"/>
  <cols>
    <col min="1" max="1" width="9.140625" style="256" customWidth="1"/>
    <col min="2" max="2" width="44.85546875" style="256" customWidth="1"/>
    <col min="3" max="3" width="13" style="256" customWidth="1"/>
    <col min="4" max="4" width="22.85546875" style="256" customWidth="1"/>
    <col min="5" max="5" width="21.5703125" style="256" customWidth="1"/>
    <col min="6" max="6" width="43.85546875" style="256" customWidth="1"/>
    <col min="7" max="7" width="9.140625" style="256" customWidth="1"/>
  </cols>
  <sheetData>
    <row r="2" spans="1:7" ht="17.25" customHeight="1" x14ac:dyDescent="0.25">
      <c r="A2" s="327" t="s">
        <v>271</v>
      </c>
      <c r="B2" s="327"/>
      <c r="C2" s="327"/>
      <c r="D2" s="327"/>
      <c r="E2" s="327"/>
      <c r="F2" s="327"/>
    </row>
    <row r="4" spans="1:7" ht="18" customHeight="1" x14ac:dyDescent="0.25">
      <c r="A4" s="257" t="s">
        <v>272</v>
      </c>
      <c r="B4" s="258"/>
      <c r="C4" s="258"/>
      <c r="D4" s="258"/>
      <c r="E4" s="258"/>
      <c r="F4" s="258"/>
      <c r="G4" s="258"/>
    </row>
    <row r="5" spans="1:7" ht="15.75" customHeight="1" x14ac:dyDescent="0.25">
      <c r="A5" s="259" t="s">
        <v>13</v>
      </c>
      <c r="B5" s="259" t="s">
        <v>273</v>
      </c>
      <c r="C5" s="259" t="s">
        <v>274</v>
      </c>
      <c r="D5" s="259" t="s">
        <v>275</v>
      </c>
      <c r="E5" s="259" t="s">
        <v>276</v>
      </c>
      <c r="F5" s="259" t="s">
        <v>277</v>
      </c>
      <c r="G5" s="258"/>
    </row>
    <row r="6" spans="1:7" ht="15.75" customHeight="1" x14ac:dyDescent="0.25">
      <c r="A6" s="259">
        <v>1</v>
      </c>
      <c r="B6" s="259">
        <v>2</v>
      </c>
      <c r="C6" s="259">
        <v>3</v>
      </c>
      <c r="D6" s="259">
        <v>4</v>
      </c>
      <c r="E6" s="259">
        <v>5</v>
      </c>
      <c r="F6" s="259">
        <v>6</v>
      </c>
      <c r="G6" s="258"/>
    </row>
    <row r="7" spans="1:7" ht="110.25" customHeight="1" x14ac:dyDescent="0.25">
      <c r="A7" s="260" t="s">
        <v>278</v>
      </c>
      <c r="B7" s="261" t="s">
        <v>279</v>
      </c>
      <c r="C7" s="262" t="s">
        <v>280</v>
      </c>
      <c r="D7" s="262" t="s">
        <v>281</v>
      </c>
      <c r="E7" s="263">
        <v>47872.94</v>
      </c>
      <c r="F7" s="261" t="s">
        <v>282</v>
      </c>
      <c r="G7" s="258"/>
    </row>
    <row r="8" spans="1:7" ht="31.5" customHeight="1" x14ac:dyDescent="0.25">
      <c r="A8" s="260" t="s">
        <v>283</v>
      </c>
      <c r="B8" s="261" t="s">
        <v>284</v>
      </c>
      <c r="C8" s="262" t="s">
        <v>285</v>
      </c>
      <c r="D8" s="262" t="s">
        <v>286</v>
      </c>
      <c r="E8" s="263">
        <f>1973/12</f>
        <v>164.41666666667001</v>
      </c>
      <c r="F8" s="264" t="s">
        <v>287</v>
      </c>
      <c r="G8" s="265"/>
    </row>
    <row r="9" spans="1:7" ht="15.75" customHeight="1" x14ac:dyDescent="0.25">
      <c r="A9" s="260" t="s">
        <v>288</v>
      </c>
      <c r="B9" s="261" t="s">
        <v>289</v>
      </c>
      <c r="C9" s="262" t="s">
        <v>290</v>
      </c>
      <c r="D9" s="262" t="s">
        <v>281</v>
      </c>
      <c r="E9" s="263">
        <v>1</v>
      </c>
      <c r="F9" s="264"/>
      <c r="G9" s="266"/>
    </row>
    <row r="10" spans="1:7" ht="15.75" customHeight="1" x14ac:dyDescent="0.25">
      <c r="A10" s="260" t="s">
        <v>291</v>
      </c>
      <c r="B10" s="261" t="s">
        <v>292</v>
      </c>
      <c r="C10" s="262"/>
      <c r="D10" s="262"/>
      <c r="E10" s="267">
        <v>4.2</v>
      </c>
      <c r="F10" s="264" t="s">
        <v>293</v>
      </c>
      <c r="G10" s="266"/>
    </row>
    <row r="11" spans="1:7" ht="78.75" customHeight="1" x14ac:dyDescent="0.25">
      <c r="A11" s="260" t="s">
        <v>294</v>
      </c>
      <c r="B11" s="261" t="s">
        <v>295</v>
      </c>
      <c r="C11" s="262" t="s">
        <v>296</v>
      </c>
      <c r="D11" s="262" t="s">
        <v>281</v>
      </c>
      <c r="E11" s="268">
        <v>1.38</v>
      </c>
      <c r="F11" s="261" t="s">
        <v>297</v>
      </c>
      <c r="G11" s="258"/>
    </row>
    <row r="12" spans="1:7" ht="78.75" customHeight="1" x14ac:dyDescent="0.25">
      <c r="A12" s="260" t="s">
        <v>298</v>
      </c>
      <c r="B12" s="269" t="s">
        <v>299</v>
      </c>
      <c r="C12" s="262" t="s">
        <v>300</v>
      </c>
      <c r="D12" s="262" t="s">
        <v>281</v>
      </c>
      <c r="E12" s="270">
        <v>1.139</v>
      </c>
      <c r="F12" s="271" t="s">
        <v>301</v>
      </c>
      <c r="G12" s="266"/>
    </row>
    <row r="13" spans="1:7" ht="63" customHeight="1" x14ac:dyDescent="0.25">
      <c r="A13" s="260" t="s">
        <v>302</v>
      </c>
      <c r="B13" s="272" t="s">
        <v>303</v>
      </c>
      <c r="C13" s="262" t="s">
        <v>304</v>
      </c>
      <c r="D13" s="262" t="s">
        <v>305</v>
      </c>
      <c r="E13" s="273">
        <f>((E7*E9/E8)*E11)*E12</f>
        <v>457.66433583861999</v>
      </c>
      <c r="F13" s="261" t="s">
        <v>306</v>
      </c>
      <c r="G13" s="25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0" t="s">
        <v>307</v>
      </c>
      <c r="B1" s="370"/>
      <c r="C1" s="370"/>
      <c r="D1" s="370"/>
      <c r="E1" s="370"/>
      <c r="F1" s="370"/>
      <c r="G1" s="370"/>
      <c r="H1" s="370"/>
      <c r="I1" s="370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2" t="e">
        <f>#REF!</f>
        <v>#REF!</v>
      </c>
      <c r="B3" s="322"/>
      <c r="C3" s="322"/>
      <c r="D3" s="322"/>
      <c r="E3" s="322"/>
      <c r="F3" s="322"/>
      <c r="G3" s="322"/>
      <c r="H3" s="322"/>
      <c r="I3" s="322"/>
    </row>
    <row r="4" spans="1:13" s="4" customFormat="1" ht="15.75" customHeight="1" x14ac:dyDescent="0.2">
      <c r="A4" s="371"/>
      <c r="B4" s="371"/>
      <c r="C4" s="371"/>
      <c r="D4" s="371"/>
      <c r="E4" s="371"/>
      <c r="F4" s="371"/>
      <c r="G4" s="371"/>
      <c r="H4" s="371"/>
      <c r="I4" s="371"/>
    </row>
    <row r="5" spans="1:13" s="32" customFormat="1" ht="36.6" customHeight="1" x14ac:dyDescent="0.35">
      <c r="A5" s="372" t="s">
        <v>13</v>
      </c>
      <c r="B5" s="372" t="s">
        <v>308</v>
      </c>
      <c r="C5" s="372" t="s">
        <v>309</v>
      </c>
      <c r="D5" s="372" t="s">
        <v>310</v>
      </c>
      <c r="E5" s="367" t="s">
        <v>311</v>
      </c>
      <c r="F5" s="367"/>
      <c r="G5" s="367"/>
      <c r="H5" s="367"/>
      <c r="I5" s="367"/>
    </row>
    <row r="6" spans="1:13" s="27" customFormat="1" ht="31.5" customHeight="1" x14ac:dyDescent="0.2">
      <c r="A6" s="372"/>
      <c r="B6" s="372"/>
      <c r="C6" s="372"/>
      <c r="D6" s="372"/>
      <c r="E6" s="33" t="s">
        <v>86</v>
      </c>
      <c r="F6" s="33" t="s">
        <v>87</v>
      </c>
      <c r="G6" s="33" t="s">
        <v>43</v>
      </c>
      <c r="H6" s="33" t="s">
        <v>312</v>
      </c>
      <c r="I6" s="33" t="s">
        <v>313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314</v>
      </c>
      <c r="C9" s="9" t="s">
        <v>315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316</v>
      </c>
      <c r="C11" s="9" t="s">
        <v>264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317</v>
      </c>
      <c r="C12" s="9" t="s">
        <v>318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319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267</v>
      </c>
      <c r="C14" s="9" t="s">
        <v>320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321</v>
      </c>
      <c r="C16" s="9" t="s">
        <v>322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323</v>
      </c>
    </row>
    <row r="17" spans="1:10" s="27" customFormat="1" ht="81.75" customHeight="1" x14ac:dyDescent="0.2">
      <c r="A17" s="34">
        <v>7</v>
      </c>
      <c r="B17" s="9" t="s">
        <v>321</v>
      </c>
      <c r="C17" s="137" t="s">
        <v>324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325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326</v>
      </c>
      <c r="C20" s="9" t="s">
        <v>195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327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328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329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330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331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4" t="s">
        <v>332</v>
      </c>
      <c r="O2" s="374"/>
    </row>
    <row r="3" spans="1:16" x14ac:dyDescent="0.25">
      <c r="A3" s="375" t="s">
        <v>333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</row>
    <row r="5" spans="1:16" s="50" customFormat="1" ht="37.5" customHeight="1" x14ac:dyDescent="0.25">
      <c r="A5" s="376" t="s">
        <v>334</v>
      </c>
      <c r="B5" s="379" t="s">
        <v>335</v>
      </c>
      <c r="C5" s="382" t="s">
        <v>336</v>
      </c>
      <c r="D5" s="385" t="s">
        <v>337</v>
      </c>
      <c r="E5" s="386"/>
      <c r="F5" s="386"/>
      <c r="G5" s="386"/>
      <c r="H5" s="386"/>
      <c r="I5" s="385" t="s">
        <v>338</v>
      </c>
      <c r="J5" s="386"/>
      <c r="K5" s="386"/>
      <c r="L5" s="386"/>
      <c r="M5" s="386"/>
      <c r="N5" s="386"/>
      <c r="O5" s="53" t="s">
        <v>339</v>
      </c>
    </row>
    <row r="6" spans="1:16" s="56" customFormat="1" ht="150" customHeight="1" x14ac:dyDescent="0.25">
      <c r="A6" s="377"/>
      <c r="B6" s="380"/>
      <c r="C6" s="383"/>
      <c r="D6" s="382" t="s">
        <v>340</v>
      </c>
      <c r="E6" s="387" t="s">
        <v>341</v>
      </c>
      <c r="F6" s="388"/>
      <c r="G6" s="389"/>
      <c r="H6" s="54" t="s">
        <v>342</v>
      </c>
      <c r="I6" s="390" t="s">
        <v>343</v>
      </c>
      <c r="J6" s="390" t="s">
        <v>340</v>
      </c>
      <c r="K6" s="391" t="s">
        <v>341</v>
      </c>
      <c r="L6" s="391"/>
      <c r="M6" s="391"/>
      <c r="N6" s="54" t="s">
        <v>342</v>
      </c>
      <c r="O6" s="55" t="s">
        <v>344</v>
      </c>
    </row>
    <row r="7" spans="1:16" s="56" customFormat="1" ht="30.75" customHeight="1" x14ac:dyDescent="0.25">
      <c r="A7" s="378"/>
      <c r="B7" s="381"/>
      <c r="C7" s="384"/>
      <c r="D7" s="384"/>
      <c r="E7" s="53" t="s">
        <v>86</v>
      </c>
      <c r="F7" s="53" t="s">
        <v>87</v>
      </c>
      <c r="G7" s="53" t="s">
        <v>43</v>
      </c>
      <c r="H7" s="57" t="s">
        <v>345</v>
      </c>
      <c r="I7" s="390"/>
      <c r="J7" s="390"/>
      <c r="K7" s="53" t="s">
        <v>86</v>
      </c>
      <c r="L7" s="53" t="s">
        <v>87</v>
      </c>
      <c r="M7" s="53" t="s">
        <v>43</v>
      </c>
      <c r="N7" s="57" t="s">
        <v>345</v>
      </c>
      <c r="O7" s="53" t="s">
        <v>346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6" t="s">
        <v>347</v>
      </c>
      <c r="C9" s="59" t="s">
        <v>348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8"/>
      <c r="C10" s="63" t="s">
        <v>349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6" t="s">
        <v>350</v>
      </c>
      <c r="C11" s="63" t="s">
        <v>351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8"/>
      <c r="C12" s="63" t="s">
        <v>352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6" t="s">
        <v>353</v>
      </c>
      <c r="C13" s="59" t="s">
        <v>354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8"/>
      <c r="C14" s="63" t="s">
        <v>355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356</v>
      </c>
      <c r="C15" s="63" t="s">
        <v>357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358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359</v>
      </c>
    </row>
    <row r="19" spans="1:15" ht="30.75" customHeight="1" x14ac:dyDescent="0.25">
      <c r="L19" s="75"/>
    </row>
    <row r="20" spans="1:15" ht="15" customHeight="1" outlineLevel="1" x14ac:dyDescent="0.25">
      <c r="G20" s="373" t="s">
        <v>360</v>
      </c>
      <c r="H20" s="373"/>
      <c r="I20" s="373"/>
      <c r="J20" s="373"/>
      <c r="K20" s="373"/>
      <c r="L20" s="373"/>
      <c r="M20" s="373"/>
      <c r="N20" s="373"/>
      <c r="O20" s="52"/>
    </row>
    <row r="21" spans="1:15" ht="15.75" customHeight="1" outlineLevel="1" x14ac:dyDescent="0.25">
      <c r="G21" s="76"/>
      <c r="H21" s="76" t="s">
        <v>361</v>
      </c>
      <c r="I21" s="76" t="s">
        <v>362</v>
      </c>
      <c r="J21" s="77" t="s">
        <v>363</v>
      </c>
      <c r="K21" s="78" t="s">
        <v>364</v>
      </c>
      <c r="L21" s="76" t="s">
        <v>365</v>
      </c>
      <c r="M21" s="76" t="s">
        <v>366</v>
      </c>
      <c r="N21" s="77" t="s">
        <v>367</v>
      </c>
      <c r="O21" s="79"/>
    </row>
    <row r="22" spans="1:15" ht="15.75" customHeight="1" outlineLevel="1" x14ac:dyDescent="0.25">
      <c r="G22" s="393" t="s">
        <v>368</v>
      </c>
      <c r="H22" s="392">
        <v>6.09</v>
      </c>
      <c r="I22" s="394">
        <v>6.44</v>
      </c>
      <c r="J22" s="392">
        <v>5.77</v>
      </c>
      <c r="K22" s="394">
        <v>5.77</v>
      </c>
      <c r="L22" s="392">
        <v>5.23</v>
      </c>
      <c r="M22" s="392">
        <v>5.77</v>
      </c>
      <c r="N22" s="80">
        <v>6.29</v>
      </c>
      <c r="O22" s="51" t="s">
        <v>369</v>
      </c>
    </row>
    <row r="23" spans="1:15" ht="15.75" customHeight="1" outlineLevel="1" x14ac:dyDescent="0.25">
      <c r="G23" s="393"/>
      <c r="H23" s="392"/>
      <c r="I23" s="394"/>
      <c r="J23" s="392"/>
      <c r="K23" s="394"/>
      <c r="L23" s="392"/>
      <c r="M23" s="392"/>
      <c r="N23" s="80">
        <v>6.56</v>
      </c>
      <c r="O23" s="51" t="s">
        <v>370</v>
      </c>
    </row>
    <row r="24" spans="1:15" ht="15.75" customHeight="1" outlineLevel="1" x14ac:dyDescent="0.25">
      <c r="G24" s="81" t="s">
        <v>371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345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372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373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312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0" t="s">
        <v>374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4" spans="1:18" ht="36.75" customHeight="1" x14ac:dyDescent="0.25">
      <c r="A4" s="376" t="s">
        <v>334</v>
      </c>
      <c r="B4" s="379" t="s">
        <v>335</v>
      </c>
      <c r="C4" s="382" t="s">
        <v>375</v>
      </c>
      <c r="D4" s="382" t="s">
        <v>376</v>
      </c>
      <c r="E4" s="385" t="s">
        <v>377</v>
      </c>
      <c r="F4" s="386"/>
      <c r="G4" s="386"/>
      <c r="H4" s="386"/>
      <c r="I4" s="386"/>
      <c r="J4" s="386"/>
      <c r="K4" s="386"/>
      <c r="L4" s="386"/>
      <c r="M4" s="386"/>
      <c r="N4" s="411" t="s">
        <v>378</v>
      </c>
      <c r="O4" s="412"/>
      <c r="P4" s="412"/>
      <c r="Q4" s="412"/>
      <c r="R4" s="413"/>
    </row>
    <row r="5" spans="1:18" ht="60" customHeight="1" x14ac:dyDescent="0.25">
      <c r="A5" s="377"/>
      <c r="B5" s="380"/>
      <c r="C5" s="383"/>
      <c r="D5" s="383"/>
      <c r="E5" s="390" t="s">
        <v>379</v>
      </c>
      <c r="F5" s="390" t="s">
        <v>380</v>
      </c>
      <c r="G5" s="387" t="s">
        <v>341</v>
      </c>
      <c r="H5" s="388"/>
      <c r="I5" s="388"/>
      <c r="J5" s="389"/>
      <c r="K5" s="390" t="s">
        <v>381</v>
      </c>
      <c r="L5" s="390"/>
      <c r="M5" s="390"/>
      <c r="N5" s="89" t="s">
        <v>382</v>
      </c>
      <c r="O5" s="89" t="s">
        <v>383</v>
      </c>
      <c r="P5" s="90" t="s">
        <v>384</v>
      </c>
      <c r="Q5" s="91" t="s">
        <v>385</v>
      </c>
      <c r="R5" s="90" t="s">
        <v>386</v>
      </c>
    </row>
    <row r="6" spans="1:18" ht="49.5" customHeight="1" x14ac:dyDescent="0.25">
      <c r="A6" s="378"/>
      <c r="B6" s="381"/>
      <c r="C6" s="384"/>
      <c r="D6" s="384"/>
      <c r="E6" s="390"/>
      <c r="F6" s="390"/>
      <c r="G6" s="53" t="s">
        <v>86</v>
      </c>
      <c r="H6" s="53" t="s">
        <v>87</v>
      </c>
      <c r="I6" s="92" t="s">
        <v>43</v>
      </c>
      <c r="J6" s="92" t="s">
        <v>312</v>
      </c>
      <c r="K6" s="53" t="s">
        <v>382</v>
      </c>
      <c r="L6" s="53" t="s">
        <v>383</v>
      </c>
      <c r="M6" s="53" t="s">
        <v>384</v>
      </c>
      <c r="N6" s="92" t="s">
        <v>387</v>
      </c>
      <c r="O6" s="92" t="s">
        <v>388</v>
      </c>
      <c r="P6" s="92" t="s">
        <v>389</v>
      </c>
      <c r="Q6" s="93" t="s">
        <v>390</v>
      </c>
      <c r="R6" s="94" t="s">
        <v>391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6">
        <v>1</v>
      </c>
      <c r="B9" s="376" t="s">
        <v>392</v>
      </c>
      <c r="C9" s="403" t="s">
        <v>348</v>
      </c>
      <c r="D9" s="99" t="s">
        <v>393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8"/>
      <c r="B10" s="377"/>
      <c r="C10" s="404"/>
      <c r="D10" s="99" t="s">
        <v>394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6">
        <v>2</v>
      </c>
      <c r="B11" s="377"/>
      <c r="C11" s="403" t="s">
        <v>395</v>
      </c>
      <c r="D11" s="104" t="s">
        <v>393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8"/>
      <c r="B12" s="378"/>
      <c r="C12" s="404"/>
      <c r="D12" s="104" t="s">
        <v>394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6">
        <v>3</v>
      </c>
      <c r="B13" s="376" t="s">
        <v>350</v>
      </c>
      <c r="C13" s="406" t="s">
        <v>351</v>
      </c>
      <c r="D13" s="99" t="s">
        <v>396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8"/>
      <c r="B14" s="377"/>
      <c r="C14" s="407"/>
      <c r="D14" s="99" t="s">
        <v>394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6">
        <v>4</v>
      </c>
      <c r="B15" s="377"/>
      <c r="C15" s="408" t="s">
        <v>352</v>
      </c>
      <c r="D15" s="105" t="s">
        <v>396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8"/>
      <c r="B16" s="378"/>
      <c r="C16" s="409"/>
      <c r="D16" s="105" t="s">
        <v>394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6">
        <v>5</v>
      </c>
      <c r="B17" s="391" t="s">
        <v>353</v>
      </c>
      <c r="C17" s="403" t="s">
        <v>397</v>
      </c>
      <c r="D17" s="99" t="s">
        <v>398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8"/>
      <c r="B18" s="391"/>
      <c r="C18" s="404"/>
      <c r="D18" s="99" t="s">
        <v>394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6">
        <v>6</v>
      </c>
      <c r="B19" s="391"/>
      <c r="C19" s="403" t="s">
        <v>355</v>
      </c>
      <c r="D19" s="105" t="s">
        <v>396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8"/>
      <c r="B20" s="391"/>
      <c r="C20" s="404"/>
      <c r="D20" s="105" t="s">
        <v>394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6">
        <v>7</v>
      </c>
      <c r="B21" s="376" t="s">
        <v>356</v>
      </c>
      <c r="C21" s="403" t="s">
        <v>357</v>
      </c>
      <c r="D21" s="105" t="s">
        <v>399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8"/>
      <c r="B22" s="378"/>
      <c r="C22" s="404"/>
      <c r="D22" s="106" t="s">
        <v>394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400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5" t="s">
        <v>401</v>
      </c>
      <c r="E26" s="405"/>
      <c r="F26" s="405"/>
      <c r="G26" s="405"/>
      <c r="H26" s="405"/>
      <c r="I26" s="405"/>
      <c r="J26" s="405"/>
      <c r="K26" s="405"/>
      <c r="L26" s="121"/>
      <c r="R26" s="122"/>
    </row>
    <row r="27" spans="1:18" outlineLevel="1" x14ac:dyDescent="0.25">
      <c r="D27" s="123"/>
      <c r="E27" s="123" t="s">
        <v>361</v>
      </c>
      <c r="F27" s="123" t="s">
        <v>362</v>
      </c>
      <c r="G27" s="123" t="s">
        <v>363</v>
      </c>
      <c r="H27" s="124" t="s">
        <v>364</v>
      </c>
      <c r="I27" s="124" t="s">
        <v>365</v>
      </c>
      <c r="J27" s="124" t="s">
        <v>366</v>
      </c>
      <c r="K27" s="111" t="s">
        <v>367</v>
      </c>
      <c r="L27" s="52"/>
    </row>
    <row r="28" spans="1:18" outlineLevel="1" x14ac:dyDescent="0.25">
      <c r="D28" s="399" t="s">
        <v>368</v>
      </c>
      <c r="E28" s="397">
        <v>6.09</v>
      </c>
      <c r="F28" s="401">
        <v>6.63</v>
      </c>
      <c r="G28" s="397">
        <v>5.77</v>
      </c>
      <c r="H28" s="395">
        <v>5.77</v>
      </c>
      <c r="I28" s="395">
        <v>6.35</v>
      </c>
      <c r="J28" s="397">
        <v>5.77</v>
      </c>
      <c r="K28" s="125">
        <v>6.29</v>
      </c>
      <c r="L28" s="87" t="s">
        <v>369</v>
      </c>
      <c r="M28" s="52"/>
    </row>
    <row r="29" spans="1:18" outlineLevel="1" x14ac:dyDescent="0.25">
      <c r="D29" s="400"/>
      <c r="E29" s="398"/>
      <c r="F29" s="402"/>
      <c r="G29" s="398"/>
      <c r="H29" s="396"/>
      <c r="I29" s="396"/>
      <c r="J29" s="398"/>
      <c r="K29" s="125">
        <v>6.56</v>
      </c>
      <c r="L29" s="87" t="s">
        <v>370</v>
      </c>
      <c r="M29" s="52"/>
    </row>
    <row r="30" spans="1:18" outlineLevel="1" x14ac:dyDescent="0.25">
      <c r="D30" s="126" t="s">
        <v>371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9" t="s">
        <v>345</v>
      </c>
      <c r="E31" s="397">
        <v>11.37</v>
      </c>
      <c r="F31" s="401">
        <v>13.56</v>
      </c>
      <c r="G31" s="397">
        <v>15.91</v>
      </c>
      <c r="H31" s="395">
        <v>15.91</v>
      </c>
      <c r="I31" s="395">
        <v>14.03</v>
      </c>
      <c r="J31" s="397">
        <v>15.91</v>
      </c>
      <c r="K31" s="125">
        <v>8.2899999999999991</v>
      </c>
      <c r="L31" s="87" t="s">
        <v>369</v>
      </c>
      <c r="R31" s="116"/>
    </row>
    <row r="32" spans="1:18" s="87" customFormat="1" outlineLevel="1" x14ac:dyDescent="0.25">
      <c r="D32" s="400"/>
      <c r="E32" s="398"/>
      <c r="F32" s="402"/>
      <c r="G32" s="398"/>
      <c r="H32" s="396"/>
      <c r="I32" s="396"/>
      <c r="J32" s="398"/>
      <c r="K32" s="125">
        <v>11.84</v>
      </c>
      <c r="L32" s="87" t="s">
        <v>370</v>
      </c>
      <c r="R32" s="116"/>
    </row>
    <row r="33" spans="4:18" s="87" customFormat="1" ht="15" customHeight="1" outlineLevel="1" x14ac:dyDescent="0.25">
      <c r="D33" s="129" t="s">
        <v>372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402</v>
      </c>
      <c r="R33" s="116"/>
    </row>
    <row r="34" spans="4:18" s="87" customFormat="1" outlineLevel="1" x14ac:dyDescent="0.25">
      <c r="D34" s="129" t="s">
        <v>373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402</v>
      </c>
      <c r="R34" s="116"/>
    </row>
    <row r="35" spans="4:18" s="87" customFormat="1" outlineLevel="1" x14ac:dyDescent="0.25">
      <c r="D35" s="126" t="s">
        <v>312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9" t="s">
        <v>10</v>
      </c>
      <c r="B2" s="319"/>
      <c r="C2" s="319"/>
      <c r="D2" s="31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2"/>
    </row>
    <row r="5" spans="1:4" x14ac:dyDescent="0.25">
      <c r="A5" s="6"/>
      <c r="B5" s="1"/>
      <c r="C5" s="1"/>
    </row>
    <row r="6" spans="1:4" x14ac:dyDescent="0.25">
      <c r="A6" s="319" t="s">
        <v>12</v>
      </c>
      <c r="B6" s="319"/>
      <c r="C6" s="319"/>
      <c r="D6" s="31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3" t="s">
        <v>5</v>
      </c>
      <c r="B15" s="324" t="s">
        <v>15</v>
      </c>
      <c r="C15" s="324"/>
      <c r="D15" s="324"/>
    </row>
    <row r="16" spans="1:4" x14ac:dyDescent="0.25">
      <c r="A16" s="323"/>
      <c r="B16" s="323" t="s">
        <v>17</v>
      </c>
      <c r="C16" s="324" t="s">
        <v>28</v>
      </c>
      <c r="D16" s="324"/>
    </row>
    <row r="17" spans="1:4" ht="39" customHeight="1" x14ac:dyDescent="0.25">
      <c r="A17" s="323"/>
      <c r="B17" s="32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5" t="s">
        <v>29</v>
      </c>
      <c r="B2" s="325"/>
      <c r="C2" s="325"/>
      <c r="D2" s="32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26" t="s">
        <v>45</v>
      </c>
      <c r="C3" s="326"/>
      <c r="D3" s="326"/>
    </row>
    <row r="4" spans="2:4" x14ac:dyDescent="0.25">
      <c r="B4" s="327" t="s">
        <v>46</v>
      </c>
      <c r="C4" s="327"/>
      <c r="D4" s="327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3.75" customHeight="1" x14ac:dyDescent="0.25">
      <c r="B7" s="328" t="s">
        <v>47</v>
      </c>
      <c r="C7" s="329"/>
      <c r="D7" s="329"/>
    </row>
    <row r="8" spans="2:4" ht="31.5" customHeight="1" x14ac:dyDescent="0.25">
      <c r="B8" s="329" t="s">
        <v>48</v>
      </c>
      <c r="C8" s="329"/>
      <c r="D8" s="329"/>
    </row>
    <row r="9" spans="2:4" x14ac:dyDescent="0.25">
      <c r="B9" s="329" t="s">
        <v>49</v>
      </c>
      <c r="C9" s="329"/>
      <c r="D9" s="329"/>
    </row>
    <row r="10" spans="2:4" x14ac:dyDescent="0.25">
      <c r="B10" s="275"/>
    </row>
    <row r="11" spans="2:4" x14ac:dyDescent="0.25">
      <c r="B11" s="166" t="s">
        <v>33</v>
      </c>
      <c r="C11" s="166" t="s">
        <v>50</v>
      </c>
      <c r="D11" s="167" t="s">
        <v>51</v>
      </c>
    </row>
    <row r="12" spans="2:4" ht="110.25" customHeight="1" x14ac:dyDescent="0.25">
      <c r="B12" s="166">
        <v>1</v>
      </c>
      <c r="C12" s="167" t="s">
        <v>52</v>
      </c>
      <c r="D12" s="314" t="s">
        <v>53</v>
      </c>
    </row>
    <row r="13" spans="2:4" ht="31.5" customHeight="1" x14ac:dyDescent="0.25">
      <c r="B13" s="166">
        <v>2</v>
      </c>
      <c r="C13" s="167" t="s">
        <v>54</v>
      </c>
      <c r="D13" s="314" t="s">
        <v>55</v>
      </c>
    </row>
    <row r="14" spans="2:4" x14ac:dyDescent="0.25">
      <c r="B14" s="166">
        <v>3</v>
      </c>
      <c r="C14" s="167" t="s">
        <v>56</v>
      </c>
      <c r="D14" s="314" t="s">
        <v>57</v>
      </c>
    </row>
    <row r="15" spans="2:4" x14ac:dyDescent="0.25">
      <c r="B15" s="166">
        <v>4</v>
      </c>
      <c r="C15" s="167" t="s">
        <v>58</v>
      </c>
      <c r="D15" s="314">
        <v>1</v>
      </c>
    </row>
    <row r="16" spans="2:4" ht="94.5" customHeight="1" x14ac:dyDescent="0.25">
      <c r="B16" s="166">
        <v>5</v>
      </c>
      <c r="C16" s="169" t="s">
        <v>59</v>
      </c>
      <c r="D16" s="167" t="s">
        <v>60</v>
      </c>
    </row>
    <row r="17" spans="2:5" ht="78.75" customHeight="1" x14ac:dyDescent="0.25">
      <c r="B17" s="166">
        <v>6</v>
      </c>
      <c r="C17" s="169" t="s">
        <v>61</v>
      </c>
      <c r="D17" s="170">
        <f>SUM(D18:D19)</f>
        <v>281.4184798</v>
      </c>
    </row>
    <row r="18" spans="2:5" x14ac:dyDescent="0.25">
      <c r="B18" s="171" t="s">
        <v>62</v>
      </c>
      <c r="C18" s="167" t="s">
        <v>63</v>
      </c>
      <c r="D18" s="170">
        <f>'Прил.2 Расч стоим'!F12</f>
        <v>2.8140111999999999</v>
      </c>
    </row>
    <row r="19" spans="2:5" ht="15.75" customHeight="1" x14ac:dyDescent="0.25">
      <c r="B19" s="171" t="s">
        <v>64</v>
      </c>
      <c r="C19" s="167" t="s">
        <v>65</v>
      </c>
      <c r="D19" s="170">
        <f>'Прил.2 Расч стоим'!H12</f>
        <v>278.60446860000002</v>
      </c>
    </row>
    <row r="20" spans="2:5" ht="16.5" customHeight="1" x14ac:dyDescent="0.25">
      <c r="B20" s="171" t="s">
        <v>66</v>
      </c>
      <c r="C20" s="167" t="s">
        <v>67</v>
      </c>
      <c r="D20" s="170"/>
    </row>
    <row r="21" spans="2:5" ht="35.25" customHeight="1" x14ac:dyDescent="0.25">
      <c r="B21" s="171" t="s">
        <v>68</v>
      </c>
      <c r="C21" s="172" t="s">
        <v>69</v>
      </c>
      <c r="D21" s="170"/>
    </row>
    <row r="22" spans="2:5" x14ac:dyDescent="0.25">
      <c r="B22" s="166">
        <v>7</v>
      </c>
      <c r="C22" s="172" t="s">
        <v>70</v>
      </c>
      <c r="D22" s="314" t="s">
        <v>71</v>
      </c>
    </row>
    <row r="23" spans="2:5" ht="123" customHeight="1" x14ac:dyDescent="0.25">
      <c r="B23" s="166">
        <v>8</v>
      </c>
      <c r="C23" s="173" t="s">
        <v>72</v>
      </c>
      <c r="D23" s="170">
        <f>D17</f>
        <v>281.4184798</v>
      </c>
      <c r="E23" s="290"/>
    </row>
    <row r="24" spans="2:5" ht="60.75" customHeight="1" x14ac:dyDescent="0.25">
      <c r="B24" s="166">
        <v>9</v>
      </c>
      <c r="C24" s="169" t="s">
        <v>73</v>
      </c>
      <c r="D24" s="170">
        <f>D23/D15</f>
        <v>281.4184798</v>
      </c>
    </row>
    <row r="25" spans="2:5" ht="118.5" customHeight="1" x14ac:dyDescent="0.25">
      <c r="B25" s="166">
        <v>10</v>
      </c>
      <c r="C25" s="167" t="s">
        <v>74</v>
      </c>
      <c r="D25" s="167"/>
    </row>
    <row r="26" spans="2:5" x14ac:dyDescent="0.25">
      <c r="B26" s="174"/>
      <c r="C26" s="175"/>
      <c r="D26" s="175"/>
    </row>
    <row r="27" spans="2:5" ht="37.5" customHeight="1" x14ac:dyDescent="0.25">
      <c r="B27" s="176"/>
    </row>
    <row r="28" spans="2:5" x14ac:dyDescent="0.25">
      <c r="B28" s="164" t="s">
        <v>75</v>
      </c>
    </row>
    <row r="29" spans="2:5" x14ac:dyDescent="0.25">
      <c r="B29" s="176" t="s">
        <v>76</v>
      </c>
    </row>
    <row r="31" spans="2:5" x14ac:dyDescent="0.25">
      <c r="B31" s="164" t="s">
        <v>77</v>
      </c>
    </row>
    <row r="32" spans="2:5" x14ac:dyDescent="0.25">
      <c r="B32" s="17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F23" sqref="F23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26" t="s">
        <v>79</v>
      </c>
      <c r="C3" s="326"/>
      <c r="D3" s="326"/>
      <c r="E3" s="326"/>
      <c r="F3" s="326"/>
      <c r="G3" s="326"/>
      <c r="H3" s="326"/>
      <c r="I3" s="326"/>
      <c r="J3" s="326"/>
      <c r="K3" s="176"/>
    </row>
    <row r="4" spans="2:12" x14ac:dyDescent="0.25">
      <c r="B4" s="327" t="s">
        <v>80</v>
      </c>
      <c r="C4" s="327"/>
      <c r="D4" s="327"/>
      <c r="E4" s="327"/>
      <c r="F4" s="327"/>
      <c r="G4" s="327"/>
      <c r="H4" s="327"/>
      <c r="I4" s="327"/>
      <c r="J4" s="327"/>
      <c r="K4" s="327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33" customHeight="1" x14ac:dyDescent="0.25">
      <c r="B6" s="331" t="s">
        <v>81</v>
      </c>
      <c r="C6" s="331"/>
      <c r="D6" s="331"/>
      <c r="E6" s="331"/>
      <c r="F6" s="331"/>
      <c r="G6" s="331"/>
      <c r="H6" s="331"/>
      <c r="I6" s="331"/>
      <c r="J6" s="331"/>
      <c r="K6" s="176"/>
      <c r="L6" s="177"/>
    </row>
    <row r="7" spans="2:12" x14ac:dyDescent="0.25">
      <c r="B7" s="329" t="s">
        <v>49</v>
      </c>
      <c r="C7" s="329"/>
      <c r="D7" s="329"/>
      <c r="E7" s="329"/>
      <c r="F7" s="329"/>
      <c r="G7" s="329"/>
      <c r="H7" s="329"/>
      <c r="I7" s="329"/>
      <c r="J7" s="329"/>
      <c r="K7" s="329"/>
      <c r="L7" s="177"/>
    </row>
    <row r="8" spans="2:12" x14ac:dyDescent="0.25">
      <c r="B8" s="275"/>
    </row>
    <row r="9" spans="2:12" ht="15.75" customHeight="1" x14ac:dyDescent="0.25">
      <c r="B9" s="332" t="s">
        <v>33</v>
      </c>
      <c r="C9" s="332" t="s">
        <v>82</v>
      </c>
      <c r="D9" s="332" t="s">
        <v>51</v>
      </c>
      <c r="E9" s="332"/>
      <c r="F9" s="332"/>
      <c r="G9" s="332"/>
      <c r="H9" s="332"/>
      <c r="I9" s="332"/>
      <c r="J9" s="332"/>
    </row>
    <row r="10" spans="2:12" ht="15.75" customHeight="1" x14ac:dyDescent="0.25">
      <c r="B10" s="332"/>
      <c r="C10" s="332"/>
      <c r="D10" s="332" t="s">
        <v>83</v>
      </c>
      <c r="E10" s="332" t="s">
        <v>84</v>
      </c>
      <c r="F10" s="332" t="s">
        <v>85</v>
      </c>
      <c r="G10" s="332"/>
      <c r="H10" s="332"/>
      <c r="I10" s="332"/>
      <c r="J10" s="332"/>
    </row>
    <row r="11" spans="2:12" ht="31.5" customHeight="1" x14ac:dyDescent="0.25">
      <c r="B11" s="332"/>
      <c r="C11" s="332"/>
      <c r="D11" s="332"/>
      <c r="E11" s="332"/>
      <c r="F11" s="166" t="s">
        <v>86</v>
      </c>
      <c r="G11" s="166" t="s">
        <v>87</v>
      </c>
      <c r="H11" s="166" t="s">
        <v>43</v>
      </c>
      <c r="I11" s="166" t="s">
        <v>88</v>
      </c>
      <c r="J11" s="166" t="s">
        <v>89</v>
      </c>
    </row>
    <row r="12" spans="2:12" ht="110.25" customHeight="1" x14ac:dyDescent="0.25">
      <c r="B12" s="274">
        <v>1</v>
      </c>
      <c r="C12" s="292" t="s">
        <v>60</v>
      </c>
      <c r="D12" s="293"/>
      <c r="E12" s="168"/>
      <c r="F12" s="333">
        <v>2.8140111999999999</v>
      </c>
      <c r="G12" s="334"/>
      <c r="H12" s="178">
        <v>278.60446860000002</v>
      </c>
      <c r="I12" s="179"/>
      <c r="J12" s="180">
        <v>281.4184798</v>
      </c>
    </row>
    <row r="13" spans="2:12" ht="15.75" customHeight="1" x14ac:dyDescent="0.25">
      <c r="B13" s="330" t="s">
        <v>90</v>
      </c>
      <c r="C13" s="330"/>
      <c r="D13" s="330"/>
      <c r="E13" s="330"/>
      <c r="F13" s="181"/>
      <c r="G13" s="181"/>
      <c r="H13" s="181"/>
      <c r="I13" s="182"/>
      <c r="J13" s="183"/>
    </row>
    <row r="14" spans="2:12" ht="28.5" customHeight="1" x14ac:dyDescent="0.25">
      <c r="B14" s="330" t="s">
        <v>91</v>
      </c>
      <c r="C14" s="330"/>
      <c r="D14" s="330"/>
      <c r="E14" s="330"/>
      <c r="F14" s="335">
        <v>2.8140111999999999</v>
      </c>
      <c r="G14" s="336"/>
      <c r="H14" s="316">
        <v>278.60446860000002</v>
      </c>
      <c r="I14" s="317"/>
      <c r="J14" s="318">
        <v>281.4184798</v>
      </c>
    </row>
    <row r="15" spans="2:12" x14ac:dyDescent="0.25">
      <c r="B15" s="275"/>
    </row>
    <row r="18" spans="2:3" x14ac:dyDescent="0.25">
      <c r="B18" s="184" t="s">
        <v>92</v>
      </c>
      <c r="C18" s="164" t="s">
        <v>93</v>
      </c>
    </row>
    <row r="22" spans="2:3" x14ac:dyDescent="0.25">
      <c r="B22" s="164" t="s">
        <v>75</v>
      </c>
    </row>
    <row r="23" spans="2:3" x14ac:dyDescent="0.25">
      <c r="B23" s="176" t="s">
        <v>76</v>
      </c>
    </row>
    <row r="25" spans="2:3" x14ac:dyDescent="0.25">
      <c r="B25" s="164" t="s">
        <v>77</v>
      </c>
    </row>
    <row r="26" spans="2:3" x14ac:dyDescent="0.25">
      <c r="B26" s="17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5"/>
  <sheetViews>
    <sheetView view="pageBreakPreview" zoomScale="55" zoomScaleSheetLayoutView="55" workbookViewId="0">
      <selection activeCell="G180" sqref="G180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5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9.140625" style="164"/>
  </cols>
  <sheetData>
    <row r="2" spans="1:13" s="303" customFormat="1" x14ac:dyDescent="0.25">
      <c r="A2" s="302"/>
      <c r="B2" s="302"/>
      <c r="C2" s="302"/>
      <c r="D2" s="302"/>
      <c r="E2" s="185"/>
      <c r="F2" s="302"/>
      <c r="G2" s="302"/>
      <c r="H2" s="302"/>
      <c r="I2" s="302"/>
      <c r="J2" s="302"/>
      <c r="K2" s="302"/>
    </row>
    <row r="3" spans="1:13" s="303" customFormat="1" x14ac:dyDescent="0.25">
      <c r="A3" s="302"/>
      <c r="B3" s="302"/>
      <c r="C3" s="302"/>
      <c r="D3" s="302"/>
      <c r="E3" s="185"/>
      <c r="F3" s="302"/>
      <c r="G3" s="302"/>
      <c r="H3" s="302"/>
      <c r="I3" s="302"/>
      <c r="J3" s="302"/>
      <c r="K3" s="302"/>
    </row>
    <row r="4" spans="1:13" x14ac:dyDescent="0.25">
      <c r="A4" s="326" t="s">
        <v>94</v>
      </c>
      <c r="B4" s="326"/>
      <c r="C4" s="326"/>
      <c r="D4" s="326"/>
      <c r="E4" s="326"/>
      <c r="F4" s="326"/>
      <c r="G4" s="326"/>
      <c r="H4" s="326"/>
    </row>
    <row r="5" spans="1:13" x14ac:dyDescent="0.25">
      <c r="A5" s="327" t="s">
        <v>95</v>
      </c>
      <c r="B5" s="327"/>
      <c r="C5" s="327"/>
      <c r="D5" s="327"/>
      <c r="E5" s="327"/>
      <c r="F5" s="327"/>
      <c r="G5" s="327"/>
      <c r="H5" s="327"/>
    </row>
    <row r="6" spans="1:13" x14ac:dyDescent="0.25">
      <c r="A6" s="275"/>
    </row>
    <row r="7" spans="1:13" ht="30.75" customHeight="1" x14ac:dyDescent="0.25">
      <c r="A7" s="331" t="s">
        <v>96</v>
      </c>
      <c r="B7" s="331"/>
      <c r="C7" s="331"/>
      <c r="D7" s="331"/>
      <c r="E7" s="331"/>
      <c r="F7" s="331"/>
      <c r="G7" s="331"/>
      <c r="H7" s="331"/>
    </row>
    <row r="8" spans="1:13" x14ac:dyDescent="0.25">
      <c r="A8" s="186"/>
      <c r="B8" s="186"/>
      <c r="C8" s="186"/>
      <c r="D8" s="186"/>
      <c r="E8" s="165"/>
      <c r="F8" s="186"/>
      <c r="G8" s="186"/>
      <c r="H8" s="186"/>
    </row>
    <row r="9" spans="1:13" ht="38.25" customHeight="1" x14ac:dyDescent="0.25">
      <c r="A9" s="332" t="s">
        <v>97</v>
      </c>
      <c r="B9" s="332" t="s">
        <v>98</v>
      </c>
      <c r="C9" s="332" t="s">
        <v>99</v>
      </c>
      <c r="D9" s="332" t="s">
        <v>100</v>
      </c>
      <c r="E9" s="332" t="s">
        <v>101</v>
      </c>
      <c r="F9" s="332" t="s">
        <v>102</v>
      </c>
      <c r="G9" s="332" t="s">
        <v>103</v>
      </c>
      <c r="H9" s="332"/>
    </row>
    <row r="10" spans="1:13" ht="40.5" customHeight="1" x14ac:dyDescent="0.25">
      <c r="A10" s="332"/>
      <c r="B10" s="332"/>
      <c r="C10" s="332"/>
      <c r="D10" s="332"/>
      <c r="E10" s="332"/>
      <c r="F10" s="332"/>
      <c r="G10" s="166" t="s">
        <v>104</v>
      </c>
      <c r="H10" s="166" t="s">
        <v>105</v>
      </c>
    </row>
    <row r="11" spans="1:13" x14ac:dyDescent="0.25">
      <c r="A11" s="187">
        <v>1</v>
      </c>
      <c r="B11" s="187"/>
      <c r="C11" s="187">
        <v>2</v>
      </c>
      <c r="D11" s="187" t="s">
        <v>106</v>
      </c>
      <c r="E11" s="187">
        <v>4</v>
      </c>
      <c r="F11" s="187">
        <v>5</v>
      </c>
      <c r="G11" s="187">
        <v>6</v>
      </c>
      <c r="H11" s="187">
        <v>7</v>
      </c>
    </row>
    <row r="12" spans="1:13" s="189" customFormat="1" x14ac:dyDescent="0.25">
      <c r="A12" s="337" t="s">
        <v>107</v>
      </c>
      <c r="B12" s="338"/>
      <c r="C12" s="339"/>
      <c r="D12" s="339"/>
      <c r="E12" s="338"/>
      <c r="F12" s="188">
        <f>SUM(F13:F13)</f>
        <v>2.06</v>
      </c>
      <c r="G12" s="188"/>
      <c r="H12" s="188">
        <f>SUM(H13:H13)</f>
        <v>20.440000000000001</v>
      </c>
      <c r="I12" s="164"/>
      <c r="J12" s="164"/>
      <c r="K12" s="164"/>
      <c r="L12" s="164"/>
      <c r="M12" s="164"/>
    </row>
    <row r="13" spans="1:13" x14ac:dyDescent="0.25">
      <c r="A13" s="190">
        <v>1</v>
      </c>
      <c r="B13" s="191" t="s">
        <v>108</v>
      </c>
      <c r="C13" s="192" t="s">
        <v>109</v>
      </c>
      <c r="D13" s="193" t="s">
        <v>110</v>
      </c>
      <c r="E13" s="194" t="s">
        <v>111</v>
      </c>
      <c r="F13" s="190">
        <v>2.06</v>
      </c>
      <c r="G13" s="195">
        <v>9.92</v>
      </c>
      <c r="H13" s="195">
        <f>ROUND(F13*G13,2)</f>
        <v>20.440000000000001</v>
      </c>
    </row>
    <row r="14" spans="1:13" x14ac:dyDescent="0.25">
      <c r="A14" s="337" t="s">
        <v>112</v>
      </c>
      <c r="B14" s="338"/>
      <c r="C14" s="339"/>
      <c r="D14" s="339"/>
      <c r="E14" s="338"/>
      <c r="F14" s="276">
        <f>F15</f>
        <v>0.62</v>
      </c>
      <c r="G14" s="188"/>
      <c r="H14" s="188">
        <f>H15</f>
        <v>6.27</v>
      </c>
    </row>
    <row r="15" spans="1:13" x14ac:dyDescent="0.25">
      <c r="A15" s="190">
        <v>2</v>
      </c>
      <c r="B15" s="190" t="s">
        <v>108</v>
      </c>
      <c r="C15" s="193">
        <v>2</v>
      </c>
      <c r="D15" s="193" t="s">
        <v>112</v>
      </c>
      <c r="E15" s="194" t="s">
        <v>111</v>
      </c>
      <c r="F15" s="190">
        <v>0.62</v>
      </c>
      <c r="G15" s="195"/>
      <c r="H15" s="195">
        <v>6.27</v>
      </c>
    </row>
    <row r="16" spans="1:13" s="189" customFormat="1" x14ac:dyDescent="0.25">
      <c r="A16" s="337" t="s">
        <v>113</v>
      </c>
      <c r="B16" s="338"/>
      <c r="C16" s="339"/>
      <c r="D16" s="339"/>
      <c r="E16" s="338"/>
      <c r="F16" s="276"/>
      <c r="G16" s="188"/>
      <c r="H16" s="188">
        <f>SUM(H17:H23)</f>
        <v>46.83</v>
      </c>
      <c r="I16" s="164"/>
      <c r="J16" s="164"/>
      <c r="K16" s="164"/>
      <c r="L16" s="164"/>
      <c r="M16" s="164"/>
    </row>
    <row r="17" spans="1:13" ht="31.5" x14ac:dyDescent="0.25">
      <c r="A17" s="190">
        <v>3</v>
      </c>
      <c r="B17" s="190" t="s">
        <v>108</v>
      </c>
      <c r="C17" s="193" t="s">
        <v>114</v>
      </c>
      <c r="D17" s="193" t="s">
        <v>115</v>
      </c>
      <c r="E17" s="194" t="s">
        <v>116</v>
      </c>
      <c r="F17" s="190">
        <v>0.3</v>
      </c>
      <c r="G17" s="195">
        <v>70</v>
      </c>
      <c r="H17" s="195">
        <f t="shared" ref="H17:H23" si="0">ROUND(F17*G17,2)</f>
        <v>21</v>
      </c>
    </row>
    <row r="18" spans="1:13" s="189" customFormat="1" ht="31.5" customHeight="1" x14ac:dyDescent="0.25">
      <c r="A18" s="190">
        <v>4</v>
      </c>
      <c r="B18" s="190" t="s">
        <v>108</v>
      </c>
      <c r="C18" s="193" t="s">
        <v>117</v>
      </c>
      <c r="D18" s="193" t="s">
        <v>118</v>
      </c>
      <c r="E18" s="194" t="s">
        <v>116</v>
      </c>
      <c r="F18" s="190">
        <v>0.3</v>
      </c>
      <c r="G18" s="195">
        <v>56.24</v>
      </c>
      <c r="H18" s="195">
        <f t="shared" si="0"/>
        <v>16.87</v>
      </c>
      <c r="I18" s="164"/>
      <c r="J18" s="164"/>
      <c r="K18" s="164"/>
      <c r="L18" s="164"/>
      <c r="M18" s="164"/>
    </row>
    <row r="19" spans="1:13" s="189" customFormat="1" ht="31.5" customHeight="1" x14ac:dyDescent="0.25">
      <c r="A19" s="190">
        <v>5</v>
      </c>
      <c r="B19" s="190" t="s">
        <v>108</v>
      </c>
      <c r="C19" s="193" t="s">
        <v>119</v>
      </c>
      <c r="D19" s="193" t="s">
        <v>120</v>
      </c>
      <c r="E19" s="194" t="s">
        <v>116</v>
      </c>
      <c r="F19" s="190">
        <v>0.3</v>
      </c>
      <c r="G19" s="195">
        <v>16.920000000000002</v>
      </c>
      <c r="H19" s="195">
        <f t="shared" si="0"/>
        <v>5.08</v>
      </c>
      <c r="I19" s="164"/>
      <c r="J19" s="164"/>
      <c r="K19" s="164"/>
      <c r="L19" s="164"/>
      <c r="M19" s="164"/>
    </row>
    <row r="20" spans="1:13" s="189" customFormat="1" x14ac:dyDescent="0.25">
      <c r="A20" s="190">
        <v>6</v>
      </c>
      <c r="B20" s="190" t="s">
        <v>108</v>
      </c>
      <c r="C20" s="193" t="s">
        <v>121</v>
      </c>
      <c r="D20" s="193" t="s">
        <v>122</v>
      </c>
      <c r="E20" s="194" t="s">
        <v>116</v>
      </c>
      <c r="F20" s="190">
        <v>0.64</v>
      </c>
      <c r="G20" s="195">
        <v>2.36</v>
      </c>
      <c r="H20" s="195">
        <f t="shared" si="0"/>
        <v>1.51</v>
      </c>
      <c r="I20" s="164"/>
      <c r="J20" s="164"/>
      <c r="K20" s="164"/>
      <c r="L20" s="164"/>
      <c r="M20" s="164"/>
    </row>
    <row r="21" spans="1:13" s="189" customFormat="1" ht="31.5" x14ac:dyDescent="0.25">
      <c r="A21" s="190">
        <v>7</v>
      </c>
      <c r="B21" s="190" t="s">
        <v>108</v>
      </c>
      <c r="C21" s="193" t="s">
        <v>123</v>
      </c>
      <c r="D21" s="193" t="s">
        <v>124</v>
      </c>
      <c r="E21" s="194" t="s">
        <v>116</v>
      </c>
      <c r="F21" s="190">
        <v>0.02</v>
      </c>
      <c r="G21" s="195">
        <v>65.709999999999994</v>
      </c>
      <c r="H21" s="195">
        <f t="shared" si="0"/>
        <v>1.31</v>
      </c>
      <c r="I21" s="164"/>
      <c r="J21" s="164"/>
      <c r="K21" s="164"/>
      <c r="L21" s="164"/>
      <c r="M21" s="164"/>
    </row>
    <row r="22" spans="1:13" s="189" customFormat="1" ht="31.5" customHeight="1" x14ac:dyDescent="0.25">
      <c r="A22" s="190">
        <v>8</v>
      </c>
      <c r="B22" s="190" t="s">
        <v>108</v>
      </c>
      <c r="C22" s="193" t="s">
        <v>125</v>
      </c>
      <c r="D22" s="193" t="s">
        <v>126</v>
      </c>
      <c r="E22" s="194" t="s">
        <v>116</v>
      </c>
      <c r="F22" s="190">
        <v>0.08</v>
      </c>
      <c r="G22" s="195">
        <v>8.1</v>
      </c>
      <c r="H22" s="195">
        <f t="shared" si="0"/>
        <v>0.65</v>
      </c>
      <c r="I22" s="164"/>
      <c r="J22" s="164"/>
      <c r="K22" s="315"/>
      <c r="L22" s="164"/>
      <c r="M22" s="164"/>
    </row>
    <row r="23" spans="1:13" s="189" customFormat="1" ht="47.25" customHeight="1" x14ac:dyDescent="0.25">
      <c r="A23" s="190">
        <v>9</v>
      </c>
      <c r="B23" s="190" t="s">
        <v>108</v>
      </c>
      <c r="C23" s="193" t="s">
        <v>127</v>
      </c>
      <c r="D23" s="193" t="s">
        <v>128</v>
      </c>
      <c r="E23" s="194" t="s">
        <v>116</v>
      </c>
      <c r="F23" s="190">
        <v>0.06</v>
      </c>
      <c r="G23" s="195">
        <v>6.82</v>
      </c>
      <c r="H23" s="195">
        <f t="shared" si="0"/>
        <v>0.41</v>
      </c>
      <c r="I23" s="164"/>
      <c r="J23" s="164"/>
      <c r="K23" s="164"/>
      <c r="L23" s="164"/>
      <c r="M23" s="164"/>
    </row>
    <row r="24" spans="1:13" x14ac:dyDescent="0.25">
      <c r="A24" s="337" t="s">
        <v>43</v>
      </c>
      <c r="B24" s="338"/>
      <c r="C24" s="339"/>
      <c r="D24" s="339"/>
      <c r="E24" s="338"/>
      <c r="F24" s="276"/>
      <c r="G24" s="188"/>
      <c r="H24" s="188">
        <f>SUM(H25:H25)</f>
        <v>60830.67</v>
      </c>
    </row>
    <row r="25" spans="1:13" s="189" customFormat="1" x14ac:dyDescent="0.25">
      <c r="A25" s="190">
        <v>10</v>
      </c>
      <c r="B25" s="190" t="s">
        <v>108</v>
      </c>
      <c r="C25" s="193" t="s">
        <v>129</v>
      </c>
      <c r="D25" s="193" t="s">
        <v>130</v>
      </c>
      <c r="E25" s="194" t="s">
        <v>131</v>
      </c>
      <c r="F25" s="190">
        <v>1</v>
      </c>
      <c r="G25" s="195">
        <v>60830.67</v>
      </c>
      <c r="H25" s="195">
        <f>ROUND(F25*G25,2)</f>
        <v>60830.67</v>
      </c>
      <c r="I25" s="164"/>
      <c r="J25" s="164"/>
      <c r="K25" s="164"/>
      <c r="L25" s="164"/>
      <c r="M25" s="164"/>
    </row>
    <row r="26" spans="1:13" x14ac:dyDescent="0.25">
      <c r="A26" s="337" t="s">
        <v>132</v>
      </c>
      <c r="B26" s="338"/>
      <c r="C26" s="339"/>
      <c r="D26" s="339"/>
      <c r="E26" s="338"/>
      <c r="F26" s="276"/>
      <c r="G26" s="188"/>
      <c r="H26" s="188">
        <f>SUM(H27:H38)</f>
        <v>285.39</v>
      </c>
    </row>
    <row r="27" spans="1:13" ht="31.5" customHeight="1" x14ac:dyDescent="0.25">
      <c r="A27" s="190">
        <v>11</v>
      </c>
      <c r="B27" s="190" t="s">
        <v>108</v>
      </c>
      <c r="C27" s="193" t="s">
        <v>133</v>
      </c>
      <c r="D27" s="193" t="s">
        <v>134</v>
      </c>
      <c r="E27" s="194" t="s">
        <v>135</v>
      </c>
      <c r="F27" s="190">
        <v>1.2999999999999999E-2</v>
      </c>
      <c r="G27" s="195">
        <v>5941.89</v>
      </c>
      <c r="H27" s="195">
        <f t="shared" ref="H27:H38" si="1">ROUND(F27*G27,2)</f>
        <v>77.239999999999995</v>
      </c>
    </row>
    <row r="28" spans="1:13" x14ac:dyDescent="0.25">
      <c r="A28" s="190">
        <v>12</v>
      </c>
      <c r="B28" s="190" t="s">
        <v>108</v>
      </c>
      <c r="C28" s="193" t="s">
        <v>136</v>
      </c>
      <c r="D28" s="193" t="s">
        <v>137</v>
      </c>
      <c r="E28" s="194" t="s">
        <v>135</v>
      </c>
      <c r="F28" s="190">
        <v>0.01</v>
      </c>
      <c r="G28" s="195">
        <v>5548.88</v>
      </c>
      <c r="H28" s="195">
        <f t="shared" si="1"/>
        <v>55.49</v>
      </c>
    </row>
    <row r="29" spans="1:13" ht="31.5" customHeight="1" x14ac:dyDescent="0.25">
      <c r="A29" s="190">
        <v>13</v>
      </c>
      <c r="B29" s="190" t="s">
        <v>108</v>
      </c>
      <c r="C29" s="193" t="s">
        <v>138</v>
      </c>
      <c r="D29" s="193" t="s">
        <v>139</v>
      </c>
      <c r="E29" s="194" t="s">
        <v>135</v>
      </c>
      <c r="F29" s="190">
        <v>4.0000000000000001E-3</v>
      </c>
      <c r="G29" s="195">
        <v>13615.1</v>
      </c>
      <c r="H29" s="195">
        <f t="shared" si="1"/>
        <v>54.46</v>
      </c>
    </row>
    <row r="30" spans="1:13" ht="31.5" customHeight="1" x14ac:dyDescent="0.25">
      <c r="A30" s="190">
        <v>14</v>
      </c>
      <c r="B30" s="190" t="s">
        <v>108</v>
      </c>
      <c r="C30" s="193" t="s">
        <v>140</v>
      </c>
      <c r="D30" s="193" t="s">
        <v>141</v>
      </c>
      <c r="E30" s="194" t="s">
        <v>135</v>
      </c>
      <c r="F30" s="190">
        <v>6.0000000000000001E-3</v>
      </c>
      <c r="G30" s="195">
        <v>5891.61</v>
      </c>
      <c r="H30" s="195">
        <f t="shared" si="1"/>
        <v>35.35</v>
      </c>
    </row>
    <row r="31" spans="1:13" x14ac:dyDescent="0.25">
      <c r="A31" s="190">
        <v>15</v>
      </c>
      <c r="B31" s="190" t="s">
        <v>108</v>
      </c>
      <c r="C31" s="193" t="s">
        <v>142</v>
      </c>
      <c r="D31" s="193" t="s">
        <v>143</v>
      </c>
      <c r="E31" s="194" t="s">
        <v>135</v>
      </c>
      <c r="F31" s="190">
        <v>1.1299999999999999E-3</v>
      </c>
      <c r="G31" s="195">
        <v>28300.400000000001</v>
      </c>
      <c r="H31" s="195">
        <f t="shared" si="1"/>
        <v>31.98</v>
      </c>
    </row>
    <row r="32" spans="1:13" x14ac:dyDescent="0.25">
      <c r="A32" s="190">
        <v>16</v>
      </c>
      <c r="B32" s="190" t="s">
        <v>108</v>
      </c>
      <c r="C32" s="193" t="s">
        <v>144</v>
      </c>
      <c r="D32" s="193" t="s">
        <v>145</v>
      </c>
      <c r="E32" s="194" t="s">
        <v>135</v>
      </c>
      <c r="F32" s="190">
        <v>8.8000000000000003E-4</v>
      </c>
      <c r="G32" s="195">
        <v>15620</v>
      </c>
      <c r="H32" s="195">
        <f t="shared" si="1"/>
        <v>13.75</v>
      </c>
    </row>
    <row r="33" spans="1:8" x14ac:dyDescent="0.25">
      <c r="A33" s="190">
        <v>17</v>
      </c>
      <c r="B33" s="190" t="s">
        <v>108</v>
      </c>
      <c r="C33" s="193" t="s">
        <v>146</v>
      </c>
      <c r="D33" s="193" t="s">
        <v>147</v>
      </c>
      <c r="E33" s="194" t="s">
        <v>135</v>
      </c>
      <c r="F33" s="190">
        <v>7.2000000000000005E-4</v>
      </c>
      <c r="G33" s="195">
        <v>10315.01</v>
      </c>
      <c r="H33" s="195">
        <f t="shared" si="1"/>
        <v>7.43</v>
      </c>
    </row>
    <row r="34" spans="1:8" x14ac:dyDescent="0.25">
      <c r="A34" s="190">
        <v>18</v>
      </c>
      <c r="B34" s="190" t="s">
        <v>108</v>
      </c>
      <c r="C34" s="193" t="s">
        <v>148</v>
      </c>
      <c r="D34" s="193" t="s">
        <v>149</v>
      </c>
      <c r="E34" s="194" t="s">
        <v>150</v>
      </c>
      <c r="F34" s="190">
        <v>0.48</v>
      </c>
      <c r="G34" s="195">
        <v>9.42</v>
      </c>
      <c r="H34" s="195">
        <f t="shared" si="1"/>
        <v>4.5199999999999996</v>
      </c>
    </row>
    <row r="35" spans="1:8" x14ac:dyDescent="0.25">
      <c r="A35" s="190">
        <v>19</v>
      </c>
      <c r="B35" s="190" t="s">
        <v>108</v>
      </c>
      <c r="C35" s="193" t="s">
        <v>151</v>
      </c>
      <c r="D35" s="193" t="s">
        <v>152</v>
      </c>
      <c r="E35" s="194" t="s">
        <v>150</v>
      </c>
      <c r="F35" s="190">
        <v>0.13</v>
      </c>
      <c r="G35" s="195">
        <v>31.17</v>
      </c>
      <c r="H35" s="195">
        <f t="shared" si="1"/>
        <v>4.05</v>
      </c>
    </row>
    <row r="36" spans="1:8" ht="31.5" customHeight="1" x14ac:dyDescent="0.25">
      <c r="A36" s="190">
        <v>20</v>
      </c>
      <c r="B36" s="190" t="s">
        <v>108</v>
      </c>
      <c r="C36" s="193" t="s">
        <v>153</v>
      </c>
      <c r="D36" s="193" t="s">
        <v>154</v>
      </c>
      <c r="E36" s="194" t="s">
        <v>155</v>
      </c>
      <c r="F36" s="190">
        <v>0.41</v>
      </c>
      <c r="G36" s="195">
        <v>1</v>
      </c>
      <c r="H36" s="195">
        <f t="shared" si="1"/>
        <v>0.41</v>
      </c>
    </row>
    <row r="37" spans="1:8" x14ac:dyDescent="0.25">
      <c r="A37" s="190">
        <v>21</v>
      </c>
      <c r="B37" s="190" t="s">
        <v>108</v>
      </c>
      <c r="C37" s="193" t="s">
        <v>156</v>
      </c>
      <c r="D37" s="193" t="s">
        <v>157</v>
      </c>
      <c r="E37" s="194" t="s">
        <v>150</v>
      </c>
      <c r="F37" s="190">
        <v>0.06</v>
      </c>
      <c r="G37" s="195">
        <v>6.67</v>
      </c>
      <c r="H37" s="195">
        <f t="shared" si="1"/>
        <v>0.4</v>
      </c>
    </row>
    <row r="38" spans="1:8" ht="31.5" customHeight="1" x14ac:dyDescent="0.25">
      <c r="A38" s="190">
        <v>22</v>
      </c>
      <c r="B38" s="190" t="s">
        <v>108</v>
      </c>
      <c r="C38" s="193" t="s">
        <v>158</v>
      </c>
      <c r="D38" s="193" t="s">
        <v>159</v>
      </c>
      <c r="E38" s="194" t="s">
        <v>150</v>
      </c>
      <c r="F38" s="190">
        <v>1.0999999999999999E-2</v>
      </c>
      <c r="G38" s="195">
        <v>28.22</v>
      </c>
      <c r="H38" s="195">
        <f t="shared" si="1"/>
        <v>0.31</v>
      </c>
    </row>
    <row r="41" spans="1:8" x14ac:dyDescent="0.25">
      <c r="B41" s="164" t="s">
        <v>75</v>
      </c>
    </row>
    <row r="42" spans="1:8" x14ac:dyDescent="0.25">
      <c r="B42" s="176" t="s">
        <v>76</v>
      </c>
    </row>
    <row r="44" spans="1:8" x14ac:dyDescent="0.25">
      <c r="B44" s="164" t="s">
        <v>77</v>
      </c>
    </row>
    <row r="45" spans="1:8" x14ac:dyDescent="0.25">
      <c r="B45" s="176" t="s">
        <v>78</v>
      </c>
    </row>
  </sheetData>
  <mergeCells count="15">
    <mergeCell ref="A14:E14"/>
    <mergeCell ref="A26:E26"/>
    <mergeCell ref="A12:E12"/>
    <mergeCell ref="A16:E16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160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9" t="s">
        <v>161</v>
      </c>
      <c r="C5" s="319"/>
      <c r="D5" s="319"/>
      <c r="E5" s="319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0" t="s">
        <v>47</v>
      </c>
      <c r="C7" s="340"/>
      <c r="D7" s="340"/>
      <c r="E7" s="340"/>
    </row>
    <row r="8" spans="2:5" x14ac:dyDescent="0.25">
      <c r="B8" s="341" t="s">
        <v>162</v>
      </c>
      <c r="C8" s="341"/>
      <c r="D8" s="341"/>
      <c r="E8" s="341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163</v>
      </c>
      <c r="C10" s="197" t="s">
        <v>164</v>
      </c>
      <c r="D10" s="197" t="s">
        <v>165</v>
      </c>
      <c r="E10" s="197" t="s">
        <v>166</v>
      </c>
    </row>
    <row r="11" spans="2:5" x14ac:dyDescent="0.25">
      <c r="B11" s="155" t="s">
        <v>167</v>
      </c>
      <c r="C11" s="156">
        <f>'Прил.5 Расчет СМР и ОБ'!J14</f>
        <v>942.79</v>
      </c>
      <c r="D11" s="157">
        <f t="shared" ref="D11:D18" si="0">C11/$C$24</f>
        <v>0.17054811866859623</v>
      </c>
      <c r="E11" s="157">
        <f t="shared" ref="E11:E18" si="1">C11/$C$40</f>
        <v>2.3226531543383421E-3</v>
      </c>
    </row>
    <row r="12" spans="2:5" x14ac:dyDescent="0.25">
      <c r="B12" s="155" t="s">
        <v>168</v>
      </c>
      <c r="C12" s="156">
        <f>'Прил.5 Расчет СМР и ОБ'!J22</f>
        <v>578.51</v>
      </c>
      <c r="D12" s="157">
        <f t="shared" si="0"/>
        <v>0.10465086830680173</v>
      </c>
      <c r="E12" s="157">
        <f t="shared" si="1"/>
        <v>1.4252146037996524E-3</v>
      </c>
    </row>
    <row r="13" spans="2:5" x14ac:dyDescent="0.25">
      <c r="B13" s="155" t="s">
        <v>169</v>
      </c>
      <c r="C13" s="156">
        <f>'Прил.5 Расчет СМР и ОБ'!J27</f>
        <v>52.29</v>
      </c>
      <c r="D13" s="157">
        <f t="shared" si="0"/>
        <v>9.459117221418234E-3</v>
      </c>
      <c r="E13" s="157">
        <f t="shared" si="1"/>
        <v>1.2882140608232152E-4</v>
      </c>
    </row>
    <row r="14" spans="2:5" x14ac:dyDescent="0.25">
      <c r="B14" s="155" t="s">
        <v>170</v>
      </c>
      <c r="C14" s="156">
        <f>C13+C12</f>
        <v>630.79999999999995</v>
      </c>
      <c r="D14" s="157">
        <f t="shared" si="0"/>
        <v>0.11410998552821996</v>
      </c>
      <c r="E14" s="157">
        <f t="shared" si="1"/>
        <v>1.5540360098819737E-3</v>
      </c>
    </row>
    <row r="15" spans="2:5" x14ac:dyDescent="0.25">
      <c r="B15" s="155" t="s">
        <v>171</v>
      </c>
      <c r="C15" s="156">
        <f>'Прил.5 Расчет СМР и ОБ'!J16</f>
        <v>277.7</v>
      </c>
      <c r="D15" s="157">
        <f t="shared" si="0"/>
        <v>5.023516642547033E-2</v>
      </c>
      <c r="E15" s="157">
        <f t="shared" si="1"/>
        <v>6.8414045647467367E-4</v>
      </c>
    </row>
    <row r="16" spans="2:5" x14ac:dyDescent="0.25">
      <c r="B16" s="155" t="s">
        <v>172</v>
      </c>
      <c r="C16" s="156">
        <f>'Прил.5 Расчет СМР и ОБ'!J43</f>
        <v>2046.3600000000001</v>
      </c>
      <c r="D16" s="157">
        <f t="shared" si="0"/>
        <v>0.3701808972503618</v>
      </c>
      <c r="E16" s="157">
        <f t="shared" si="1"/>
        <v>5.0414031851332853E-3</v>
      </c>
    </row>
    <row r="17" spans="2:6" x14ac:dyDescent="0.25">
      <c r="B17" s="155" t="s">
        <v>173</v>
      </c>
      <c r="C17" s="156">
        <f>'Прил.5 Расчет СМР и ОБ'!J51</f>
        <v>248.17999999999998</v>
      </c>
      <c r="D17" s="157">
        <f t="shared" si="0"/>
        <v>4.4895079594790152E-2</v>
      </c>
      <c r="E17" s="157">
        <f t="shared" si="1"/>
        <v>6.1141511878964525E-4</v>
      </c>
    </row>
    <row r="18" spans="2:6" x14ac:dyDescent="0.25">
      <c r="B18" s="155" t="s">
        <v>174</v>
      </c>
      <c r="C18" s="156">
        <f>C17+C16</f>
        <v>2294.54</v>
      </c>
      <c r="D18" s="157">
        <f t="shared" si="0"/>
        <v>0.41507597684515196</v>
      </c>
      <c r="E18" s="157">
        <f t="shared" si="1"/>
        <v>5.6528183039229298E-3</v>
      </c>
    </row>
    <row r="19" spans="2:6" x14ac:dyDescent="0.25">
      <c r="B19" s="155" t="s">
        <v>175</v>
      </c>
      <c r="C19" s="156">
        <f>C18+C14+C11</f>
        <v>3868.13</v>
      </c>
      <c r="D19" s="157"/>
      <c r="E19" s="155"/>
    </row>
    <row r="20" spans="2:6" x14ac:dyDescent="0.25">
      <c r="B20" s="155" t="s">
        <v>176</v>
      </c>
      <c r="C20" s="156">
        <f>ROUND(C21*(C11+C15),2)</f>
        <v>561.42999999999995</v>
      </c>
      <c r="D20" s="157">
        <f>C20/$C$24</f>
        <v>0.10156114327062228</v>
      </c>
      <c r="E20" s="157">
        <f>C20/$C$40</f>
        <v>1.3831363935130573E-3</v>
      </c>
    </row>
    <row r="21" spans="2:6" x14ac:dyDescent="0.25">
      <c r="B21" s="155" t="s">
        <v>177</v>
      </c>
      <c r="C21" s="160">
        <f>'Прил.5 Расчет СМР и ОБ'!D55</f>
        <v>0.46</v>
      </c>
      <c r="D21" s="157"/>
      <c r="E21" s="155"/>
    </row>
    <row r="22" spans="2:6" x14ac:dyDescent="0.25">
      <c r="B22" s="155" t="s">
        <v>178</v>
      </c>
      <c r="C22" s="156">
        <f>ROUND(C23*(C11+C15),2)</f>
        <v>1098.44</v>
      </c>
      <c r="D22" s="157">
        <f>C22/$C$24</f>
        <v>0.19870477568740957</v>
      </c>
      <c r="E22" s="157">
        <f>C22/$C$40</f>
        <v>2.7061117861362644E-3</v>
      </c>
    </row>
    <row r="23" spans="2:6" x14ac:dyDescent="0.25">
      <c r="B23" s="155" t="s">
        <v>179</v>
      </c>
      <c r="C23" s="160">
        <f>'Прил.5 Расчет СМР и ОБ'!D54</f>
        <v>0.9</v>
      </c>
      <c r="D23" s="157"/>
      <c r="E23" s="155"/>
    </row>
    <row r="24" spans="2:6" x14ac:dyDescent="0.25">
      <c r="B24" s="155" t="s">
        <v>180</v>
      </c>
      <c r="C24" s="156">
        <f>C19+C20+C22</f>
        <v>5528</v>
      </c>
      <c r="D24" s="157">
        <f>C24/$C$24</f>
        <v>1</v>
      </c>
      <c r="E24" s="157">
        <f>C24/$C$40</f>
        <v>1.3618755647792568E-2</v>
      </c>
    </row>
    <row r="25" spans="2:6" ht="25.5" customHeight="1" x14ac:dyDescent="0.25">
      <c r="B25" s="155" t="s">
        <v>181</v>
      </c>
      <c r="C25" s="156">
        <f>'Прил.5 Расчет СМР и ОБ'!J34</f>
        <v>380800</v>
      </c>
      <c r="D25" s="157"/>
      <c r="E25" s="157">
        <f>C25/$C$40</f>
        <v>0.93813714737326515</v>
      </c>
    </row>
    <row r="26" spans="2:6" ht="25.5" customHeight="1" x14ac:dyDescent="0.25">
      <c r="B26" s="155" t="s">
        <v>182</v>
      </c>
      <c r="C26" s="156">
        <f>'Прил.5 Расчет СМР и ОБ'!J35</f>
        <v>380799.99</v>
      </c>
      <c r="D26" s="157"/>
      <c r="E26" s="157">
        <f>C26/$C$40</f>
        <v>0.93813712273731065</v>
      </c>
    </row>
    <row r="27" spans="2:6" x14ac:dyDescent="0.25">
      <c r="B27" s="155" t="s">
        <v>183</v>
      </c>
      <c r="C27" s="159">
        <f>C24+C25</f>
        <v>386328</v>
      </c>
      <c r="D27" s="157"/>
      <c r="E27" s="157">
        <f>C27/$C$40</f>
        <v>0.95175590302105773</v>
      </c>
    </row>
    <row r="28" spans="2:6" ht="33" customHeight="1" x14ac:dyDescent="0.25">
      <c r="B28" s="155" t="s">
        <v>184</v>
      </c>
      <c r="C28" s="155"/>
      <c r="D28" s="155"/>
      <c r="E28" s="155"/>
      <c r="F28" s="158"/>
    </row>
    <row r="29" spans="2:6" ht="25.5" customHeight="1" x14ac:dyDescent="0.25">
      <c r="B29" s="155" t="s">
        <v>185</v>
      </c>
      <c r="C29" s="159">
        <f>ROUND(C24*3.9%,2)</f>
        <v>215.59</v>
      </c>
      <c r="D29" s="155"/>
      <c r="E29" s="157">
        <f t="shared" ref="E29:E38" si="2">C29/$C$40</f>
        <v>5.311265430730101E-4</v>
      </c>
    </row>
    <row r="30" spans="2:6" ht="38.25" customHeight="1" x14ac:dyDescent="0.25">
      <c r="B30" s="155" t="s">
        <v>186</v>
      </c>
      <c r="C30" s="300">
        <f>ROUND((C24+C29)*2.1%,2)</f>
        <v>120.62</v>
      </c>
      <c r="D30" s="301"/>
      <c r="E30" s="157">
        <f t="shared" si="2"/>
        <v>2.9715888318320181E-4</v>
      </c>
      <c r="F30" s="158"/>
    </row>
    <row r="31" spans="2:6" x14ac:dyDescent="0.25">
      <c r="B31" s="155" t="s">
        <v>187</v>
      </c>
      <c r="C31" s="300">
        <v>0</v>
      </c>
      <c r="D31" s="301"/>
      <c r="E31" s="157">
        <f t="shared" si="2"/>
        <v>0</v>
      </c>
    </row>
    <row r="32" spans="2:6" ht="25.5" customHeight="1" x14ac:dyDescent="0.25">
      <c r="B32" s="155" t="s">
        <v>188</v>
      </c>
      <c r="C32" s="300">
        <v>0</v>
      </c>
      <c r="D32" s="301"/>
      <c r="E32" s="157">
        <f t="shared" si="2"/>
        <v>0</v>
      </c>
    </row>
    <row r="33" spans="2:11" ht="25.5" customHeight="1" x14ac:dyDescent="0.25">
      <c r="B33" s="155" t="s">
        <v>189</v>
      </c>
      <c r="C33" s="300">
        <f>ROUND($C$27*0,2)</f>
        <v>0</v>
      </c>
      <c r="D33" s="301"/>
      <c r="E33" s="157">
        <f t="shared" si="2"/>
        <v>0</v>
      </c>
    </row>
    <row r="34" spans="2:11" ht="51" customHeight="1" x14ac:dyDescent="0.25">
      <c r="B34" s="155" t="s">
        <v>190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191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192</v>
      </c>
      <c r="C36" s="159">
        <f>ROUND((C27+C32+C33+C34+C35+C29+C31+C30)*1.72%,2)</f>
        <v>6650.62</v>
      </c>
      <c r="D36" s="155"/>
      <c r="E36" s="157">
        <f t="shared" si="2"/>
        <v>1.6384437171910675E-2</v>
      </c>
      <c r="K36" s="158"/>
    </row>
    <row r="37" spans="2:11" x14ac:dyDescent="0.25">
      <c r="B37" s="155" t="s">
        <v>193</v>
      </c>
      <c r="C37" s="159">
        <f>ROUND((C27+C32+C33+C34+C35+C29+C31+C30)*0.2%,2)</f>
        <v>773.33</v>
      </c>
      <c r="D37" s="155"/>
      <c r="E37" s="157">
        <f t="shared" si="2"/>
        <v>1.905172269375439E-3</v>
      </c>
      <c r="K37" s="158"/>
    </row>
    <row r="38" spans="2:11" ht="38.25" customHeight="1" x14ac:dyDescent="0.25">
      <c r="B38" s="155" t="s">
        <v>194</v>
      </c>
      <c r="C38" s="156">
        <f>C27+C32+C33+C34+C35+C29+C31+C30+C36+C37</f>
        <v>394088.16000000003</v>
      </c>
      <c r="D38" s="155"/>
      <c r="E38" s="157">
        <f t="shared" si="2"/>
        <v>0.97087379788860018</v>
      </c>
    </row>
    <row r="39" spans="2:11" ht="13.5" customHeight="1" x14ac:dyDescent="0.25">
      <c r="B39" s="155" t="s">
        <v>195</v>
      </c>
      <c r="C39" s="156">
        <f>ROUND(C38*3%,2)</f>
        <v>11822.64</v>
      </c>
      <c r="D39" s="155"/>
      <c r="E39" s="157">
        <f>C39/$C$38</f>
        <v>2.9999987819984236E-2</v>
      </c>
    </row>
    <row r="40" spans="2:11" x14ac:dyDescent="0.25">
      <c r="B40" s="155" t="s">
        <v>196</v>
      </c>
      <c r="C40" s="156">
        <f>C39+C38</f>
        <v>405910.80000000005</v>
      </c>
      <c r="D40" s="155"/>
      <c r="E40" s="157">
        <f>C40/$C$40</f>
        <v>1</v>
      </c>
    </row>
    <row r="41" spans="2:11" x14ac:dyDescent="0.25">
      <c r="B41" s="155" t="s">
        <v>197</v>
      </c>
      <c r="C41" s="156">
        <f>C40/'Прил.5 Расчет СМР и ОБ'!E58</f>
        <v>405910.80000000005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198</v>
      </c>
      <c r="C43" s="154"/>
      <c r="D43" s="154"/>
      <c r="E43" s="154"/>
    </row>
    <row r="44" spans="2:11" x14ac:dyDescent="0.25">
      <c r="B44" s="163" t="s">
        <v>199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200</v>
      </c>
      <c r="C46" s="154"/>
      <c r="D46" s="154"/>
      <c r="E46" s="154"/>
    </row>
    <row r="47" spans="2:11" x14ac:dyDescent="0.25">
      <c r="B47" s="341" t="s">
        <v>201</v>
      </c>
      <c r="C47" s="341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4"/>
  <sheetViews>
    <sheetView tabSelected="1" view="pageBreakPreview" zoomScale="70" zoomScaleSheetLayoutView="70" workbookViewId="0">
      <selection activeCell="V32" sqref="V3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57" t="s">
        <v>202</v>
      </c>
      <c r="I2" s="357"/>
      <c r="J2" s="357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19" t="s">
        <v>203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4" s="200" customFormat="1" ht="12.75" customHeight="1" x14ac:dyDescent="0.2">
      <c r="A5" s="278"/>
      <c r="B5" s="278"/>
      <c r="C5" s="201"/>
      <c r="D5" s="278"/>
      <c r="E5" s="278"/>
      <c r="F5" s="278"/>
      <c r="G5" s="278"/>
      <c r="H5" s="278"/>
      <c r="I5" s="278"/>
      <c r="J5" s="278"/>
    </row>
    <row r="6" spans="1:14" s="200" customFormat="1" ht="12.75" customHeight="1" x14ac:dyDescent="0.2">
      <c r="A6" s="202" t="s">
        <v>204</v>
      </c>
      <c r="B6" s="203"/>
      <c r="C6" s="203"/>
      <c r="D6" s="361" t="s">
        <v>205</v>
      </c>
      <c r="E6" s="361"/>
      <c r="F6" s="361"/>
      <c r="G6" s="361"/>
      <c r="H6" s="361"/>
      <c r="I6" s="361"/>
      <c r="J6" s="361"/>
    </row>
    <row r="7" spans="1:14" s="200" customFormat="1" ht="12.75" customHeight="1" x14ac:dyDescent="0.2">
      <c r="A7" s="322" t="s">
        <v>49</v>
      </c>
      <c r="B7" s="340"/>
      <c r="C7" s="340"/>
      <c r="D7" s="340"/>
      <c r="E7" s="340"/>
      <c r="F7" s="340"/>
      <c r="G7" s="340"/>
      <c r="H7" s="340"/>
      <c r="I7" s="204"/>
      <c r="J7" s="204"/>
    </row>
    <row r="8" spans="1:14" s="4" customFormat="1" ht="13.5" customHeight="1" x14ac:dyDescent="0.2">
      <c r="A8" s="322"/>
      <c r="B8" s="340"/>
      <c r="C8" s="340"/>
      <c r="D8" s="340"/>
      <c r="E8" s="340"/>
      <c r="F8" s="340"/>
      <c r="G8" s="340"/>
      <c r="H8" s="340"/>
    </row>
    <row r="9" spans="1:14" s="199" customFormat="1" ht="27" customHeight="1" x14ac:dyDescent="0.25">
      <c r="A9" s="349" t="s">
        <v>13</v>
      </c>
      <c r="B9" s="349" t="s">
        <v>99</v>
      </c>
      <c r="C9" s="349" t="s">
        <v>163</v>
      </c>
      <c r="D9" s="349" t="s">
        <v>101</v>
      </c>
      <c r="E9" s="343" t="s">
        <v>206</v>
      </c>
      <c r="F9" s="358" t="s">
        <v>103</v>
      </c>
      <c r="G9" s="359"/>
      <c r="H9" s="343" t="s">
        <v>207</v>
      </c>
      <c r="I9" s="358" t="s">
        <v>208</v>
      </c>
      <c r="J9" s="359"/>
      <c r="K9" s="198"/>
      <c r="L9" s="198"/>
      <c r="M9" s="198"/>
      <c r="N9" s="198"/>
    </row>
    <row r="10" spans="1:14" s="199" customFormat="1" ht="28.5" customHeight="1" x14ac:dyDescent="0.25">
      <c r="A10" s="349"/>
      <c r="B10" s="349"/>
      <c r="C10" s="349"/>
      <c r="D10" s="349"/>
      <c r="E10" s="360"/>
      <c r="F10" s="145" t="s">
        <v>209</v>
      </c>
      <c r="G10" s="145" t="s">
        <v>105</v>
      </c>
      <c r="H10" s="360"/>
      <c r="I10" s="145" t="s">
        <v>209</v>
      </c>
      <c r="J10" s="145" t="s">
        <v>105</v>
      </c>
      <c r="K10" s="198"/>
      <c r="L10" s="198"/>
      <c r="M10" s="198"/>
      <c r="N10" s="198"/>
    </row>
    <row r="11" spans="1:14" s="19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7">
        <v>9</v>
      </c>
      <c r="J11" s="277">
        <v>10</v>
      </c>
      <c r="K11" s="198"/>
      <c r="L11" s="198"/>
      <c r="M11" s="198"/>
      <c r="N11" s="198"/>
    </row>
    <row r="12" spans="1:14" x14ac:dyDescent="0.25">
      <c r="A12" s="2"/>
      <c r="B12" s="347" t="s">
        <v>210</v>
      </c>
      <c r="C12" s="348"/>
      <c r="D12" s="349"/>
      <c r="E12" s="350"/>
      <c r="F12" s="351"/>
      <c r="G12" s="351"/>
      <c r="H12" s="352"/>
      <c r="I12" s="205"/>
      <c r="J12" s="205"/>
    </row>
    <row r="13" spans="1:14" ht="25.5" customHeight="1" x14ac:dyDescent="0.25">
      <c r="A13" s="2">
        <v>1</v>
      </c>
      <c r="B13" s="206" t="s">
        <v>109</v>
      </c>
      <c r="C13" s="207" t="s">
        <v>211</v>
      </c>
      <c r="D13" s="145" t="s">
        <v>212</v>
      </c>
      <c r="E13" s="208">
        <v>2.06</v>
      </c>
      <c r="F13" s="209">
        <v>9.92</v>
      </c>
      <c r="G13" s="209">
        <f>Прил.3!H12</f>
        <v>20.440000000000001</v>
      </c>
      <c r="H13" s="210">
        <f>G13/$G$14</f>
        <v>1</v>
      </c>
      <c r="I13" s="211">
        <f>ФОТр.тек.!E13</f>
        <v>457.66433583861999</v>
      </c>
      <c r="J13" s="211">
        <f>ROUND(I13*E13,2)</f>
        <v>942.79</v>
      </c>
    </row>
    <row r="14" spans="1:14" s="14" customFormat="1" ht="25.5" customHeight="1" x14ac:dyDescent="0.2">
      <c r="A14" s="2"/>
      <c r="B14" s="2"/>
      <c r="C14" s="280" t="s">
        <v>213</v>
      </c>
      <c r="D14" s="2" t="s">
        <v>212</v>
      </c>
      <c r="E14" s="212">
        <f>SUM(E13:E13)</f>
        <v>2.06</v>
      </c>
      <c r="F14" s="29"/>
      <c r="G14" s="29">
        <f>SUM(G13:G13)</f>
        <v>20.440000000000001</v>
      </c>
      <c r="H14" s="283">
        <v>1</v>
      </c>
      <c r="I14" s="205"/>
      <c r="J14" s="209">
        <f>SUM(J13:J13)</f>
        <v>942.79</v>
      </c>
    </row>
    <row r="15" spans="1:14" s="14" customFormat="1" ht="14.25" customHeight="1" x14ac:dyDescent="0.2">
      <c r="A15" s="2"/>
      <c r="B15" s="348" t="s">
        <v>112</v>
      </c>
      <c r="C15" s="348"/>
      <c r="D15" s="349"/>
      <c r="E15" s="350"/>
      <c r="F15" s="351"/>
      <c r="G15" s="351"/>
      <c r="H15" s="352"/>
      <c r="I15" s="205"/>
      <c r="J15" s="205"/>
    </row>
    <row r="16" spans="1:14" s="14" customFormat="1" ht="14.25" customHeight="1" x14ac:dyDescent="0.2">
      <c r="A16" s="2">
        <v>2</v>
      </c>
      <c r="B16" s="2">
        <v>2</v>
      </c>
      <c r="C16" s="9" t="s">
        <v>112</v>
      </c>
      <c r="D16" s="2" t="s">
        <v>212</v>
      </c>
      <c r="E16" s="212">
        <f>Прил.3!F15</f>
        <v>0.62</v>
      </c>
      <c r="F16" s="29">
        <f>G16/E16</f>
        <v>10.11290322580645</v>
      </c>
      <c r="G16" s="29">
        <f>Прил.3!H14</f>
        <v>6.27</v>
      </c>
      <c r="H16" s="283">
        <v>1</v>
      </c>
      <c r="I16" s="211">
        <f>ROUND(F16*Прил.10!D11,2)</f>
        <v>447.9</v>
      </c>
      <c r="J16" s="211">
        <f>ROUND(I16*E16,2)</f>
        <v>277.7</v>
      </c>
    </row>
    <row r="17" spans="1:12" s="14" customFormat="1" ht="14.25" customHeight="1" x14ac:dyDescent="0.2">
      <c r="A17" s="2"/>
      <c r="B17" s="347" t="s">
        <v>113</v>
      </c>
      <c r="C17" s="348"/>
      <c r="D17" s="349"/>
      <c r="E17" s="350"/>
      <c r="F17" s="351"/>
      <c r="G17" s="351"/>
      <c r="H17" s="352"/>
      <c r="I17" s="205"/>
      <c r="J17" s="205"/>
    </row>
    <row r="18" spans="1:12" s="14" customFormat="1" ht="14.25" customHeight="1" x14ac:dyDescent="0.2">
      <c r="A18" s="2"/>
      <c r="B18" s="348" t="s">
        <v>214</v>
      </c>
      <c r="C18" s="348"/>
      <c r="D18" s="349"/>
      <c r="E18" s="350"/>
      <c r="F18" s="351"/>
      <c r="G18" s="351"/>
      <c r="H18" s="352"/>
      <c r="I18" s="205"/>
      <c r="J18" s="205"/>
    </row>
    <row r="19" spans="1:12" s="14" customFormat="1" ht="25.5" customHeight="1" x14ac:dyDescent="0.2">
      <c r="A19" s="2">
        <v>3</v>
      </c>
      <c r="B19" s="213" t="s">
        <v>114</v>
      </c>
      <c r="C19" s="214" t="s">
        <v>115</v>
      </c>
      <c r="D19" s="215" t="s">
        <v>116</v>
      </c>
      <c r="E19" s="212">
        <v>0.3</v>
      </c>
      <c r="F19" s="216">
        <v>70</v>
      </c>
      <c r="G19" s="217">
        <f>ROUND(E19*F19,2)</f>
        <v>21</v>
      </c>
      <c r="H19" s="218">
        <f>G19/$G$28</f>
        <v>0.44843049327354256</v>
      </c>
      <c r="I19" s="209">
        <f>ROUND(F19*Прил.10!$D$12,2)</f>
        <v>942.9</v>
      </c>
      <c r="J19" s="209">
        <f>ROUND(I19*E19,2)</f>
        <v>282.87</v>
      </c>
    </row>
    <row r="20" spans="1:12" s="14" customFormat="1" ht="25.5" customHeight="1" x14ac:dyDescent="0.2">
      <c r="A20" s="2">
        <v>4</v>
      </c>
      <c r="B20" s="213" t="s">
        <v>117</v>
      </c>
      <c r="C20" s="214" t="s">
        <v>118</v>
      </c>
      <c r="D20" s="215" t="s">
        <v>116</v>
      </c>
      <c r="E20" s="212">
        <v>0.3</v>
      </c>
      <c r="F20" s="216">
        <v>56.24</v>
      </c>
      <c r="G20" s="217">
        <f>ROUND(E20*F20,2)</f>
        <v>16.87</v>
      </c>
      <c r="H20" s="218">
        <f>G20/$G$28</f>
        <v>0.36023916292974589</v>
      </c>
      <c r="I20" s="209">
        <f>ROUND(F20*Прил.10!$D$12,2)</f>
        <v>757.55</v>
      </c>
      <c r="J20" s="209">
        <f>ROUND(I20*E20,2)</f>
        <v>227.27</v>
      </c>
    </row>
    <row r="21" spans="1:12" s="14" customFormat="1" ht="25.5" customHeight="1" x14ac:dyDescent="0.2">
      <c r="A21" s="2">
        <v>5</v>
      </c>
      <c r="B21" s="213" t="s">
        <v>119</v>
      </c>
      <c r="C21" s="214" t="s">
        <v>120</v>
      </c>
      <c r="D21" s="215" t="s">
        <v>116</v>
      </c>
      <c r="E21" s="212">
        <v>0.3</v>
      </c>
      <c r="F21" s="216">
        <v>16.920000000000002</v>
      </c>
      <c r="G21" s="217">
        <f>ROUND(E21*F21,2)</f>
        <v>5.08</v>
      </c>
      <c r="H21" s="218">
        <f>G21/$G$28</f>
        <v>0.10847747170617125</v>
      </c>
      <c r="I21" s="209">
        <f>ROUND(F21*Прил.10!$D$12,2)</f>
        <v>227.91</v>
      </c>
      <c r="J21" s="209">
        <f>ROUND(I21*E21,2)</f>
        <v>68.37</v>
      </c>
    </row>
    <row r="22" spans="1:12" s="14" customFormat="1" ht="14.25" customHeight="1" x14ac:dyDescent="0.2">
      <c r="A22" s="2"/>
      <c r="B22" s="2"/>
      <c r="C22" s="9" t="s">
        <v>215</v>
      </c>
      <c r="D22" s="2"/>
      <c r="E22" s="212"/>
      <c r="F22" s="29"/>
      <c r="G22" s="29">
        <f>SUM(G19:G21)</f>
        <v>42.95</v>
      </c>
      <c r="H22" s="283">
        <f>G22/G28</f>
        <v>0.91714712790945974</v>
      </c>
      <c r="I22" s="219"/>
      <c r="J22" s="29">
        <f>SUM(J19:J21)</f>
        <v>578.51</v>
      </c>
    </row>
    <row r="23" spans="1:12" s="14" customFormat="1" ht="14.25" hidden="1" customHeight="1" outlineLevel="1" x14ac:dyDescent="0.2">
      <c r="A23" s="2">
        <v>6</v>
      </c>
      <c r="B23" s="213" t="s">
        <v>121</v>
      </c>
      <c r="C23" s="214" t="s">
        <v>122</v>
      </c>
      <c r="D23" s="215" t="s">
        <v>116</v>
      </c>
      <c r="E23" s="212">
        <v>0.64</v>
      </c>
      <c r="F23" s="216">
        <v>2.36</v>
      </c>
      <c r="G23" s="217">
        <f>ROUND(E23*F23,2)</f>
        <v>1.51</v>
      </c>
      <c r="H23" s="218">
        <f>G23/$G$28</f>
        <v>3.2244287849669012E-2</v>
      </c>
      <c r="I23" s="209">
        <f>ROUND(F23*Прил.10!$D$12,2)</f>
        <v>31.79</v>
      </c>
      <c r="J23" s="209">
        <f>ROUND(I23*E23,2)</f>
        <v>20.350000000000001</v>
      </c>
    </row>
    <row r="24" spans="1:12" s="14" customFormat="1" ht="25.5" hidden="1" customHeight="1" outlineLevel="1" x14ac:dyDescent="0.2">
      <c r="A24" s="2">
        <v>7</v>
      </c>
      <c r="B24" s="213" t="s">
        <v>123</v>
      </c>
      <c r="C24" s="214" t="s">
        <v>124</v>
      </c>
      <c r="D24" s="215" t="s">
        <v>116</v>
      </c>
      <c r="E24" s="212">
        <v>0.02</v>
      </c>
      <c r="F24" s="216">
        <v>65.709999999999994</v>
      </c>
      <c r="G24" s="217">
        <f>ROUND(E24*F24,2)</f>
        <v>1.31</v>
      </c>
      <c r="H24" s="218">
        <f>G24/$G$28</f>
        <v>2.7973521247063846E-2</v>
      </c>
      <c r="I24" s="209">
        <f>ROUND(F24*Прил.10!$D$12,2)</f>
        <v>885.11</v>
      </c>
      <c r="J24" s="209">
        <f>ROUND(I24*E24,2)</f>
        <v>17.7</v>
      </c>
    </row>
    <row r="25" spans="1:12" s="14" customFormat="1" ht="25.5" hidden="1" customHeight="1" outlineLevel="1" x14ac:dyDescent="0.2">
      <c r="A25" s="2">
        <v>8</v>
      </c>
      <c r="B25" s="213" t="s">
        <v>125</v>
      </c>
      <c r="C25" s="214" t="s">
        <v>126</v>
      </c>
      <c r="D25" s="215" t="s">
        <v>116</v>
      </c>
      <c r="E25" s="212">
        <v>0.08</v>
      </c>
      <c r="F25" s="216">
        <v>8.1</v>
      </c>
      <c r="G25" s="217">
        <f>ROUND(E25*F25,2)</f>
        <v>0.65</v>
      </c>
      <c r="H25" s="218">
        <f>G25/$G$28</f>
        <v>1.3879991458466794E-2</v>
      </c>
      <c r="I25" s="209">
        <f>ROUND(F25*Прил.10!$D$12,2)</f>
        <v>109.11</v>
      </c>
      <c r="J25" s="209">
        <f>ROUND(I25*E25,2)</f>
        <v>8.73</v>
      </c>
    </row>
    <row r="26" spans="1:12" s="14" customFormat="1" ht="38.25" hidden="1" customHeight="1" outlineLevel="1" x14ac:dyDescent="0.2">
      <c r="A26" s="2">
        <v>9</v>
      </c>
      <c r="B26" s="213" t="s">
        <v>127</v>
      </c>
      <c r="C26" s="214" t="s">
        <v>128</v>
      </c>
      <c r="D26" s="215" t="s">
        <v>116</v>
      </c>
      <c r="E26" s="212">
        <v>0.06</v>
      </c>
      <c r="F26" s="216">
        <v>6.82</v>
      </c>
      <c r="G26" s="217">
        <f>ROUND(E26*F26,2)</f>
        <v>0.41</v>
      </c>
      <c r="H26" s="218">
        <f>G26/$G$28</f>
        <v>8.7550715353405927E-3</v>
      </c>
      <c r="I26" s="209">
        <f>ROUND(F26*Прил.10!$D$12,2)</f>
        <v>91.87</v>
      </c>
      <c r="J26" s="209">
        <f>ROUND(I26*E26,2)</f>
        <v>5.51</v>
      </c>
    </row>
    <row r="27" spans="1:12" s="14" customFormat="1" ht="14.25" customHeight="1" collapsed="1" x14ac:dyDescent="0.2">
      <c r="A27" s="2"/>
      <c r="B27" s="2"/>
      <c r="C27" s="9" t="s">
        <v>216</v>
      </c>
      <c r="D27" s="2"/>
      <c r="E27" s="281"/>
      <c r="F27" s="29"/>
      <c r="G27" s="219">
        <f>SUM(G23:G26)</f>
        <v>3.8800000000000003</v>
      </c>
      <c r="H27" s="220">
        <f>G27/G28</f>
        <v>8.285287209054025E-2</v>
      </c>
      <c r="I27" s="221"/>
      <c r="J27" s="221">
        <f>SUM(J23:J26)</f>
        <v>52.29</v>
      </c>
    </row>
    <row r="28" spans="1:12" s="14" customFormat="1" ht="25.5" customHeight="1" x14ac:dyDescent="0.2">
      <c r="A28" s="2"/>
      <c r="B28" s="2"/>
      <c r="C28" s="280" t="s">
        <v>217</v>
      </c>
      <c r="D28" s="2"/>
      <c r="E28" s="281"/>
      <c r="F28" s="29"/>
      <c r="G28" s="29">
        <f>G27+G22</f>
        <v>46.830000000000005</v>
      </c>
      <c r="H28" s="222">
        <f>H27+H22</f>
        <v>1</v>
      </c>
      <c r="I28" s="223"/>
      <c r="J28" s="224">
        <f>J27+J22</f>
        <v>630.79999999999995</v>
      </c>
    </row>
    <row r="29" spans="1:12" s="14" customFormat="1" ht="14.25" customHeight="1" x14ac:dyDescent="0.2">
      <c r="A29" s="2"/>
      <c r="B29" s="347" t="s">
        <v>43</v>
      </c>
      <c r="C29" s="347"/>
      <c r="D29" s="353"/>
      <c r="E29" s="354"/>
      <c r="F29" s="355"/>
      <c r="G29" s="355"/>
      <c r="H29" s="356"/>
      <c r="I29" s="205"/>
      <c r="J29" s="205"/>
    </row>
    <row r="30" spans="1:12" x14ac:dyDescent="0.25">
      <c r="A30" s="284"/>
      <c r="B30" s="348" t="s">
        <v>218</v>
      </c>
      <c r="C30" s="348"/>
      <c r="D30" s="349"/>
      <c r="E30" s="350"/>
      <c r="F30" s="351"/>
      <c r="G30" s="351"/>
      <c r="H30" s="352"/>
      <c r="I30" s="225"/>
      <c r="J30" s="225"/>
      <c r="K30" s="226"/>
      <c r="L30" s="226"/>
    </row>
    <row r="31" spans="1:12" s="14" customFormat="1" ht="14.25" customHeight="1" x14ac:dyDescent="0.2">
      <c r="A31" s="2">
        <v>10</v>
      </c>
      <c r="B31" s="294" t="s">
        <v>219</v>
      </c>
      <c r="C31" s="295" t="s">
        <v>130</v>
      </c>
      <c r="D31" s="294" t="s">
        <v>131</v>
      </c>
      <c r="E31" s="228">
        <v>1</v>
      </c>
      <c r="F31" s="229">
        <f>ROUND(I31/Прил.10!$D$14,2)</f>
        <v>60830.67</v>
      </c>
      <c r="G31" s="217">
        <f>ROUND(E31*F31,2)</f>
        <v>60830.67</v>
      </c>
      <c r="H31" s="220">
        <f>G31/$G$34</f>
        <v>1</v>
      </c>
      <c r="I31" s="209">
        <v>380800</v>
      </c>
      <c r="J31" s="209">
        <f>ROUND(I31*E31,2)</f>
        <v>380800</v>
      </c>
    </row>
    <row r="32" spans="1:12" x14ac:dyDescent="0.25">
      <c r="A32" s="2"/>
      <c r="B32" s="296"/>
      <c r="C32" s="297" t="s">
        <v>220</v>
      </c>
      <c r="D32" s="298"/>
      <c r="E32" s="212"/>
      <c r="F32" s="286"/>
      <c r="G32" s="230">
        <f>SUM(G31)</f>
        <v>60830.67</v>
      </c>
      <c r="H32" s="220">
        <f>G31/$G$34</f>
        <v>1</v>
      </c>
      <c r="I32" s="231"/>
      <c r="J32" s="230">
        <f>SUM(J31)</f>
        <v>380800</v>
      </c>
      <c r="K32" s="226"/>
      <c r="L32" s="226"/>
    </row>
    <row r="33" spans="1:12" x14ac:dyDescent="0.25">
      <c r="A33" s="2"/>
      <c r="B33" s="296"/>
      <c r="C33" s="297" t="s">
        <v>221</v>
      </c>
      <c r="D33" s="296"/>
      <c r="E33" s="212"/>
      <c r="F33" s="286"/>
      <c r="G33" s="230">
        <v>0</v>
      </c>
      <c r="H33" s="220">
        <f>G33/$G$34</f>
        <v>0</v>
      </c>
      <c r="I33" s="231"/>
      <c r="J33" s="230">
        <v>0</v>
      </c>
      <c r="K33" s="226"/>
      <c r="L33" s="226"/>
    </row>
    <row r="34" spans="1:12" x14ac:dyDescent="0.25">
      <c r="A34" s="284"/>
      <c r="B34" s="296"/>
      <c r="C34" s="299" t="s">
        <v>222</v>
      </c>
      <c r="D34" s="296"/>
      <c r="E34" s="285"/>
      <c r="F34" s="286"/>
      <c r="G34" s="230">
        <f>G32+G33</f>
        <v>60830.67</v>
      </c>
      <c r="H34" s="283">
        <v>1</v>
      </c>
      <c r="I34" s="231"/>
      <c r="J34" s="230">
        <f>J33+J32</f>
        <v>380800</v>
      </c>
      <c r="K34" s="226"/>
      <c r="L34" s="226"/>
    </row>
    <row r="35" spans="1:12" ht="25.5" customHeight="1" x14ac:dyDescent="0.25">
      <c r="A35" s="284"/>
      <c r="B35" s="296"/>
      <c r="C35" s="297" t="s">
        <v>223</v>
      </c>
      <c r="D35" s="296"/>
      <c r="E35" s="233"/>
      <c r="F35" s="286"/>
      <c r="G35" s="230">
        <f>'Прил.6 Расчет ОБ'!G13</f>
        <v>60830.67</v>
      </c>
      <c r="H35" s="287"/>
      <c r="I35" s="231"/>
      <c r="J35" s="230">
        <f>ROUND(G35*Прил.10!D14,2)</f>
        <v>380799.99</v>
      </c>
      <c r="K35" s="226"/>
      <c r="L35" s="226"/>
    </row>
    <row r="36" spans="1:12" s="14" customFormat="1" ht="14.25" customHeight="1" x14ac:dyDescent="0.2">
      <c r="A36" s="2"/>
      <c r="B36" s="347" t="s">
        <v>132</v>
      </c>
      <c r="C36" s="347"/>
      <c r="D36" s="353"/>
      <c r="E36" s="354"/>
      <c r="F36" s="355"/>
      <c r="G36" s="355"/>
      <c r="H36" s="356"/>
      <c r="I36" s="205"/>
      <c r="J36" s="205"/>
    </row>
    <row r="37" spans="1:12" s="14" customFormat="1" ht="14.25" customHeight="1" x14ac:dyDescent="0.2">
      <c r="A37" s="279"/>
      <c r="B37" s="342" t="s">
        <v>224</v>
      </c>
      <c r="C37" s="342"/>
      <c r="D37" s="343"/>
      <c r="E37" s="344"/>
      <c r="F37" s="345"/>
      <c r="G37" s="345"/>
      <c r="H37" s="346"/>
      <c r="I37" s="234"/>
      <c r="J37" s="234"/>
    </row>
    <row r="38" spans="1:12" s="14" customFormat="1" ht="25.5" customHeight="1" x14ac:dyDescent="0.2">
      <c r="A38" s="227">
        <v>11</v>
      </c>
      <c r="B38" s="227" t="s">
        <v>133</v>
      </c>
      <c r="C38" s="151" t="s">
        <v>134</v>
      </c>
      <c r="D38" s="227" t="s">
        <v>135</v>
      </c>
      <c r="E38" s="228">
        <v>1.2999999999999999E-2</v>
      </c>
      <c r="F38" s="229">
        <v>5941.89</v>
      </c>
      <c r="G38" s="217">
        <f>ROUND(E38*F38,2)</f>
        <v>77.239999999999995</v>
      </c>
      <c r="H38" s="220">
        <f t="shared" ref="H38:H52" si="0">G38/$G$52</f>
        <v>0.27064718455446934</v>
      </c>
      <c r="I38" s="209">
        <f>ROUND(F38*Прил.10!$D$13,2)</f>
        <v>47772.800000000003</v>
      </c>
      <c r="J38" s="209">
        <f>ROUND(I38*E38,2)</f>
        <v>621.04999999999995</v>
      </c>
    </row>
    <row r="39" spans="1:12" s="14" customFormat="1" ht="14.25" customHeight="1" x14ac:dyDescent="0.2">
      <c r="A39" s="227">
        <v>12</v>
      </c>
      <c r="B39" s="227" t="s">
        <v>136</v>
      </c>
      <c r="C39" s="151" t="s">
        <v>137</v>
      </c>
      <c r="D39" s="227" t="s">
        <v>135</v>
      </c>
      <c r="E39" s="228">
        <v>0.01</v>
      </c>
      <c r="F39" s="229">
        <v>5548.88</v>
      </c>
      <c r="G39" s="217">
        <f>ROUND(E39*F39,2)</f>
        <v>55.49</v>
      </c>
      <c r="H39" s="220">
        <f t="shared" si="0"/>
        <v>0.19443568450190968</v>
      </c>
      <c r="I39" s="209">
        <f>ROUND(F39*Прил.10!$D$13,2)</f>
        <v>44613</v>
      </c>
      <c r="J39" s="209">
        <f>ROUND(I39*E39,2)</f>
        <v>446.13</v>
      </c>
    </row>
    <row r="40" spans="1:12" s="14" customFormat="1" ht="25.5" customHeight="1" x14ac:dyDescent="0.2">
      <c r="A40" s="227">
        <v>13</v>
      </c>
      <c r="B40" s="227" t="s">
        <v>138</v>
      </c>
      <c r="C40" s="151" t="s">
        <v>139</v>
      </c>
      <c r="D40" s="227" t="s">
        <v>135</v>
      </c>
      <c r="E40" s="228">
        <v>4.0000000000000001E-3</v>
      </c>
      <c r="F40" s="229">
        <v>13615.1</v>
      </c>
      <c r="G40" s="217">
        <f>ROUND(E40*F40,2)</f>
        <v>54.46</v>
      </c>
      <c r="H40" s="220">
        <f t="shared" si="0"/>
        <v>0.19082658817758158</v>
      </c>
      <c r="I40" s="209">
        <f>ROUND(F40*Прил.10!$D$13,2)</f>
        <v>109465.4</v>
      </c>
      <c r="J40" s="209">
        <f>ROUND(I40*E40,2)</f>
        <v>437.86</v>
      </c>
    </row>
    <row r="41" spans="1:12" s="14" customFormat="1" ht="25.5" customHeight="1" x14ac:dyDescent="0.2">
      <c r="A41" s="227">
        <v>14</v>
      </c>
      <c r="B41" s="227" t="s">
        <v>140</v>
      </c>
      <c r="C41" s="151" t="s">
        <v>141</v>
      </c>
      <c r="D41" s="227" t="s">
        <v>135</v>
      </c>
      <c r="E41" s="228">
        <v>6.0000000000000001E-3</v>
      </c>
      <c r="F41" s="229">
        <v>5891.61</v>
      </c>
      <c r="G41" s="217">
        <f>ROUND(E41*F41,2)</f>
        <v>35.35</v>
      </c>
      <c r="H41" s="220">
        <f t="shared" si="0"/>
        <v>0.12386558744174639</v>
      </c>
      <c r="I41" s="209">
        <f>ROUND(F41*Прил.10!$D$13,2)</f>
        <v>47368.54</v>
      </c>
      <c r="J41" s="209">
        <f>ROUND(I41*E41,2)</f>
        <v>284.20999999999998</v>
      </c>
    </row>
    <row r="42" spans="1:12" s="14" customFormat="1" ht="14.25" customHeight="1" x14ac:dyDescent="0.2">
      <c r="A42" s="227">
        <v>15</v>
      </c>
      <c r="B42" s="227" t="s">
        <v>142</v>
      </c>
      <c r="C42" s="151" t="s">
        <v>143</v>
      </c>
      <c r="D42" s="227" t="s">
        <v>135</v>
      </c>
      <c r="E42" s="228">
        <v>1.1299999999999999E-3</v>
      </c>
      <c r="F42" s="229">
        <v>28300.400000000001</v>
      </c>
      <c r="G42" s="217">
        <f>ROUND(E42*F42,2)</f>
        <v>31.98</v>
      </c>
      <c r="H42" s="220">
        <f t="shared" si="0"/>
        <v>0.11205718490486703</v>
      </c>
      <c r="I42" s="209">
        <f>ROUND(F42*Прил.10!$D$13,2)</f>
        <v>227535.22</v>
      </c>
      <c r="J42" s="209">
        <f>ROUND(I42*E42,2)</f>
        <v>257.11</v>
      </c>
    </row>
    <row r="43" spans="1:12" s="14" customFormat="1" ht="14.25" customHeight="1" x14ac:dyDescent="0.2">
      <c r="A43" s="235"/>
      <c r="B43" s="236"/>
      <c r="C43" s="237" t="s">
        <v>225</v>
      </c>
      <c r="D43" s="238"/>
      <c r="E43" s="239"/>
      <c r="F43" s="240"/>
      <c r="G43" s="241">
        <f>SUM(G38:G42)</f>
        <v>254.51999999999998</v>
      </c>
      <c r="H43" s="220">
        <f t="shared" si="0"/>
        <v>0.89183222958057395</v>
      </c>
      <c r="I43" s="209"/>
      <c r="J43" s="241">
        <f>SUM(J38:J42)</f>
        <v>2046.3600000000001</v>
      </c>
      <c r="K43" s="26"/>
      <c r="L43" s="26"/>
    </row>
    <row r="44" spans="1:12" s="14" customFormat="1" ht="14.25" hidden="1" customHeight="1" outlineLevel="1" x14ac:dyDescent="0.2">
      <c r="A44" s="227">
        <v>16</v>
      </c>
      <c r="B44" s="227" t="s">
        <v>144</v>
      </c>
      <c r="C44" s="151" t="s">
        <v>145</v>
      </c>
      <c r="D44" s="227" t="s">
        <v>135</v>
      </c>
      <c r="E44" s="228">
        <v>8.8000000000000003E-4</v>
      </c>
      <c r="F44" s="229">
        <v>15620</v>
      </c>
      <c r="G44" s="217">
        <f t="shared" ref="G44:G50" si="1">ROUND(E44*F44,2)</f>
        <v>13.75</v>
      </c>
      <c r="H44" s="220">
        <f t="shared" si="0"/>
        <v>4.8179683941273345E-2</v>
      </c>
      <c r="I44" s="209">
        <f>ROUND(F44*Прил.10!$D$13,2)</f>
        <v>125584.8</v>
      </c>
      <c r="J44" s="209">
        <f t="shared" ref="J44:J50" si="2">ROUND(I44*E44,2)</f>
        <v>110.51</v>
      </c>
    </row>
    <row r="45" spans="1:12" s="14" customFormat="1" ht="14.25" hidden="1" customHeight="1" outlineLevel="1" x14ac:dyDescent="0.2">
      <c r="A45" s="227">
        <v>17</v>
      </c>
      <c r="B45" s="227" t="s">
        <v>146</v>
      </c>
      <c r="C45" s="151" t="s">
        <v>147</v>
      </c>
      <c r="D45" s="227" t="s">
        <v>135</v>
      </c>
      <c r="E45" s="228">
        <v>7.2000000000000005E-4</v>
      </c>
      <c r="F45" s="229">
        <v>10315.01</v>
      </c>
      <c r="G45" s="217">
        <f t="shared" si="1"/>
        <v>7.43</v>
      </c>
      <c r="H45" s="220">
        <f t="shared" si="0"/>
        <v>2.6034549213357159E-2</v>
      </c>
      <c r="I45" s="209">
        <f>ROUND(F45*Прил.10!$D$13,2)</f>
        <v>82932.679999999993</v>
      </c>
      <c r="J45" s="209">
        <f t="shared" si="2"/>
        <v>59.71</v>
      </c>
    </row>
    <row r="46" spans="1:12" s="14" customFormat="1" ht="14.25" hidden="1" customHeight="1" outlineLevel="1" x14ac:dyDescent="0.2">
      <c r="A46" s="227">
        <v>18</v>
      </c>
      <c r="B46" s="227" t="s">
        <v>148</v>
      </c>
      <c r="C46" s="151" t="s">
        <v>149</v>
      </c>
      <c r="D46" s="227" t="s">
        <v>150</v>
      </c>
      <c r="E46" s="228">
        <v>0.48</v>
      </c>
      <c r="F46" s="229">
        <v>9.42</v>
      </c>
      <c r="G46" s="217">
        <f t="shared" si="1"/>
        <v>4.5199999999999996</v>
      </c>
      <c r="H46" s="220">
        <f t="shared" si="0"/>
        <v>1.5837976102876763E-2</v>
      </c>
      <c r="I46" s="209">
        <f>ROUND(F46*Прил.10!$D$13,2)</f>
        <v>75.739999999999995</v>
      </c>
      <c r="J46" s="209">
        <f t="shared" si="2"/>
        <v>36.36</v>
      </c>
    </row>
    <row r="47" spans="1:12" s="14" customFormat="1" ht="14.25" hidden="1" customHeight="1" outlineLevel="1" x14ac:dyDescent="0.2">
      <c r="A47" s="227">
        <v>19</v>
      </c>
      <c r="B47" s="227" t="s">
        <v>151</v>
      </c>
      <c r="C47" s="151" t="s">
        <v>152</v>
      </c>
      <c r="D47" s="227" t="s">
        <v>150</v>
      </c>
      <c r="E47" s="228">
        <v>0.13</v>
      </c>
      <c r="F47" s="229">
        <v>31.17</v>
      </c>
      <c r="G47" s="217">
        <f t="shared" si="1"/>
        <v>4.05</v>
      </c>
      <c r="H47" s="220">
        <f t="shared" si="0"/>
        <v>1.4191106906338695E-2</v>
      </c>
      <c r="I47" s="209">
        <f>ROUND(F47*Прил.10!$D$13,2)</f>
        <v>250.61</v>
      </c>
      <c r="J47" s="209">
        <f t="shared" si="2"/>
        <v>32.58</v>
      </c>
    </row>
    <row r="48" spans="1:12" s="14" customFormat="1" ht="25.5" hidden="1" customHeight="1" outlineLevel="1" x14ac:dyDescent="0.2">
      <c r="A48" s="227">
        <v>20</v>
      </c>
      <c r="B48" s="227" t="s">
        <v>153</v>
      </c>
      <c r="C48" s="151" t="s">
        <v>154</v>
      </c>
      <c r="D48" s="227" t="s">
        <v>155</v>
      </c>
      <c r="E48" s="228">
        <v>0.41</v>
      </c>
      <c r="F48" s="229">
        <v>1</v>
      </c>
      <c r="G48" s="217">
        <f t="shared" si="1"/>
        <v>0.41</v>
      </c>
      <c r="H48" s="220">
        <f t="shared" si="0"/>
        <v>1.4366305757034235E-3</v>
      </c>
      <c r="I48" s="209">
        <f>ROUND(F48*Прил.10!$D$13,2)</f>
        <v>8.0399999999999991</v>
      </c>
      <c r="J48" s="209">
        <f t="shared" si="2"/>
        <v>3.3</v>
      </c>
    </row>
    <row r="49" spans="1:10" s="14" customFormat="1" ht="14.25" hidden="1" customHeight="1" outlineLevel="1" x14ac:dyDescent="0.2">
      <c r="A49" s="227">
        <v>21</v>
      </c>
      <c r="B49" s="227" t="s">
        <v>156</v>
      </c>
      <c r="C49" s="151" t="s">
        <v>157</v>
      </c>
      <c r="D49" s="227" t="s">
        <v>150</v>
      </c>
      <c r="E49" s="228">
        <v>0.06</v>
      </c>
      <c r="F49" s="229">
        <v>6.67</v>
      </c>
      <c r="G49" s="217">
        <f t="shared" si="1"/>
        <v>0.4</v>
      </c>
      <c r="H49" s="220">
        <f t="shared" si="0"/>
        <v>1.4015908055643156E-3</v>
      </c>
      <c r="I49" s="209">
        <f>ROUND(F49*Прил.10!$D$13,2)</f>
        <v>53.63</v>
      </c>
      <c r="J49" s="209">
        <f t="shared" si="2"/>
        <v>3.22</v>
      </c>
    </row>
    <row r="50" spans="1:10" s="14" customFormat="1" ht="25.5" hidden="1" customHeight="1" outlineLevel="1" x14ac:dyDescent="0.2">
      <c r="A50" s="227">
        <v>22</v>
      </c>
      <c r="B50" s="227" t="s">
        <v>158</v>
      </c>
      <c r="C50" s="151" t="s">
        <v>159</v>
      </c>
      <c r="D50" s="227" t="s">
        <v>150</v>
      </c>
      <c r="E50" s="228">
        <v>1.0999999999999999E-2</v>
      </c>
      <c r="F50" s="229">
        <v>28.22</v>
      </c>
      <c r="G50" s="217">
        <f t="shared" si="1"/>
        <v>0.31</v>
      </c>
      <c r="H50" s="220">
        <f t="shared" si="0"/>
        <v>1.0862328743123447E-3</v>
      </c>
      <c r="I50" s="209">
        <f>ROUND(F50*Прил.10!$D$13,2)</f>
        <v>226.89</v>
      </c>
      <c r="J50" s="209">
        <f t="shared" si="2"/>
        <v>2.5</v>
      </c>
    </row>
    <row r="51" spans="1:10" s="14" customFormat="1" ht="14.25" customHeight="1" collapsed="1" x14ac:dyDescent="0.2">
      <c r="A51" s="2"/>
      <c r="B51" s="2"/>
      <c r="C51" s="9" t="s">
        <v>226</v>
      </c>
      <c r="D51" s="2"/>
      <c r="E51" s="281"/>
      <c r="F51" s="282"/>
      <c r="G51" s="29">
        <f>SUM(G44:G50)</f>
        <v>30.869999999999997</v>
      </c>
      <c r="H51" s="220">
        <f t="shared" si="0"/>
        <v>0.10816777041942605</v>
      </c>
      <c r="I51" s="29"/>
      <c r="J51" s="29">
        <f>SUM(J44:J50)</f>
        <v>248.17999999999998</v>
      </c>
    </row>
    <row r="52" spans="1:10" s="14" customFormat="1" ht="14.25" customHeight="1" x14ac:dyDescent="0.2">
      <c r="A52" s="2"/>
      <c r="B52" s="2"/>
      <c r="C52" s="280" t="s">
        <v>227</v>
      </c>
      <c r="D52" s="2"/>
      <c r="E52" s="281"/>
      <c r="F52" s="282"/>
      <c r="G52" s="29">
        <f>G43+G51</f>
        <v>285.39</v>
      </c>
      <c r="H52" s="283">
        <f t="shared" si="0"/>
        <v>1</v>
      </c>
      <c r="I52" s="29"/>
      <c r="J52" s="29">
        <f>J43+J51</f>
        <v>2294.54</v>
      </c>
    </row>
    <row r="53" spans="1:10" s="14" customFormat="1" ht="14.25" customHeight="1" x14ac:dyDescent="0.2">
      <c r="A53" s="2"/>
      <c r="B53" s="2"/>
      <c r="C53" s="9" t="s">
        <v>228</v>
      </c>
      <c r="D53" s="2"/>
      <c r="E53" s="281"/>
      <c r="F53" s="282"/>
      <c r="G53" s="29">
        <f>G14+G28+G52</f>
        <v>352.65999999999997</v>
      </c>
      <c r="H53" s="283"/>
      <c r="I53" s="29"/>
      <c r="J53" s="29">
        <f>J14+J28+J52</f>
        <v>3868.13</v>
      </c>
    </row>
    <row r="54" spans="1:10" s="14" customFormat="1" ht="14.25" customHeight="1" x14ac:dyDescent="0.2">
      <c r="A54" s="2"/>
      <c r="B54" s="2"/>
      <c r="C54" s="9" t="s">
        <v>229</v>
      </c>
      <c r="D54" s="242">
        <f>ROUND(G54/(G$16+$G$14),2)</f>
        <v>0.9</v>
      </c>
      <c r="E54" s="281"/>
      <c r="F54" s="282"/>
      <c r="G54" s="29">
        <v>24.04</v>
      </c>
      <c r="H54" s="283"/>
      <c r="I54" s="29"/>
      <c r="J54" s="209">
        <f>ROUND(D54*(J14+J16),2)</f>
        <v>1098.44</v>
      </c>
    </row>
    <row r="55" spans="1:10" s="14" customFormat="1" ht="14.25" customHeight="1" x14ac:dyDescent="0.2">
      <c r="A55" s="2"/>
      <c r="B55" s="2"/>
      <c r="C55" s="9" t="s">
        <v>230</v>
      </c>
      <c r="D55" s="242">
        <f>ROUND(G55/(G$14+G$16),2)</f>
        <v>0.46</v>
      </c>
      <c r="E55" s="281"/>
      <c r="F55" s="282"/>
      <c r="G55" s="29">
        <v>12.29</v>
      </c>
      <c r="H55" s="283"/>
      <c r="I55" s="29"/>
      <c r="J55" s="209">
        <f>ROUND(D55*(J14+J16),2)</f>
        <v>561.42999999999995</v>
      </c>
    </row>
    <row r="56" spans="1:10" s="14" customFormat="1" ht="14.25" customHeight="1" x14ac:dyDescent="0.2">
      <c r="A56" s="2"/>
      <c r="B56" s="2"/>
      <c r="C56" s="9" t="s">
        <v>231</v>
      </c>
      <c r="D56" s="2"/>
      <c r="E56" s="281"/>
      <c r="F56" s="282"/>
      <c r="G56" s="29">
        <f>G14+G28+G52+G54+G55</f>
        <v>388.99</v>
      </c>
      <c r="H56" s="283"/>
      <c r="I56" s="29"/>
      <c r="J56" s="29">
        <f>J14+J28+J52+J54+J55</f>
        <v>5528</v>
      </c>
    </row>
    <row r="57" spans="1:10" s="14" customFormat="1" ht="14.25" customHeight="1" x14ac:dyDescent="0.2">
      <c r="A57" s="2"/>
      <c r="B57" s="2"/>
      <c r="C57" s="9" t="s">
        <v>232</v>
      </c>
      <c r="D57" s="2"/>
      <c r="E57" s="281"/>
      <c r="F57" s="282"/>
      <c r="G57" s="29">
        <f>G56+G34</f>
        <v>61219.659999999996</v>
      </c>
      <c r="H57" s="283"/>
      <c r="I57" s="29"/>
      <c r="J57" s="29">
        <f>J56+J34</f>
        <v>386328</v>
      </c>
    </row>
    <row r="58" spans="1:10" s="14" customFormat="1" ht="34.5" customHeight="1" x14ac:dyDescent="0.2">
      <c r="A58" s="2"/>
      <c r="B58" s="2"/>
      <c r="C58" s="9" t="s">
        <v>197</v>
      </c>
      <c r="D58" s="2" t="s">
        <v>233</v>
      </c>
      <c r="E58" s="291">
        <v>1</v>
      </c>
      <c r="F58" s="282"/>
      <c r="G58" s="29">
        <f>G57/E58</f>
        <v>61219.659999999996</v>
      </c>
      <c r="H58" s="283"/>
      <c r="I58" s="29"/>
      <c r="J58" s="29">
        <f>J57/E58</f>
        <v>386328</v>
      </c>
    </row>
    <row r="60" spans="1:10" s="14" customFormat="1" ht="14.25" customHeight="1" x14ac:dyDescent="0.2">
      <c r="A60" s="4" t="s">
        <v>234</v>
      </c>
    </row>
    <row r="61" spans="1:10" s="14" customFormat="1" ht="14.25" customHeight="1" x14ac:dyDescent="0.2">
      <c r="A61" s="243" t="s">
        <v>76</v>
      </c>
    </row>
    <row r="62" spans="1:10" s="14" customFormat="1" ht="14.25" customHeight="1" x14ac:dyDescent="0.2">
      <c r="A62" s="4"/>
    </row>
    <row r="63" spans="1:10" s="14" customFormat="1" ht="14.25" customHeight="1" x14ac:dyDescent="0.2">
      <c r="A63" s="4" t="s">
        <v>235</v>
      </c>
    </row>
    <row r="64" spans="1:10" s="14" customFormat="1" ht="14.25" customHeight="1" x14ac:dyDescent="0.2">
      <c r="A64" s="24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7:H37"/>
    <mergeCell ref="B12:H12"/>
    <mergeCell ref="B15:H15"/>
    <mergeCell ref="B17:H17"/>
    <mergeCell ref="B18:H18"/>
    <mergeCell ref="B30:H30"/>
    <mergeCell ref="B29:H29"/>
    <mergeCell ref="B36:H3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E27" sqref="E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2" t="s">
        <v>236</v>
      </c>
      <c r="B1" s="362"/>
      <c r="C1" s="362"/>
      <c r="D1" s="362"/>
      <c r="E1" s="362"/>
      <c r="F1" s="362"/>
      <c r="G1" s="362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19" t="s">
        <v>237</v>
      </c>
      <c r="B3" s="319"/>
      <c r="C3" s="319"/>
      <c r="D3" s="319"/>
      <c r="E3" s="319"/>
      <c r="F3" s="319"/>
      <c r="G3" s="319"/>
    </row>
    <row r="4" spans="1:7" ht="25.5" customHeight="1" x14ac:dyDescent="0.25">
      <c r="A4" s="322" t="s">
        <v>47</v>
      </c>
      <c r="B4" s="322"/>
      <c r="C4" s="322"/>
      <c r="D4" s="322"/>
      <c r="E4" s="322"/>
      <c r="F4" s="322"/>
      <c r="G4" s="322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67" t="s">
        <v>13</v>
      </c>
      <c r="B6" s="367" t="s">
        <v>99</v>
      </c>
      <c r="C6" s="367" t="s">
        <v>163</v>
      </c>
      <c r="D6" s="367" t="s">
        <v>101</v>
      </c>
      <c r="E6" s="343" t="s">
        <v>206</v>
      </c>
      <c r="F6" s="367" t="s">
        <v>103</v>
      </c>
      <c r="G6" s="367"/>
    </row>
    <row r="7" spans="1:7" x14ac:dyDescent="0.25">
      <c r="A7" s="367"/>
      <c r="B7" s="367"/>
      <c r="C7" s="367"/>
      <c r="D7" s="367"/>
      <c r="E7" s="360"/>
      <c r="F7" s="284" t="s">
        <v>209</v>
      </c>
      <c r="G7" s="284" t="s">
        <v>105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245"/>
      <c r="B9" s="363" t="s">
        <v>238</v>
      </c>
      <c r="C9" s="364"/>
      <c r="D9" s="364"/>
      <c r="E9" s="364"/>
      <c r="F9" s="364"/>
      <c r="G9" s="365"/>
    </row>
    <row r="10" spans="1:7" ht="27" customHeight="1" x14ac:dyDescent="0.25">
      <c r="A10" s="284"/>
      <c r="B10" s="232"/>
      <c r="C10" s="136" t="s">
        <v>239</v>
      </c>
      <c r="D10" s="232"/>
      <c r="E10" s="246"/>
      <c r="F10" s="286"/>
      <c r="G10" s="230">
        <v>0</v>
      </c>
    </row>
    <row r="11" spans="1:7" x14ac:dyDescent="0.25">
      <c r="A11" s="284"/>
      <c r="B11" s="348" t="s">
        <v>240</v>
      </c>
      <c r="C11" s="348"/>
      <c r="D11" s="348"/>
      <c r="E11" s="366"/>
      <c r="F11" s="351"/>
      <c r="G11" s="351"/>
    </row>
    <row r="12" spans="1:7" s="164" customFormat="1" ht="15.75" customHeight="1" x14ac:dyDescent="0.25">
      <c r="A12" s="284">
        <v>1</v>
      </c>
      <c r="B12" s="136" t="str">
        <f>'Прил.5 Расчет СМР и ОБ'!B31</f>
        <v>БЦ.54.15</v>
      </c>
      <c r="C12" s="247" t="str">
        <f>'Прил.5 Расчет СМР и ОБ'!C31</f>
        <v>Турникет трипод электромеханический</v>
      </c>
      <c r="D12" s="248" t="str">
        <f>'Прил.5 Расчет СМР и ОБ'!D31</f>
        <v>шт.</v>
      </c>
      <c r="E12" s="249">
        <f>'Прил.5 Расчет СМР и ОБ'!E31</f>
        <v>1</v>
      </c>
      <c r="F12" s="216">
        <f>'Прил.5 Расчет СМР и ОБ'!F31</f>
        <v>60830.67</v>
      </c>
      <c r="G12" s="230">
        <f>ROUND(E12*F12,2)</f>
        <v>60830.67</v>
      </c>
    </row>
    <row r="13" spans="1:7" ht="25.5" customHeight="1" x14ac:dyDescent="0.25">
      <c r="A13" s="284"/>
      <c r="B13" s="136"/>
      <c r="C13" s="136" t="s">
        <v>241</v>
      </c>
      <c r="D13" s="136"/>
      <c r="E13" s="289"/>
      <c r="F13" s="286"/>
      <c r="G13" s="230">
        <f>SUM(G12:G12)</f>
        <v>60830.67</v>
      </c>
    </row>
    <row r="14" spans="1:7" ht="19.5" customHeight="1" x14ac:dyDescent="0.25">
      <c r="A14" s="284"/>
      <c r="B14" s="136"/>
      <c r="C14" s="136" t="s">
        <v>242</v>
      </c>
      <c r="D14" s="136"/>
      <c r="E14" s="289"/>
      <c r="F14" s="286"/>
      <c r="G14" s="230">
        <f>G10+G13</f>
        <v>60830.67</v>
      </c>
    </row>
    <row r="15" spans="1:7" x14ac:dyDescent="0.25">
      <c r="A15" s="250"/>
      <c r="B15" s="251"/>
      <c r="C15" s="250"/>
      <c r="D15" s="250"/>
      <c r="E15" s="250"/>
      <c r="F15" s="250"/>
      <c r="G15" s="250"/>
    </row>
    <row r="16" spans="1:7" x14ac:dyDescent="0.25">
      <c r="A16" s="4" t="s">
        <v>234</v>
      </c>
      <c r="B16" s="14"/>
      <c r="C16" s="14"/>
      <c r="D16" s="250"/>
      <c r="E16" s="250"/>
      <c r="F16" s="250"/>
      <c r="G16" s="250"/>
    </row>
    <row r="17" spans="1:7" x14ac:dyDescent="0.25">
      <c r="A17" s="243" t="s">
        <v>76</v>
      </c>
      <c r="B17" s="14"/>
      <c r="C17" s="14"/>
      <c r="D17" s="250"/>
      <c r="E17" s="250"/>
      <c r="F17" s="250"/>
      <c r="G17" s="250"/>
    </row>
    <row r="18" spans="1:7" x14ac:dyDescent="0.25">
      <c r="A18" s="4"/>
      <c r="B18" s="14"/>
      <c r="C18" s="14"/>
      <c r="D18" s="250"/>
      <c r="E18" s="250"/>
      <c r="F18" s="250"/>
      <c r="G18" s="250"/>
    </row>
    <row r="19" spans="1:7" x14ac:dyDescent="0.25">
      <c r="A19" s="4" t="s">
        <v>235</v>
      </c>
      <c r="B19" s="14"/>
      <c r="C19" s="14"/>
      <c r="D19" s="250"/>
      <c r="E19" s="250"/>
      <c r="F19" s="250"/>
      <c r="G19" s="250"/>
    </row>
    <row r="20" spans="1:7" x14ac:dyDescent="0.25">
      <c r="A20" s="243" t="s">
        <v>78</v>
      </c>
      <c r="B20" s="14"/>
      <c r="C20" s="14"/>
      <c r="D20" s="250"/>
      <c r="E20" s="250"/>
      <c r="F20" s="250"/>
      <c r="G20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2023-11-26T05:52:25Z</cp:lastPrinted>
  <dcterms:created xsi:type="dcterms:W3CDTF">2020-09-30T08:50:27Z</dcterms:created>
  <dcterms:modified xsi:type="dcterms:W3CDTF">2023-11-26T05:52:35Z</dcterms:modified>
  <cp:category/>
</cp:coreProperties>
</file>