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ADAC4129-1CE9-4C8A-971E-FDA1D7EB30AD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Прил.3!$A$1:$H$91</definedName>
    <definedName name="_xlnm.Print_Area" localSheetId="6">'Прил.4 РМ'!$A$1:$E$48</definedName>
    <definedName name="_xlnm.Print_Area" localSheetId="7">'Прил.5 Расчет СМР и ОБ'!$A$1:$J$104</definedName>
    <definedName name="_xlnm.Print_Area" localSheetId="8">'Прил.6 Расчет ОБ'!$A$1:$G$35</definedName>
    <definedName name="_xlnm.Print_Area" localSheetId="11">ФОТр.тек.!$A$1:$F$15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F27" i="9"/>
  <c r="E27" i="9"/>
  <c r="G27" i="9" s="1"/>
  <c r="D27" i="9"/>
  <c r="C27" i="9"/>
  <c r="B27" i="9"/>
  <c r="F26" i="9"/>
  <c r="E26" i="9"/>
  <c r="D26" i="9"/>
  <c r="C26" i="9"/>
  <c r="B26" i="9"/>
  <c r="F25" i="9"/>
  <c r="E25" i="9"/>
  <c r="G25" i="9" s="1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G21" i="9" s="1"/>
  <c r="D21" i="9"/>
  <c r="C21" i="9"/>
  <c r="B21" i="9"/>
  <c r="F20" i="9"/>
  <c r="E20" i="9"/>
  <c r="D20" i="9"/>
  <c r="C20" i="9"/>
  <c r="B20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F12" i="9"/>
  <c r="E12" i="9"/>
  <c r="G12" i="9" s="1"/>
  <c r="D12" i="9"/>
  <c r="C12" i="9"/>
  <c r="B12" i="9"/>
  <c r="G93" i="8"/>
  <c r="G92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J83" i="8"/>
  <c r="I83" i="8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J74" i="8"/>
  <c r="I74" i="8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5" i="8"/>
  <c r="J55" i="8" s="1"/>
  <c r="J56" i="8" s="1"/>
  <c r="G55" i="8"/>
  <c r="G56" i="8" s="1"/>
  <c r="I49" i="8"/>
  <c r="J49" i="8" s="1"/>
  <c r="G49" i="8"/>
  <c r="I48" i="8"/>
  <c r="J48" i="8" s="1"/>
  <c r="G48" i="8"/>
  <c r="J47" i="8"/>
  <c r="I47" i="8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J40" i="8"/>
  <c r="I40" i="8"/>
  <c r="G40" i="8"/>
  <c r="I39" i="8"/>
  <c r="J39" i="8" s="1"/>
  <c r="G39" i="8"/>
  <c r="I38" i="8"/>
  <c r="J38" i="8" s="1"/>
  <c r="G38" i="8"/>
  <c r="J37" i="8"/>
  <c r="I37" i="8"/>
  <c r="G37" i="8"/>
  <c r="I36" i="8"/>
  <c r="J36" i="8" s="1"/>
  <c r="G36" i="8"/>
  <c r="I35" i="8"/>
  <c r="J35" i="8" s="1"/>
  <c r="G35" i="8"/>
  <c r="J34" i="8"/>
  <c r="I34" i="8"/>
  <c r="G34" i="8"/>
  <c r="G41" i="8" s="1"/>
  <c r="I33" i="8"/>
  <c r="J33" i="8" s="1"/>
  <c r="G33" i="8"/>
  <c r="I28" i="8"/>
  <c r="J28" i="8" s="1"/>
  <c r="G28" i="8"/>
  <c r="I27" i="8"/>
  <c r="J27" i="8" s="1"/>
  <c r="G27" i="8"/>
  <c r="J26" i="8"/>
  <c r="I26" i="8"/>
  <c r="G26" i="8"/>
  <c r="I25" i="8"/>
  <c r="J25" i="8" s="1"/>
  <c r="G25" i="8"/>
  <c r="G29" i="8" s="1"/>
  <c r="I23" i="8"/>
  <c r="J23" i="8" s="1"/>
  <c r="G23" i="8"/>
  <c r="J22" i="8"/>
  <c r="I22" i="8"/>
  <c r="G22" i="8"/>
  <c r="I21" i="8"/>
  <c r="J21" i="8" s="1"/>
  <c r="G21" i="8"/>
  <c r="G24" i="8" s="1"/>
  <c r="G18" i="8"/>
  <c r="F18" i="8"/>
  <c r="I18" i="8" s="1"/>
  <c r="J18" i="8" s="1"/>
  <c r="C15" i="7" s="1"/>
  <c r="E18" i="8"/>
  <c r="I15" i="8"/>
  <c r="G15" i="8"/>
  <c r="E15" i="8" s="1"/>
  <c r="J15" i="8" s="1"/>
  <c r="I14" i="8"/>
  <c r="G14" i="8"/>
  <c r="E14" i="8" s="1"/>
  <c r="J14" i="8" s="1"/>
  <c r="I13" i="8"/>
  <c r="G13" i="8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4" i="9" l="1"/>
  <c r="G23" i="9"/>
  <c r="G22" i="9"/>
  <c r="G28" i="9" s="1"/>
  <c r="G50" i="8"/>
  <c r="G51" i="8" s="1"/>
  <c r="G20" i="9"/>
  <c r="G26" i="9"/>
  <c r="G89" i="8"/>
  <c r="C16" i="7"/>
  <c r="H81" i="8"/>
  <c r="H27" i="8"/>
  <c r="J41" i="8"/>
  <c r="H70" i="8"/>
  <c r="J24" i="8"/>
  <c r="C12" i="7" s="1"/>
  <c r="G30" i="8"/>
  <c r="H23" i="8" s="1"/>
  <c r="J89" i="8"/>
  <c r="C17" i="7" s="1"/>
  <c r="C18" i="7" s="1"/>
  <c r="H63" i="8"/>
  <c r="H75" i="8"/>
  <c r="J29" i="8"/>
  <c r="J50" i="8"/>
  <c r="J51" i="8" s="1"/>
  <c r="C25" i="7" s="1"/>
  <c r="H69" i="8"/>
  <c r="H78" i="8"/>
  <c r="G90" i="8"/>
  <c r="H72" i="8" s="1"/>
  <c r="H56" i="8"/>
  <c r="H61" i="8"/>
  <c r="G16" i="8"/>
  <c r="H14" i="8" s="1"/>
  <c r="D92" i="8"/>
  <c r="C23" i="7" s="1"/>
  <c r="E13" i="8"/>
  <c r="D93" i="8"/>
  <c r="H24" i="8" l="1"/>
  <c r="H22" i="8"/>
  <c r="H29" i="8"/>
  <c r="H37" i="8"/>
  <c r="H40" i="8"/>
  <c r="H38" i="8"/>
  <c r="H34" i="8"/>
  <c r="C13" i="7"/>
  <c r="C14" i="7" s="1"/>
  <c r="J30" i="8"/>
  <c r="H64" i="8"/>
  <c r="H15" i="8"/>
  <c r="H66" i="8"/>
  <c r="H47" i="8"/>
  <c r="H44" i="8"/>
  <c r="H39" i="8"/>
  <c r="H36" i="8"/>
  <c r="H33" i="8"/>
  <c r="H46" i="8"/>
  <c r="H49" i="8"/>
  <c r="H43" i="8"/>
  <c r="H60" i="8"/>
  <c r="J90" i="8"/>
  <c r="G94" i="8"/>
  <c r="G95" i="8" s="1"/>
  <c r="G96" i="8" s="1"/>
  <c r="H13" i="8"/>
  <c r="H88" i="8"/>
  <c r="H85" i="8"/>
  <c r="H82" i="8"/>
  <c r="H79" i="8"/>
  <c r="H76" i="8"/>
  <c r="H73" i="8"/>
  <c r="H86" i="8"/>
  <c r="H83" i="8"/>
  <c r="H80" i="8"/>
  <c r="H77" i="8"/>
  <c r="H74" i="8"/>
  <c r="H71" i="8"/>
  <c r="H68" i="8"/>
  <c r="H65" i="8"/>
  <c r="H62" i="8"/>
  <c r="H59" i="8"/>
  <c r="H90" i="8"/>
  <c r="H55" i="8"/>
  <c r="G91" i="8"/>
  <c r="H42" i="8"/>
  <c r="H35" i="8"/>
  <c r="H58" i="8"/>
  <c r="G29" i="9"/>
  <c r="G52" i="8"/>
  <c r="J52" i="8" s="1"/>
  <c r="C26" i="7" s="1"/>
  <c r="H41" i="8"/>
  <c r="H51" i="8" s="1"/>
  <c r="H50" i="8"/>
  <c r="H67" i="8"/>
  <c r="H57" i="8"/>
  <c r="H87" i="8"/>
  <c r="H45" i="8"/>
  <c r="H84" i="8"/>
  <c r="H26" i="8"/>
  <c r="H28" i="8"/>
  <c r="H25" i="8"/>
  <c r="H21" i="8"/>
  <c r="H89" i="8"/>
  <c r="H48" i="8"/>
  <c r="E16" i="8"/>
  <c r="J13" i="8"/>
  <c r="J16" i="8" s="1"/>
  <c r="J93" i="8" s="1"/>
  <c r="C21" i="7"/>
  <c r="C11" i="7" l="1"/>
  <c r="J91" i="8"/>
  <c r="J92" i="8"/>
  <c r="J94" i="8" s="1"/>
  <c r="J95" i="8" s="1"/>
  <c r="J96" i="8" s="1"/>
  <c r="C19" i="7" l="1"/>
  <c r="C22" i="7"/>
  <c r="C20" i="7"/>
  <c r="C24" i="7" l="1"/>
  <c r="D22" i="7"/>
  <c r="D20" i="7"/>
  <c r="D17" i="7" l="1"/>
  <c r="D13" i="7"/>
  <c r="C29" i="7"/>
  <c r="C27" i="7"/>
  <c r="D24" i="7"/>
  <c r="D18" i="7"/>
  <c r="D16" i="7"/>
  <c r="D14" i="7"/>
  <c r="D12" i="7"/>
  <c r="D15" i="7"/>
  <c r="D11" i="7"/>
  <c r="C30" i="7" l="1"/>
  <c r="C37" i="7" s="1"/>
  <c r="C36" i="7" l="1"/>
  <c r="C38" i="7" s="1"/>
  <c r="C39" i="7" s="1"/>
  <c r="C40" i="7" l="1"/>
  <c r="E39" i="7"/>
  <c r="E32" i="7" l="1"/>
  <c r="E18" i="7"/>
  <c r="E16" i="7"/>
  <c r="E14" i="7"/>
  <c r="E12" i="7"/>
  <c r="E26" i="7"/>
  <c r="E40" i="7"/>
  <c r="E31" i="7"/>
  <c r="E33" i="7"/>
  <c r="E35" i="7"/>
  <c r="E17" i="7"/>
  <c r="E13" i="7"/>
  <c r="C41" i="7"/>
  <c r="D11" i="10" s="1"/>
  <c r="E34" i="7"/>
  <c r="E25" i="7"/>
  <c r="E15" i="7"/>
  <c r="E11" i="7"/>
  <c r="E22" i="7"/>
  <c r="E20" i="7"/>
  <c r="E24" i="7"/>
  <c r="E29" i="7"/>
  <c r="E27" i="7"/>
  <c r="E30" i="7"/>
  <c r="E38" i="7"/>
  <c r="E37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<sst xmlns="http://schemas.openxmlformats.org/spreadsheetml/2006/main" count="937" uniqueCount="495">
  <si>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</si>
  <si>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</si>
  <si>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</si>
  <si>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</si>
  <si>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</si>
  <si>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</si>
  <si>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</si>
  <si>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</si>
  <si>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</si>
  <si>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</si>
  <si>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</si>
  <si>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</si>
  <si>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</si>
  <si>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</si>
  <si>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</si>
  <si>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</si>
  <si>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</si>
  <si>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</si>
  <si>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</si>
  <si>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</si>
  <si>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</si>
  <si>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</si>
  <si>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</si>
  <si>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</si>
  <si>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</si>
  <si>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</si>
  <si>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</si>
  <si>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</si>
  <si>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</si>
  <si>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</si>
  <si>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</si>
  <si>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</si>
  <si>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</si>
  <si>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</si>
  <si>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</si>
  <si>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</si>
  <si>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</si>
  <si>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</si>
  <si>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</si>
  <si>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</si>
  <si>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</si>
  <si>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</si>
  <si>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</si>
  <si>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</si>
  <si>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</si>
  <si>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</si>
  <si>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</si>
  <si>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шкаф ЦК системы видеонаблюдения ПС 220 кВ</t>
  </si>
  <si>
    <t>Сопоставимый уровень цен: 3 квартал 2021г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</si>
  <si>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</si>
  <si>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</si>
  <si>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</si>
  <si>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</si>
  <si>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</si>
  <si>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</si>
  <si>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</si>
  <si>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</si>
  <si>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</si>
  <si>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</si>
  <si>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</si>
  <si>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Шкаф ЦК системы видеонаблюдения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</si>
  <si>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</si>
  <si>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</si>
  <si>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</si>
  <si>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</si>
  <si>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</si>
  <si>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</si>
  <si>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</si>
  <si>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</si>
  <si>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</si>
  <si>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</si>
  <si>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</si>
  <si>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</si>
  <si>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</si>
  <si>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</si>
  <si>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</si>
  <si>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</si>
  <si>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</si>
  <si>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</si>
  <si>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</si>
  <si>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</si>
  <si>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шкаф ЦК системы видеонаблюдения ПС 220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</si>
  <si>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</si>
  <si>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</si>
  <si>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</si>
  <si>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</si>
  <si>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</si>
  <si>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</si>
  <si>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</si>
  <si>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</si>
  <si>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Шкаф ЦК системы видеонаблюдения ПС 220 кВ</t>
  </si>
  <si>
    <t>Всего по объекту:</t>
  </si>
  <si>
    <t>Всего по объекту в сопоставимом уровне цен 3 кв. 2021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</si>
  <si>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</si>
  <si>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</si>
  <si>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шкаф ЦК системы видеонаблюдения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</si>
  <si>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</si>
  <si>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</si>
  <si>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</si>
  <si>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</si>
  <si>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</si>
  <si>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</si>
  <si>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</si>
  <si>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</si>
  <si>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</si>
  <si>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</si>
  <si>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</si>
  <si>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</si>
  <si>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</si>
  <si>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</si>
  <si>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</si>
  <si>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</si>
  <si>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</si>
  <si>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</si>
  <si>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</si>
  <si>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</si>
  <si>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</si>
  <si>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</si>
  <si>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</si>
  <si>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</si>
  <si>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</si>
  <si>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</si>
  <si>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</si>
  <si>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</si>
  <si>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</si>
  <si>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</si>
  <si>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</si>
  <si>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</si>
  <si>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</si>
  <si>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</si>
  <si>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</si>
  <si>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</si>
  <si>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</si>
  <si>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</si>
  <si>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</si>
  <si>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</si>
  <si>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</si>
  <si>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</si>
  <si>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</si>
  <si>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</si>
  <si>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</si>
  <si>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</si>
  <si>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</si>
  <si>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</si>
  <si>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</si>
  <si>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</si>
  <si>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</si>
  <si>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</si>
  <si>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</si>
  <si>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</si>
  <si>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</si>
  <si>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</si>
  <si>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</si>
  <si>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</si>
  <si>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</si>
  <si>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</si>
  <si>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</si>
  <si>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</si>
  <si>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</si>
  <si>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</si>
  <si>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</si>
  <si>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</si>
  <si>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</si>
  <si>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</si>
  <si>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</si>
  <si>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</si>
  <si>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</si>
  <si>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</si>
  <si>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</si>
  <si>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</si>
  <si>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</si>
  <si>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</si>
  <si>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</si>
  <si>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</si>
  <si>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</si>
  <si>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</si>
  <si>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</si>
  <si>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</si>
  <si>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</si>
  <si>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</si>
  <si>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</si>
  <si>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</si>
  <si>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</si>
  <si>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</si>
  <si>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</si>
  <si>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</si>
  <si>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</si>
  <si>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</si>
  <si>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</si>
  <si>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</si>
  <si>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</si>
  <si>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</si>
  <si>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</si>
  <si>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</si>
  <si>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</si>
  <si>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</si>
  <si>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</si>
  <si>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</si>
  <si>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</si>
  <si>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</si>
  <si>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</si>
  <si>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</si>
  <si>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</si>
  <si>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</si>
  <si>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</si>
  <si>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</si>
  <si>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</si>
  <si>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</si>
  <si>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</si>
  <si>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</si>
  <si>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</si>
  <si>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</si>
  <si>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</si>
  <si>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</si>
  <si>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</si>
  <si>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</si>
  <si>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</si>
  <si>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</si>
  <si>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</si>
  <si>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</si>
  <si>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</si>
  <si>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</si>
  <si>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</si>
  <si>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</si>
  <si>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</si>
  <si>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</si>
  <si>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</si>
  <si>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</si>
  <si>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</si>
  <si>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</si>
  <si>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</si>
  <si>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</si>
  <si>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</si>
  <si>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</si>
  <si>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</si>
  <si>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</si>
  <si>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</si>
  <si>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</si>
  <si>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</si>
  <si>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</si>
  <si>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</si>
  <si>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</si>
  <si>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</si>
  <si>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</si>
  <si>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</si>
  <si>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</si>
  <si>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</si>
  <si>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</si>
  <si>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</si>
  <si>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</si>
  <si>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</si>
  <si>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</si>
  <si>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</si>
  <si>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</si>
  <si>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</si>
  <si>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</si>
  <si>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</si>
  <si>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</si>
  <si>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</si>
  <si>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</si>
  <si>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</si>
  <si>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</si>
  <si>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</si>
  <si>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</si>
  <si>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</si>
  <si>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</si>
  <si>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</si>
  <si>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</si>
  <si>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</si>
  <si>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</si>
  <si>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</si>
  <si>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</si>
  <si>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</si>
  <si>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</si>
  <si>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</si>
  <si>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</si>
  <si>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</si>
  <si>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</si>
  <si>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</si>
  <si>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</si>
  <si>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</si>
  <si>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</si>
  <si>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</si>
  <si>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</si>
  <si>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</si>
  <si>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</si>
  <si>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</si>
  <si>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</si>
  <si>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</si>
  <si>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</si>
  <si>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</si>
  <si>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</si>
  <si>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шкаф ЦК системы видеонаблюдения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</si>
  <si>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</si>
  <si>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</si>
  <si>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</si>
  <si>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</si>
  <si>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</si>
  <si>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</si>
  <si>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</si>
  <si>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</si>
  <si>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</si>
  <si>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</si>
  <si>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</si>
  <si>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</si>
  <si>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</si>
  <si>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</si>
  <si>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</si>
  <si>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</si>
  <si>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</si>
  <si>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</si>
  <si>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</si>
  <si>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</si>
  <si>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</si>
  <si>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</si>
  <si>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</si>
  <si>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</si>
  <si>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</si>
  <si>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</si>
  <si>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</si>
  <si>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</si>
  <si>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</si>
  <si>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</si>
  <si>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</si>
  <si>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</si>
  <si>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</si>
  <si>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</si>
  <si>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</si>
  <si>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</si>
  <si>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</si>
  <si>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</si>
  <si>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</si>
  <si>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</si>
  <si>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</si>
  <si>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</si>
  <si>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</si>
  <si>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</si>
  <si>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</si>
  <si>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З1_ПС_шкаф.ЦК.видеонаблюдения_220_кВ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</si>
  <si>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</si>
  <si>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</si>
  <si>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</si>
  <si>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</si>
  <si>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</si>
  <si>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</si>
  <si>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</si>
  <si>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</si>
  <si>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</si>
  <si>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</si>
  <si>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</si>
  <si>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</si>
  <si>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</si>
  <si>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</si>
  <si>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</si>
  <si>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</si>
  <si>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</si>
  <si>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</si>
  <si>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</si>
  <si>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</si>
  <si>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</si>
  <si>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</si>
  <si>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</si>
  <si>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</si>
  <si>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</si>
  <si>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</si>
  <si>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</si>
  <si>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</si>
  <si>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</si>
  <si>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</si>
  <si>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</si>
  <si>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</si>
  <si>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</si>
  <si>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</si>
  <si>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</si>
  <si>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</si>
  <si>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</si>
  <si>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</si>
  <si>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</si>
  <si>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</si>
  <si>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</si>
  <si>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</si>
  <si>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</si>
  <si>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</si>
  <si>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</si>
  <si>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</si>
  <si>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</si>
  <si>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</si>
  <si>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</si>
  <si>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</si>
  <si>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</si>
  <si>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</si>
  <si>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</si>
  <si>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</si>
  <si>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</si>
  <si>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</si>
  <si>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</si>
  <si>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1.8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</si>
  <si>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</si>
  <si>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1.9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</si>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</sst>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49" fontId="16" fillId="0" borderId="1" xfId="0" applyNumberFormat="1" applyFont="1" applyBorder="1" applyAlignment="1">
      <alignment vertical="center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331108</xdr:colOff>
      <xdr:row>28</xdr:row>
      <xdr:rowOff>111125</xdr:rowOff>
    </xdr:from>
    <xdr:to>
      <xdr:col>2</xdr:col>
      <xdr:colOff>1275910</xdr:colOff>
      <xdr:row>31</xdr:row>
      <xdr:rowOff>23016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F053430-6139-437D-8230-C7CA775FE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1" y="13799911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407309</xdr:colOff>
      <xdr:row>26</xdr:row>
      <xdr:rowOff>286657</xdr:rowOff>
    </xdr:from>
    <xdr:to>
      <xdr:col>2</xdr:col>
      <xdr:colOff>1245508</xdr:colOff>
      <xdr:row>28</xdr:row>
      <xdr:rowOff>61760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A4C31C0-AD36-4FF5-B9A9-8164A02C3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952" y="13295086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483054</xdr:colOff>
      <xdr:row>18</xdr:row>
      <xdr:rowOff>108404</xdr:rowOff>
    </xdr:from>
    <xdr:to>
      <xdr:col>2</xdr:col>
      <xdr:colOff>1427856</xdr:colOff>
      <xdr:row>21</xdr:row>
      <xdr:rowOff>20295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DE0D207-0E6C-4FF5-BABF-B8FAAA17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2768" y="4530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559255</xdr:colOff>
      <xdr:row>16</xdr:row>
      <xdr:rowOff>11793</xdr:rowOff>
    </xdr:from>
    <xdr:to>
      <xdr:col>2</xdr:col>
      <xdr:colOff>1397454</xdr:colOff>
      <xdr:row>18</xdr:row>
      <xdr:rowOff>59039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3FF6FFF-DD2A-4350-AC7A-D3122482F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969" y="4025900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85</xdr:row>
      <xdr:rowOff>72797</xdr:rowOff>
    </xdr:from>
    <xdr:to>
      <xdr:col>2</xdr:col>
      <xdr:colOff>1182927</xdr:colOff>
      <xdr:row>87</xdr:row>
      <xdr:rowOff>175189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22CA593-324C-4528-A2DB-13BE9FD4A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24671110"/>
          <a:ext cx="944802" cy="483392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314326</xdr:colOff>
      <xdr:row>82</xdr:row>
      <xdr:rowOff>166687</xdr:rowOff>
    </xdr:from>
    <xdr:to>
      <xdr:col>2</xdr:col>
      <xdr:colOff>1152525</xdr:colOff>
      <xdr:row>85</xdr:row>
      <xdr:rowOff>23432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D0FC8EA-6CDF-4EC8-9999-1536758D4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9" y="24193500"/>
          <a:ext cx="838199" cy="428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3DB23A-4A36-4367-A01E-149582E27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50E130B-75D3-4772-BD9C-8212D3E4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925606</xdr:colOff>
      <xdr:row>98</xdr:row>
      <xdr:rowOff>108137</xdr:rowOff>
    </xdr:from>
    <xdr:to>
      <xdr:col>2</xdr:col>
      <xdr:colOff>365458</xdr:colOff>
      <xdr:row>101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74B8FBC-1FDD-462C-8CB9-F385B0087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6" y="2654953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1001807</xdr:colOff>
      <xdr:row>95</xdr:row>
      <xdr:rowOff>441512</xdr:rowOff>
    </xdr:from>
    <xdr:to>
      <xdr:col>2</xdr:col>
      <xdr:colOff>316006</xdr:colOff>
      <xdr:row>98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2A0EB7E-A8D8-4C57-A0C6-FEBBC3C53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807" y="2604471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31</xdr:row>
      <xdr:rowOff>85725</xdr:rowOff>
    </xdr:from>
    <xdr:to>
      <xdr:col>2</xdr:col>
      <xdr:colOff>211377</xdr:colOff>
      <xdr:row>34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3C91252-DF49-4672-8722-92E3C66B6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98869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514351</xdr:colOff>
      <xdr:row>28</xdr:row>
      <xdr:rowOff>209550</xdr:rowOff>
    </xdr:from>
    <xdr:to>
      <xdr:col>2</xdr:col>
      <xdr:colOff>180975</xdr:colOff>
      <xdr:row>31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0C3B195-872F-4E36-90F1-C5E9B174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93821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826D355-C8FA-477A-96D2-B3B9A4360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77565FD-7113-463A-8DD3-EB85B6FED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27</xdr:row>
      <xdr:rowOff>12700</xdr:rowOff>
    </xdr:from>
    <xdr:to>
      <xdr:col>1</xdr:col>
      <xdr:colOff>1833802</xdr:colOff>
      <xdr:row>29</xdr:row>
      <xdr:rowOff>155913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118D649-ADEE-47DA-9EFF-515EF7093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9315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965201</xdr:colOff>
      <xdr:row>24</xdr:row>
      <xdr:rowOff>79375</xdr:rowOff>
    </xdr:from>
    <xdr:to>
      <xdr:col>1</xdr:col>
      <xdr:colOff>1803400</xdr:colOff>
      <xdr:row>26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5B63E60-B0AF-4FCC-A488-9AA66D11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451" y="88106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9" t="s">
        <v>0</v>
      </c>
      <c r="B2" s="199"/>
      <c r="C2" s="199"/>
    </row>
    <row r="3" spans="1:3" x14ac:dyDescent="0.25">
      <c r="A3" s="1"/>
      <c r="B3" s="1"/>
      <c r="C3" s="1"/>
    </row>
    <row r="4" spans="1:3" x14ac:dyDescent="0.25">
      <c r="A4" s="200" t="s">
        <v>1</v>
      </c>
      <c r="B4" s="200"/>
      <c r="C4" s="20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1" t="s">
        <v>3</v>
      </c>
      <c r="C6" s="201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27" sqref="D27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331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9" t="s">
        <v>332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48" t="s">
        <v>333</v>
      </c>
      <c r="B5" s="248"/>
      <c r="C5" s="248"/>
      <c r="D5" s="195" t="str">
        <f>'Прил.5 Расчет СМР и ОБ'!D6:J6</f>
        <v>Постоянная часть ПС, шкаф ЦК системы видеонаблюдения ПС 220 кВ</v>
      </c>
    </row>
    <row r="6" spans="1:4" ht="15.75" customHeight="1" x14ac:dyDescent="0.25">
      <c r="A6" s="114" t="s">
        <v>49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12" t="s">
        <v>5</v>
      </c>
      <c r="B8" s="212" t="s">
        <v>6</v>
      </c>
      <c r="C8" s="212" t="s">
        <v>334</v>
      </c>
      <c r="D8" s="212" t="s">
        <v>335</v>
      </c>
    </row>
    <row r="9" spans="1:4" x14ac:dyDescent="0.25">
      <c r="A9" s="212"/>
      <c r="B9" s="212"/>
      <c r="C9" s="212"/>
      <c r="D9" s="212"/>
    </row>
    <row r="10" spans="1:4" ht="15.75" customHeight="1" x14ac:dyDescent="0.25">
      <c r="A10" s="174">
        <v>1</v>
      </c>
      <c r="B10" s="174">
        <v>2</v>
      </c>
      <c r="C10" s="174">
        <v>3</v>
      </c>
      <c r="D10" s="174">
        <v>4</v>
      </c>
    </row>
    <row r="11" spans="1:4" ht="63" customHeight="1" x14ac:dyDescent="0.25">
      <c r="A11" s="197" t="s">
        <v>336</v>
      </c>
      <c r="B11" s="197" t="s">
        <v>337</v>
      </c>
      <c r="C11" s="196" t="s">
        <v>338</v>
      </c>
      <c r="D11" s="175">
        <f>'Прил.4 РМ'!C41/1000</f>
        <v>3493.5250600000004</v>
      </c>
    </row>
    <row r="13" spans="1:4" x14ac:dyDescent="0.25">
      <c r="A13" s="4" t="s">
        <v>339</v>
      </c>
      <c r="B13" s="12"/>
      <c r="C13" s="12"/>
      <c r="D13" s="25"/>
    </row>
    <row r="14" spans="1:4" x14ac:dyDescent="0.25">
      <c r="A14" s="165" t="s">
        <v>76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77</v>
      </c>
      <c r="B16" s="12"/>
      <c r="C16" s="12"/>
      <c r="D16" s="25"/>
    </row>
    <row r="17" spans="1:4" x14ac:dyDescent="0.25">
      <c r="A17" s="165" t="s">
        <v>78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8" zoomScale="60" zoomScaleNormal="85" workbookViewId="0">
      <selection activeCell="Q47" sqref="Q4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6" t="s">
        <v>340</v>
      </c>
      <c r="C4" s="206"/>
      <c r="D4" s="206"/>
    </row>
    <row r="5" spans="2:5" ht="18.75" customHeight="1" x14ac:dyDescent="0.25">
      <c r="B5" s="168"/>
    </row>
    <row r="6" spans="2:5" ht="15.75" customHeight="1" x14ac:dyDescent="0.25">
      <c r="B6" s="207" t="s">
        <v>341</v>
      </c>
      <c r="C6" s="207"/>
      <c r="D6" s="207"/>
    </row>
    <row r="7" spans="2:5" x14ac:dyDescent="0.25">
      <c r="B7" s="249"/>
      <c r="C7" s="249"/>
      <c r="D7" s="249"/>
      <c r="E7" s="249"/>
    </row>
    <row r="8" spans="2:5" x14ac:dyDescent="0.25">
      <c r="B8" s="188"/>
      <c r="C8" s="188"/>
      <c r="D8" s="188"/>
      <c r="E8" s="188"/>
    </row>
    <row r="9" spans="2:5" ht="47.25" customHeight="1" x14ac:dyDescent="0.25">
      <c r="B9" s="174" t="s">
        <v>342</v>
      </c>
      <c r="C9" s="174" t="s">
        <v>343</v>
      </c>
      <c r="D9" s="174" t="s">
        <v>344</v>
      </c>
    </row>
    <row r="10" spans="2:5" ht="15.75" customHeight="1" x14ac:dyDescent="0.25">
      <c r="B10" s="174">
        <v>1</v>
      </c>
      <c r="C10" s="174">
        <v>2</v>
      </c>
      <c r="D10" s="174">
        <v>3</v>
      </c>
    </row>
    <row r="11" spans="2:5" ht="45" customHeight="1" x14ac:dyDescent="0.25">
      <c r="B11" s="174" t="s">
        <v>345</v>
      </c>
      <c r="C11" s="174" t="s">
        <v>346</v>
      </c>
      <c r="D11" s="174">
        <v>44.29</v>
      </c>
    </row>
    <row r="12" spans="2:5" ht="29.25" customHeight="1" x14ac:dyDescent="0.25">
      <c r="B12" s="174" t="s">
        <v>347</v>
      </c>
      <c r="C12" s="174" t="s">
        <v>346</v>
      </c>
      <c r="D12" s="174">
        <v>13.47</v>
      </c>
    </row>
    <row r="13" spans="2:5" ht="29.25" customHeight="1" x14ac:dyDescent="0.25">
      <c r="B13" s="174" t="s">
        <v>348</v>
      </c>
      <c r="C13" s="174" t="s">
        <v>346</v>
      </c>
      <c r="D13" s="174">
        <v>8.0399999999999991</v>
      </c>
    </row>
    <row r="14" spans="2:5" ht="30.75" customHeight="1" x14ac:dyDescent="0.25">
      <c r="B14" s="174" t="s">
        <v>349</v>
      </c>
      <c r="C14" s="119" t="s">
        <v>350</v>
      </c>
      <c r="D14" s="174">
        <v>6.26</v>
      </c>
    </row>
    <row r="15" spans="2:5" ht="89.25" customHeight="1" x14ac:dyDescent="0.25">
      <c r="B15" s="174" t="s">
        <v>351</v>
      </c>
      <c r="C15" s="174" t="s">
        <v>352</v>
      </c>
      <c r="D15" s="169">
        <v>3.9E-2</v>
      </c>
    </row>
    <row r="16" spans="2:5" ht="78.75" customHeight="1" x14ac:dyDescent="0.25">
      <c r="B16" s="174" t="s">
        <v>353</v>
      </c>
      <c r="C16" s="174" t="s">
        <v>354</v>
      </c>
      <c r="D16" s="169">
        <v>2.1000000000000001E-2</v>
      </c>
    </row>
    <row r="17" spans="2:4" ht="34.5" customHeight="1" x14ac:dyDescent="0.25">
      <c r="B17" s="174"/>
      <c r="C17" s="174"/>
      <c r="D17" s="174"/>
    </row>
    <row r="18" spans="2:4" ht="31.5" customHeight="1" x14ac:dyDescent="0.25">
      <c r="B18" s="174" t="s">
        <v>355</v>
      </c>
      <c r="C18" s="174" t="s">
        <v>356</v>
      </c>
      <c r="D18" s="169">
        <v>2.1399999999999999E-2</v>
      </c>
    </row>
    <row r="19" spans="2:4" ht="31.5" customHeight="1" x14ac:dyDescent="0.25">
      <c r="B19" s="174" t="s">
        <v>280</v>
      </c>
      <c r="C19" s="174" t="s">
        <v>357</v>
      </c>
      <c r="D19" s="169">
        <v>2E-3</v>
      </c>
    </row>
    <row r="20" spans="2:4" ht="24" customHeight="1" x14ac:dyDescent="0.25">
      <c r="B20" s="174" t="s">
        <v>282</v>
      </c>
      <c r="C20" s="174" t="s">
        <v>358</v>
      </c>
      <c r="D20" s="169">
        <v>0.03</v>
      </c>
    </row>
    <row r="21" spans="2:4" ht="18.75" customHeight="1" x14ac:dyDescent="0.25">
      <c r="B21" s="170"/>
    </row>
    <row r="22" spans="2:4" ht="18.75" customHeight="1" x14ac:dyDescent="0.25">
      <c r="B22" s="170"/>
    </row>
    <row r="23" spans="2:4" ht="18.75" customHeight="1" x14ac:dyDescent="0.25">
      <c r="B23" s="170"/>
    </row>
    <row r="24" spans="2:4" ht="18.75" customHeight="1" x14ac:dyDescent="0.25">
      <c r="B24" s="170"/>
    </row>
    <row r="27" spans="2:4" x14ac:dyDescent="0.25">
      <c r="B27" s="4" t="s">
        <v>359</v>
      </c>
      <c r="C27" s="12"/>
    </row>
    <row r="28" spans="2:4" x14ac:dyDescent="0.25">
      <c r="B28" s="165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323</v>
      </c>
      <c r="C30" s="12"/>
    </row>
    <row r="31" spans="2:4" x14ac:dyDescent="0.25">
      <c r="B31" s="165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5"/>
  <sheetViews>
    <sheetView view="pageBreakPreview" topLeftCell="A4" workbookViewId="0">
      <selection activeCell="J11" sqref="J11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7" t="s">
        <v>360</v>
      </c>
      <c r="B2" s="207"/>
      <c r="C2" s="207"/>
      <c r="D2" s="207"/>
      <c r="E2" s="207"/>
      <c r="F2" s="207"/>
    </row>
    <row r="4" spans="1:7" ht="18" customHeight="1" x14ac:dyDescent="0.25">
      <c r="A4" s="171" t="s">
        <v>361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72" t="s">
        <v>13</v>
      </c>
      <c r="B5" s="172" t="s">
        <v>362</v>
      </c>
      <c r="C5" s="172" t="s">
        <v>363</v>
      </c>
      <c r="D5" s="172" t="s">
        <v>364</v>
      </c>
      <c r="E5" s="172" t="s">
        <v>365</v>
      </c>
      <c r="F5" s="172" t="s">
        <v>366</v>
      </c>
      <c r="G5" s="114"/>
    </row>
    <row r="6" spans="1:7" ht="15.75" customHeight="1" x14ac:dyDescent="0.25">
      <c r="A6" s="172">
        <v>1</v>
      </c>
      <c r="B6" s="172">
        <v>2</v>
      </c>
      <c r="C6" s="172">
        <v>3</v>
      </c>
      <c r="D6" s="172">
        <v>4</v>
      </c>
      <c r="E6" s="172">
        <v>5</v>
      </c>
      <c r="F6" s="172">
        <v>6</v>
      </c>
      <c r="G6" s="114"/>
    </row>
    <row r="7" spans="1:7" ht="110.25" customHeight="1" x14ac:dyDescent="0.25">
      <c r="A7" s="173" t="s">
        <v>367</v>
      </c>
      <c r="B7" s="118" t="s">
        <v>368</v>
      </c>
      <c r="C7" s="174" t="s">
        <v>369</v>
      </c>
      <c r="D7" s="174" t="s">
        <v>370</v>
      </c>
      <c r="E7" s="175">
        <v>47872.94</v>
      </c>
      <c r="F7" s="118" t="s">
        <v>371</v>
      </c>
      <c r="G7" s="114"/>
    </row>
    <row r="8" spans="1:7" ht="31.5" customHeight="1" x14ac:dyDescent="0.25">
      <c r="A8" s="173" t="s">
        <v>372</v>
      </c>
      <c r="B8" s="118" t="s">
        <v>373</v>
      </c>
      <c r="C8" s="174" t="s">
        <v>374</v>
      </c>
      <c r="D8" s="174" t="s">
        <v>375</v>
      </c>
      <c r="E8" s="175">
        <f>1973/12</f>
        <v>164.41666666667001</v>
      </c>
      <c r="F8" s="118" t="s">
        <v>376</v>
      </c>
      <c r="G8" s="176"/>
    </row>
    <row r="9" spans="1:7" ht="15.75" customHeight="1" x14ac:dyDescent="0.25">
      <c r="A9" s="173" t="s">
        <v>377</v>
      </c>
      <c r="B9" s="118" t="s">
        <v>378</v>
      </c>
      <c r="C9" s="174" t="s">
        <v>379</v>
      </c>
      <c r="D9" s="174" t="s">
        <v>370</v>
      </c>
      <c r="E9" s="175">
        <v>1</v>
      </c>
      <c r="F9" s="118"/>
      <c r="G9" s="176"/>
    </row>
    <row r="10" spans="1:7" ht="15.75" customHeight="1" x14ac:dyDescent="0.25">
      <c r="A10" s="173" t="s">
        <v>380</v>
      </c>
      <c r="B10" s="118" t="s">
        <v>381</v>
      </c>
      <c r="C10" s="174"/>
      <c r="D10" s="174"/>
      <c r="E10" s="181">
        <v>3.8</v>
      </c>
      <c r="F10" s="118" t="s">
        <v>382</v>
      </c>
      <c r="G10" s="176"/>
    </row>
    <row r="11" spans="1:7" ht="78.75" customHeight="1" x14ac:dyDescent="0.25">
      <c r="A11" s="173" t="s">
        <v>383</v>
      </c>
      <c r="B11" s="118" t="s">
        <v>384</v>
      </c>
      <c r="C11" s="174" t="s">
        <v>385</v>
      </c>
      <c r="D11" s="174" t="s">
        <v>370</v>
      </c>
      <c r="E11" s="182">
        <v>1.3080000000000001</v>
      </c>
      <c r="F11" s="118" t="s">
        <v>386</v>
      </c>
      <c r="G11" s="114"/>
    </row>
    <row r="12" spans="1:7" ht="78.75" customHeight="1" x14ac:dyDescent="0.25">
      <c r="A12" s="173" t="s">
        <v>387</v>
      </c>
      <c r="B12" s="117" t="s">
        <v>388</v>
      </c>
      <c r="C12" s="174" t="s">
        <v>389</v>
      </c>
      <c r="D12" s="174" t="s">
        <v>370</v>
      </c>
      <c r="E12" s="177">
        <v>1.139</v>
      </c>
      <c r="F12" s="178" t="s">
        <v>390</v>
      </c>
      <c r="G12" s="176"/>
    </row>
    <row r="13" spans="1:7" ht="63" customHeight="1" x14ac:dyDescent="0.25">
      <c r="A13" s="173" t="s">
        <v>391</v>
      </c>
      <c r="B13" s="133" t="s">
        <v>392</v>
      </c>
      <c r="C13" s="174" t="s">
        <v>393</v>
      </c>
      <c r="D13" s="174" t="s">
        <v>394</v>
      </c>
      <c r="E13" s="179">
        <v>433.78619657747998</v>
      </c>
      <c r="F13" s="118" t="s">
        <v>395</v>
      </c>
      <c r="G13" s="114"/>
    </row>
    <row r="14" spans="1:7" ht="63" customHeight="1" x14ac:dyDescent="0.25">
      <c r="A14" s="173" t="s">
        <v>396</v>
      </c>
      <c r="B14" s="133" t="s">
        <v>397</v>
      </c>
      <c r="C14" s="198" t="s">
        <v>393</v>
      </c>
      <c r="D14" s="198" t="s">
        <v>394</v>
      </c>
      <c r="E14" s="179">
        <v>645.82616229093003</v>
      </c>
      <c r="F14" s="118" t="s">
        <v>395</v>
      </c>
    </row>
    <row r="15" spans="1:7" ht="63" customHeight="1" x14ac:dyDescent="0.25">
      <c r="A15" s="173" t="s">
        <v>398</v>
      </c>
      <c r="B15" s="133" t="s">
        <v>397</v>
      </c>
      <c r="C15" s="198" t="s">
        <v>393</v>
      </c>
      <c r="D15" s="198" t="s">
        <v>394</v>
      </c>
      <c r="E15" s="179">
        <v>588.75315260009995</v>
      </c>
      <c r="F15" s="118" t="s">
        <v>395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0" t="s">
        <v>399</v>
      </c>
      <c r="B1" s="250"/>
      <c r="C1" s="250"/>
      <c r="D1" s="250"/>
      <c r="E1" s="250"/>
      <c r="F1" s="250"/>
      <c r="G1" s="250"/>
      <c r="H1" s="250"/>
      <c r="I1" s="250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2" t="e">
        <f>#REF!</f>
        <v>#REF!</v>
      </c>
      <c r="B3" s="202"/>
      <c r="C3" s="202"/>
      <c r="D3" s="202"/>
      <c r="E3" s="202"/>
      <c r="F3" s="202"/>
      <c r="G3" s="202"/>
      <c r="H3" s="202"/>
      <c r="I3" s="202"/>
    </row>
    <row r="4" spans="1:13" s="4" customFormat="1" ht="15.75" customHeight="1" x14ac:dyDescent="0.2">
      <c r="A4" s="251"/>
      <c r="B4" s="251"/>
      <c r="C4" s="251"/>
      <c r="D4" s="251"/>
      <c r="E4" s="251"/>
      <c r="F4" s="251"/>
      <c r="G4" s="251"/>
      <c r="H4" s="251"/>
      <c r="I4" s="251"/>
    </row>
    <row r="5" spans="1:13" s="30" customFormat="1" ht="36.6" customHeight="1" x14ac:dyDescent="0.35">
      <c r="A5" s="252" t="s">
        <v>13</v>
      </c>
      <c r="B5" s="252" t="s">
        <v>400</v>
      </c>
      <c r="C5" s="252" t="s">
        <v>401</v>
      </c>
      <c r="D5" s="252" t="s">
        <v>402</v>
      </c>
      <c r="E5" s="247" t="s">
        <v>403</v>
      </c>
      <c r="F5" s="247"/>
      <c r="G5" s="247"/>
      <c r="H5" s="247"/>
      <c r="I5" s="247"/>
    </row>
    <row r="6" spans="1:13" s="25" customFormat="1" ht="31.5" customHeight="1" x14ac:dyDescent="0.2">
      <c r="A6" s="252"/>
      <c r="B6" s="252"/>
      <c r="C6" s="252"/>
      <c r="D6" s="252"/>
      <c r="E6" s="31" t="s">
        <v>86</v>
      </c>
      <c r="F6" s="31" t="s">
        <v>87</v>
      </c>
      <c r="G6" s="31" t="s">
        <v>43</v>
      </c>
      <c r="H6" s="31" t="s">
        <v>404</v>
      </c>
      <c r="I6" s="31" t="s">
        <v>405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270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406</v>
      </c>
      <c r="C9" s="8" t="s">
        <v>407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408</v>
      </c>
      <c r="C11" s="8" t="s">
        <v>353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107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409</v>
      </c>
      <c r="C12" s="8" t="s">
        <v>410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411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356</v>
      </c>
      <c r="C14" s="8" t="s">
        <v>412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413</v>
      </c>
      <c r="C16" s="8" t="s">
        <v>414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415</v>
      </c>
    </row>
    <row r="17" spans="1:10" s="25" customFormat="1" ht="81.75" customHeight="1" x14ac:dyDescent="0.2">
      <c r="A17" s="32">
        <v>7</v>
      </c>
      <c r="B17" s="8" t="s">
        <v>413</v>
      </c>
      <c r="C17" s="8" t="s">
        <v>416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417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418</v>
      </c>
      <c r="C20" s="8" t="s">
        <v>282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419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420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421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422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423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7" t="s">
        <v>424</v>
      </c>
      <c r="O2" s="257"/>
    </row>
    <row r="3" spans="1:16" x14ac:dyDescent="0.25">
      <c r="A3" s="258" t="s">
        <v>425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</row>
    <row r="5" spans="1:16" ht="37.5" customHeight="1" x14ac:dyDescent="0.25">
      <c r="A5" s="259" t="s">
        <v>426</v>
      </c>
      <c r="B5" s="262" t="s">
        <v>427</v>
      </c>
      <c r="C5" s="265" t="s">
        <v>428</v>
      </c>
      <c r="D5" s="268" t="s">
        <v>429</v>
      </c>
      <c r="E5" s="269"/>
      <c r="F5" s="269"/>
      <c r="G5" s="269"/>
      <c r="H5" s="269"/>
      <c r="I5" s="268" t="s">
        <v>430</v>
      </c>
      <c r="J5" s="269"/>
      <c r="K5" s="269"/>
      <c r="L5" s="269"/>
      <c r="M5" s="269"/>
      <c r="N5" s="269"/>
      <c r="O5" s="48" t="s">
        <v>431</v>
      </c>
    </row>
    <row r="6" spans="1:16" s="51" customFormat="1" ht="150" customHeight="1" x14ac:dyDescent="0.25">
      <c r="A6" s="260"/>
      <c r="B6" s="263"/>
      <c r="C6" s="266"/>
      <c r="D6" s="265" t="s">
        <v>432</v>
      </c>
      <c r="E6" s="270" t="s">
        <v>433</v>
      </c>
      <c r="F6" s="271"/>
      <c r="G6" s="272"/>
      <c r="H6" s="49" t="s">
        <v>434</v>
      </c>
      <c r="I6" s="273" t="s">
        <v>435</v>
      </c>
      <c r="J6" s="273" t="s">
        <v>432</v>
      </c>
      <c r="K6" s="274" t="s">
        <v>433</v>
      </c>
      <c r="L6" s="274"/>
      <c r="M6" s="274"/>
      <c r="N6" s="49" t="s">
        <v>434</v>
      </c>
      <c r="O6" s="50" t="s">
        <v>436</v>
      </c>
    </row>
    <row r="7" spans="1:16" s="51" customFormat="1" ht="30.75" customHeight="1" x14ac:dyDescent="0.25">
      <c r="A7" s="261"/>
      <c r="B7" s="264"/>
      <c r="C7" s="267"/>
      <c r="D7" s="267"/>
      <c r="E7" s="48" t="s">
        <v>86</v>
      </c>
      <c r="F7" s="48" t="s">
        <v>87</v>
      </c>
      <c r="G7" s="48" t="s">
        <v>43</v>
      </c>
      <c r="H7" s="52" t="s">
        <v>437</v>
      </c>
      <c r="I7" s="273"/>
      <c r="J7" s="273"/>
      <c r="K7" s="48" t="s">
        <v>86</v>
      </c>
      <c r="L7" s="48" t="s">
        <v>87</v>
      </c>
      <c r="M7" s="48" t="s">
        <v>43</v>
      </c>
      <c r="N7" s="52" t="s">
        <v>437</v>
      </c>
      <c r="O7" s="48" t="s">
        <v>438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59" t="s">
        <v>439</v>
      </c>
      <c r="C9" s="54" t="s">
        <v>440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61"/>
      <c r="C10" s="57" t="s">
        <v>441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59" t="s">
        <v>442</v>
      </c>
      <c r="C11" s="57" t="s">
        <v>443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61"/>
      <c r="C12" s="57" t="s">
        <v>444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59" t="s">
        <v>445</v>
      </c>
      <c r="C13" s="54" t="s">
        <v>446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61"/>
      <c r="C14" s="57" t="s">
        <v>447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448</v>
      </c>
      <c r="C15" s="57" t="s">
        <v>449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450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451</v>
      </c>
    </row>
    <row r="19" spans="1:15" ht="30.75" customHeight="1" x14ac:dyDescent="0.25">
      <c r="L19" s="69"/>
    </row>
    <row r="20" spans="1:15" ht="15" customHeight="1" outlineLevel="1" x14ac:dyDescent="0.25">
      <c r="G20" s="256" t="s">
        <v>452</v>
      </c>
      <c r="H20" s="256"/>
      <c r="I20" s="256"/>
      <c r="J20" s="256"/>
      <c r="K20" s="256"/>
      <c r="L20" s="256"/>
      <c r="M20" s="256"/>
      <c r="N20" s="256"/>
    </row>
    <row r="21" spans="1:15" ht="15.75" customHeight="1" outlineLevel="1" x14ac:dyDescent="0.25">
      <c r="G21" s="70"/>
      <c r="H21" s="70" t="s">
        <v>453</v>
      </c>
      <c r="I21" s="70" t="s">
        <v>454</v>
      </c>
      <c r="J21" s="70" t="s">
        <v>455</v>
      </c>
      <c r="K21" s="71" t="s">
        <v>456</v>
      </c>
      <c r="L21" s="70" t="s">
        <v>457</v>
      </c>
      <c r="M21" s="70" t="s">
        <v>458</v>
      </c>
      <c r="N21" s="70" t="s">
        <v>459</v>
      </c>
      <c r="O21" s="64"/>
    </row>
    <row r="22" spans="1:15" ht="15.75" customHeight="1" outlineLevel="1" x14ac:dyDescent="0.25">
      <c r="G22" s="254" t="s">
        <v>460</v>
      </c>
      <c r="H22" s="253">
        <v>6.09</v>
      </c>
      <c r="I22" s="255">
        <v>6.44</v>
      </c>
      <c r="J22" s="253">
        <v>5.77</v>
      </c>
      <c r="K22" s="255">
        <v>5.77</v>
      </c>
      <c r="L22" s="253">
        <v>5.23</v>
      </c>
      <c r="M22" s="253">
        <v>5.77</v>
      </c>
      <c r="N22" s="72">
        <v>6.29</v>
      </c>
      <c r="O22" t="s">
        <v>461</v>
      </c>
    </row>
    <row r="23" spans="1:15" ht="15.75" customHeight="1" outlineLevel="1" x14ac:dyDescent="0.25">
      <c r="G23" s="254"/>
      <c r="H23" s="253"/>
      <c r="I23" s="255"/>
      <c r="J23" s="253"/>
      <c r="K23" s="255"/>
      <c r="L23" s="253"/>
      <c r="M23" s="253"/>
      <c r="N23" s="72">
        <v>6.56</v>
      </c>
      <c r="O23" t="s">
        <v>462</v>
      </c>
    </row>
    <row r="24" spans="1:15" ht="15.75" customHeight="1" outlineLevel="1" x14ac:dyDescent="0.25">
      <c r="G24" s="73" t="s">
        <v>463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437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464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465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404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5" t="s">
        <v>466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</row>
    <row r="4" spans="1:18" ht="36.75" customHeight="1" x14ac:dyDescent="0.25">
      <c r="A4" s="259" t="s">
        <v>426</v>
      </c>
      <c r="B4" s="262" t="s">
        <v>427</v>
      </c>
      <c r="C4" s="265" t="s">
        <v>467</v>
      </c>
      <c r="D4" s="265" t="s">
        <v>468</v>
      </c>
      <c r="E4" s="268" t="s">
        <v>469</v>
      </c>
      <c r="F4" s="269"/>
      <c r="G4" s="269"/>
      <c r="H4" s="269"/>
      <c r="I4" s="269"/>
      <c r="J4" s="269"/>
      <c r="K4" s="269"/>
      <c r="L4" s="269"/>
      <c r="M4" s="269"/>
      <c r="N4" s="276" t="s">
        <v>470</v>
      </c>
      <c r="O4" s="277"/>
      <c r="P4" s="277"/>
      <c r="Q4" s="277"/>
      <c r="R4" s="278"/>
    </row>
    <row r="5" spans="1:18" ht="60" customHeight="1" x14ac:dyDescent="0.25">
      <c r="A5" s="260"/>
      <c r="B5" s="263"/>
      <c r="C5" s="266"/>
      <c r="D5" s="266"/>
      <c r="E5" s="273" t="s">
        <v>471</v>
      </c>
      <c r="F5" s="273" t="s">
        <v>472</v>
      </c>
      <c r="G5" s="270" t="s">
        <v>433</v>
      </c>
      <c r="H5" s="271"/>
      <c r="I5" s="271"/>
      <c r="J5" s="272"/>
      <c r="K5" s="273" t="s">
        <v>473</v>
      </c>
      <c r="L5" s="273"/>
      <c r="M5" s="273"/>
      <c r="N5" s="75" t="s">
        <v>474</v>
      </c>
      <c r="O5" s="75" t="s">
        <v>475</v>
      </c>
      <c r="P5" s="75" t="s">
        <v>476</v>
      </c>
      <c r="Q5" s="76" t="s">
        <v>477</v>
      </c>
      <c r="R5" s="75" t="s">
        <v>478</v>
      </c>
    </row>
    <row r="6" spans="1:18" ht="49.5" customHeight="1" x14ac:dyDescent="0.25">
      <c r="A6" s="261"/>
      <c r="B6" s="264"/>
      <c r="C6" s="267"/>
      <c r="D6" s="267"/>
      <c r="E6" s="273"/>
      <c r="F6" s="273"/>
      <c r="G6" s="48" t="s">
        <v>86</v>
      </c>
      <c r="H6" s="48" t="s">
        <v>87</v>
      </c>
      <c r="I6" s="48" t="s">
        <v>43</v>
      </c>
      <c r="J6" s="48" t="s">
        <v>404</v>
      </c>
      <c r="K6" s="48" t="s">
        <v>474</v>
      </c>
      <c r="L6" s="48" t="s">
        <v>475</v>
      </c>
      <c r="M6" s="48" t="s">
        <v>476</v>
      </c>
      <c r="N6" s="48" t="s">
        <v>479</v>
      </c>
      <c r="O6" s="48" t="s">
        <v>480</v>
      </c>
      <c r="P6" s="48" t="s">
        <v>481</v>
      </c>
      <c r="Q6" s="49" t="s">
        <v>482</v>
      </c>
      <c r="R6" s="48" t="s">
        <v>483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59">
        <v>1</v>
      </c>
      <c r="B9" s="259" t="s">
        <v>484</v>
      </c>
      <c r="C9" s="279" t="s">
        <v>440</v>
      </c>
      <c r="D9" s="54" t="s">
        <v>485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599999999999994" hidden="1" customHeight="1" x14ac:dyDescent="0.25">
      <c r="A10" s="261"/>
      <c r="B10" s="260"/>
      <c r="C10" s="280"/>
      <c r="D10" s="54" t="s">
        <v>486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59">
        <v>2</v>
      </c>
      <c r="B11" s="260"/>
      <c r="C11" s="279" t="s">
        <v>487</v>
      </c>
      <c r="D11" s="54" t="s">
        <v>485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61"/>
      <c r="B12" s="261"/>
      <c r="C12" s="280"/>
      <c r="D12" s="54" t="s">
        <v>486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59">
        <v>3</v>
      </c>
      <c r="B13" s="259" t="s">
        <v>442</v>
      </c>
      <c r="C13" s="281" t="s">
        <v>443</v>
      </c>
      <c r="D13" s="54" t="s">
        <v>488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" hidden="1" customHeight="1" x14ac:dyDescent="0.25">
      <c r="A14" s="261"/>
      <c r="B14" s="260"/>
      <c r="C14" s="282"/>
      <c r="D14" s="54" t="s">
        <v>486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59">
        <v>4</v>
      </c>
      <c r="B15" s="260"/>
      <c r="C15" s="283" t="s">
        <v>444</v>
      </c>
      <c r="D15" s="57" t="s">
        <v>488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61"/>
      <c r="B16" s="261"/>
      <c r="C16" s="284"/>
      <c r="D16" s="57" t="s">
        <v>486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59">
        <v>5</v>
      </c>
      <c r="B17" s="274" t="s">
        <v>445</v>
      </c>
      <c r="C17" s="279" t="s">
        <v>489</v>
      </c>
      <c r="D17" s="54" t="s">
        <v>490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61"/>
      <c r="B18" s="274"/>
      <c r="C18" s="280"/>
      <c r="D18" s="54" t="s">
        <v>486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59">
        <v>6</v>
      </c>
      <c r="B19" s="274"/>
      <c r="C19" s="279" t="s">
        <v>447</v>
      </c>
      <c r="D19" s="57" t="s">
        <v>488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61"/>
      <c r="B20" s="274"/>
      <c r="C20" s="280"/>
      <c r="D20" s="57" t="s">
        <v>486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59">
        <v>7</v>
      </c>
      <c r="B21" s="259" t="s">
        <v>448</v>
      </c>
      <c r="C21" s="279" t="s">
        <v>449</v>
      </c>
      <c r="D21" s="57" t="s">
        <v>491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61"/>
      <c r="B22" s="261"/>
      <c r="C22" s="280"/>
      <c r="D22" s="80" t="s">
        <v>486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492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5" t="s">
        <v>493</v>
      </c>
      <c r="E26" s="285"/>
      <c r="F26" s="285"/>
      <c r="G26" s="285"/>
      <c r="H26" s="285"/>
      <c r="I26" s="285"/>
      <c r="J26" s="285"/>
      <c r="K26" s="285"/>
      <c r="L26" s="69"/>
      <c r="R26" s="87"/>
    </row>
    <row r="27" spans="1:18" outlineLevel="1" x14ac:dyDescent="0.25">
      <c r="D27" s="88"/>
      <c r="E27" s="88" t="s">
        <v>453</v>
      </c>
      <c r="F27" s="88" t="s">
        <v>454</v>
      </c>
      <c r="G27" s="88" t="s">
        <v>455</v>
      </c>
      <c r="H27" s="89" t="s">
        <v>456</v>
      </c>
      <c r="I27" s="89" t="s">
        <v>457</v>
      </c>
      <c r="J27" s="89" t="s">
        <v>458</v>
      </c>
      <c r="K27" s="60" t="s">
        <v>459</v>
      </c>
    </row>
    <row r="28" spans="1:18" outlineLevel="1" x14ac:dyDescent="0.25">
      <c r="D28" s="286" t="s">
        <v>460</v>
      </c>
      <c r="E28" s="288">
        <v>6.09</v>
      </c>
      <c r="F28" s="290">
        <v>6.63</v>
      </c>
      <c r="G28" s="288">
        <v>5.77</v>
      </c>
      <c r="H28" s="292">
        <v>5.77</v>
      </c>
      <c r="I28" s="292">
        <v>6.35</v>
      </c>
      <c r="J28" s="288">
        <v>5.77</v>
      </c>
      <c r="K28" s="90">
        <v>6.29</v>
      </c>
      <c r="L28" t="s">
        <v>461</v>
      </c>
    </row>
    <row r="29" spans="1:18" outlineLevel="1" x14ac:dyDescent="0.25">
      <c r="D29" s="287"/>
      <c r="E29" s="289"/>
      <c r="F29" s="291"/>
      <c r="G29" s="289"/>
      <c r="H29" s="293"/>
      <c r="I29" s="293"/>
      <c r="J29" s="289"/>
      <c r="K29" s="90">
        <v>6.56</v>
      </c>
      <c r="L29" t="s">
        <v>462</v>
      </c>
    </row>
    <row r="30" spans="1:18" outlineLevel="1" x14ac:dyDescent="0.25">
      <c r="D30" s="91" t="s">
        <v>463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6" t="s">
        <v>437</v>
      </c>
      <c r="E31" s="288">
        <v>11.37</v>
      </c>
      <c r="F31" s="290">
        <v>13.56</v>
      </c>
      <c r="G31" s="288">
        <v>15.91</v>
      </c>
      <c r="H31" s="292">
        <v>15.91</v>
      </c>
      <c r="I31" s="292">
        <v>14.03</v>
      </c>
      <c r="J31" s="288">
        <v>15.91</v>
      </c>
      <c r="K31" s="90">
        <v>8.2899999999999991</v>
      </c>
      <c r="L31" t="s">
        <v>461</v>
      </c>
    </row>
    <row r="32" spans="1:18" outlineLevel="1" x14ac:dyDescent="0.25">
      <c r="D32" s="287"/>
      <c r="E32" s="289"/>
      <c r="F32" s="291"/>
      <c r="G32" s="289"/>
      <c r="H32" s="293"/>
      <c r="I32" s="293"/>
      <c r="J32" s="289"/>
      <c r="K32" s="90">
        <v>11.84</v>
      </c>
      <c r="L32" t="s">
        <v>462</v>
      </c>
    </row>
    <row r="33" spans="4:12" ht="15" customHeight="1" outlineLevel="1" x14ac:dyDescent="0.25">
      <c r="D33" s="92" t="s">
        <v>464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494</v>
      </c>
    </row>
    <row r="34" spans="4:12" outlineLevel="1" x14ac:dyDescent="0.25">
      <c r="D34" s="92" t="s">
        <v>465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494</v>
      </c>
    </row>
    <row r="35" spans="4:12" outlineLevel="1" x14ac:dyDescent="0.25">
      <c r="D35" s="91" t="s">
        <v>404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9" t="s">
        <v>10</v>
      </c>
      <c r="B2" s="199"/>
      <c r="C2" s="199"/>
      <c r="D2" s="199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2"/>
    </row>
    <row r="5" spans="1:4" x14ac:dyDescent="0.25">
      <c r="A5" s="5"/>
      <c r="B5" s="1"/>
      <c r="C5" s="1"/>
    </row>
    <row r="6" spans="1:4" x14ac:dyDescent="0.25">
      <c r="A6" s="199" t="s">
        <v>12</v>
      </c>
      <c r="B6" s="199"/>
      <c r="C6" s="199"/>
      <c r="D6" s="19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3" t="s">
        <v>5</v>
      </c>
      <c r="B15" s="204" t="s">
        <v>15</v>
      </c>
      <c r="C15" s="204"/>
      <c r="D15" s="204"/>
    </row>
    <row r="16" spans="1:4" x14ac:dyDescent="0.25">
      <c r="A16" s="203"/>
      <c r="B16" s="203" t="s">
        <v>17</v>
      </c>
      <c r="C16" s="204" t="s">
        <v>28</v>
      </c>
      <c r="D16" s="204"/>
    </row>
    <row r="17" spans="1:4" ht="39" customHeight="1" x14ac:dyDescent="0.25">
      <c r="A17" s="203"/>
      <c r="B17" s="20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5" t="s">
        <v>29</v>
      </c>
      <c r="B2" s="205"/>
      <c r="C2" s="205"/>
      <c r="D2" s="205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3" zoomScale="70" zoomScaleNormal="55" workbookViewId="0">
      <selection activeCell="D28" sqref="D28"/>
    </sheetView>
  </sheetViews>
  <sheetFormatPr defaultColWidth="9.140625" defaultRowHeight="15.75" x14ac:dyDescent="0.25"/>
  <cols>
    <col min="1" max="2" width="9.140625" style="114"/>
    <col min="3" max="3" width="36.855468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4" x14ac:dyDescent="0.25">
      <c r="B3" s="206" t="s">
        <v>45</v>
      </c>
      <c r="C3" s="206"/>
      <c r="D3" s="206"/>
    </row>
    <row r="4" spans="2:4" x14ac:dyDescent="0.25">
      <c r="B4" s="207" t="s">
        <v>46</v>
      </c>
      <c r="C4" s="207"/>
      <c r="D4" s="207"/>
    </row>
    <row r="5" spans="2:4" x14ac:dyDescent="0.25">
      <c r="B5" s="115"/>
      <c r="C5" s="115"/>
      <c r="D5" s="115"/>
    </row>
    <row r="6" spans="2:4" x14ac:dyDescent="0.25">
      <c r="B6" s="115"/>
      <c r="C6" s="115"/>
      <c r="D6" s="115"/>
    </row>
    <row r="7" spans="2:4" ht="35.25" customHeight="1" x14ac:dyDescent="0.25">
      <c r="B7" s="208" t="s">
        <v>47</v>
      </c>
      <c r="C7" s="209"/>
      <c r="D7" s="209"/>
    </row>
    <row r="8" spans="2:4" ht="31.5" customHeight="1" x14ac:dyDescent="0.25">
      <c r="B8" s="209" t="s">
        <v>48</v>
      </c>
      <c r="C8" s="209"/>
      <c r="D8" s="209"/>
    </row>
    <row r="9" spans="2:4" x14ac:dyDescent="0.25">
      <c r="B9" s="209" t="s">
        <v>49</v>
      </c>
      <c r="C9" s="209"/>
      <c r="D9" s="209"/>
    </row>
    <row r="10" spans="2:4" x14ac:dyDescent="0.25">
      <c r="B10" s="116"/>
    </row>
    <row r="11" spans="2:4" x14ac:dyDescent="0.25">
      <c r="B11" s="174" t="s">
        <v>33</v>
      </c>
      <c r="C11" s="174" t="s">
        <v>50</v>
      </c>
      <c r="D11" s="117" t="s">
        <v>51</v>
      </c>
    </row>
    <row r="12" spans="2:4" ht="157.5" customHeight="1" x14ac:dyDescent="0.25">
      <c r="B12" s="174">
        <v>1</v>
      </c>
      <c r="C12" s="117" t="s">
        <v>52</v>
      </c>
      <c r="D12" s="174" t="s">
        <v>53</v>
      </c>
    </row>
    <row r="13" spans="2:4" ht="31.5" customHeight="1" x14ac:dyDescent="0.25">
      <c r="B13" s="174">
        <v>2</v>
      </c>
      <c r="C13" s="117" t="s">
        <v>54</v>
      </c>
      <c r="D13" s="174" t="s">
        <v>55</v>
      </c>
    </row>
    <row r="14" spans="2:4" x14ac:dyDescent="0.25">
      <c r="B14" s="174">
        <v>3</v>
      </c>
      <c r="C14" s="117" t="s">
        <v>56</v>
      </c>
      <c r="D14" s="174" t="s">
        <v>57</v>
      </c>
    </row>
    <row r="15" spans="2:4" x14ac:dyDescent="0.25">
      <c r="B15" s="174">
        <v>4</v>
      </c>
      <c r="C15" s="117" t="s">
        <v>58</v>
      </c>
      <c r="D15" s="174">
        <v>1</v>
      </c>
    </row>
    <row r="16" spans="2:4" ht="94.5" customHeight="1" x14ac:dyDescent="0.25">
      <c r="B16" s="174">
        <v>5</v>
      </c>
      <c r="C16" s="119" t="s">
        <v>59</v>
      </c>
      <c r="D16" s="117" t="s">
        <v>60</v>
      </c>
    </row>
    <row r="17" spans="2:6" ht="78.75" customHeight="1" x14ac:dyDescent="0.25">
      <c r="B17" s="174">
        <v>6</v>
      </c>
      <c r="C17" s="119" t="s">
        <v>61</v>
      </c>
      <c r="D17" s="120">
        <f>D18+D19</f>
        <v>2486.8861004999999</v>
      </c>
    </row>
    <row r="18" spans="2:6" x14ac:dyDescent="0.25">
      <c r="B18" s="121" t="s">
        <v>62</v>
      </c>
      <c r="C18" s="117" t="s">
        <v>63</v>
      </c>
      <c r="D18" s="120">
        <f>'Прил.2 Расч стоим'!F14</f>
        <v>77.005403700000002</v>
      </c>
    </row>
    <row r="19" spans="2:6" ht="15.75" customHeight="1" x14ac:dyDescent="0.25">
      <c r="B19" s="121" t="s">
        <v>64</v>
      </c>
      <c r="C19" s="117" t="s">
        <v>65</v>
      </c>
      <c r="D19" s="120">
        <f>'Прил.2 Расч стоим'!H14</f>
        <v>2409.8806967999999</v>
      </c>
    </row>
    <row r="20" spans="2:6" ht="16.5" customHeight="1" x14ac:dyDescent="0.25">
      <c r="B20" s="121" t="s">
        <v>66</v>
      </c>
      <c r="C20" s="117" t="s">
        <v>67</v>
      </c>
      <c r="D20" s="120"/>
      <c r="F20" s="122"/>
    </row>
    <row r="21" spans="2:6" ht="35.25" customHeight="1" x14ac:dyDescent="0.25">
      <c r="B21" s="121" t="s">
        <v>68</v>
      </c>
      <c r="C21" s="123" t="s">
        <v>69</v>
      </c>
      <c r="D21" s="120"/>
    </row>
    <row r="22" spans="2:6" x14ac:dyDescent="0.25">
      <c r="B22" s="174">
        <v>7</v>
      </c>
      <c r="C22" s="123" t="s">
        <v>70</v>
      </c>
      <c r="D22" s="174" t="s">
        <v>71</v>
      </c>
    </row>
    <row r="23" spans="2:6" ht="123" customHeight="1" x14ac:dyDescent="0.25">
      <c r="B23" s="174">
        <v>8</v>
      </c>
      <c r="C23" s="124" t="s">
        <v>72</v>
      </c>
      <c r="D23" s="120">
        <f>D17</f>
        <v>2486.8861004999999</v>
      </c>
    </row>
    <row r="24" spans="2:6" ht="60.75" customHeight="1" x14ac:dyDescent="0.25">
      <c r="B24" s="174">
        <v>9</v>
      </c>
      <c r="C24" s="119" t="s">
        <v>73</v>
      </c>
      <c r="D24" s="120">
        <f>D17/D15</f>
        <v>2486.8861004999999</v>
      </c>
    </row>
    <row r="25" spans="2:6" ht="118.5" customHeight="1" x14ac:dyDescent="0.25">
      <c r="B25" s="174">
        <v>10</v>
      </c>
      <c r="C25" s="117" t="s">
        <v>74</v>
      </c>
      <c r="D25" s="117"/>
    </row>
    <row r="26" spans="2:6" x14ac:dyDescent="0.25">
      <c r="B26" s="125"/>
      <c r="C26" s="126"/>
      <c r="D26" s="126"/>
    </row>
    <row r="27" spans="2:6" ht="37.5" customHeight="1" x14ac:dyDescent="0.25">
      <c r="B27" s="127"/>
    </row>
    <row r="28" spans="2:6" x14ac:dyDescent="0.25">
      <c r="B28" s="114" t="s">
        <v>75</v>
      </c>
    </row>
    <row r="29" spans="2:6" x14ac:dyDescent="0.25">
      <c r="B29" s="127" t="s">
        <v>76</v>
      </c>
    </row>
    <row r="31" spans="2:6" x14ac:dyDescent="0.25">
      <c r="B31" s="114" t="s">
        <v>77</v>
      </c>
    </row>
    <row r="32" spans="2:6" x14ac:dyDescent="0.25">
      <c r="B32" s="127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E20" sqref="E20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2:12" x14ac:dyDescent="0.25">
      <c r="B3" s="206" t="s">
        <v>79</v>
      </c>
      <c r="C3" s="206"/>
      <c r="D3" s="206"/>
      <c r="E3" s="206"/>
      <c r="F3" s="206"/>
      <c r="G3" s="206"/>
      <c r="H3" s="206"/>
      <c r="I3" s="206"/>
      <c r="J3" s="206"/>
      <c r="K3" s="127"/>
    </row>
    <row r="4" spans="2:12" x14ac:dyDescent="0.25">
      <c r="B4" s="207" t="s">
        <v>80</v>
      </c>
      <c r="C4" s="207"/>
      <c r="D4" s="207"/>
      <c r="E4" s="207"/>
      <c r="F4" s="207"/>
      <c r="G4" s="207"/>
      <c r="H4" s="207"/>
      <c r="I4" s="207"/>
      <c r="J4" s="207"/>
      <c r="K4" s="207"/>
    </row>
    <row r="5" spans="2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2:12" ht="15.75" customHeight="1" x14ac:dyDescent="0.25">
      <c r="B6" s="211" t="s">
        <v>81</v>
      </c>
      <c r="C6" s="211"/>
      <c r="D6" s="211"/>
      <c r="E6" s="211"/>
      <c r="F6" s="211"/>
      <c r="G6" s="211"/>
      <c r="H6" s="211"/>
      <c r="I6" s="211"/>
      <c r="J6" s="211"/>
      <c r="K6" s="127"/>
      <c r="L6" s="128"/>
    </row>
    <row r="7" spans="2:12" x14ac:dyDescent="0.25">
      <c r="B7" s="209" t="s">
        <v>49</v>
      </c>
      <c r="C7" s="209"/>
      <c r="D7" s="209"/>
      <c r="E7" s="209"/>
      <c r="F7" s="209"/>
      <c r="G7" s="209"/>
      <c r="H7" s="209"/>
      <c r="I7" s="209"/>
      <c r="J7" s="209"/>
      <c r="K7" s="209"/>
      <c r="L7" s="128"/>
    </row>
    <row r="8" spans="2:12" x14ac:dyDescent="0.25">
      <c r="B8" s="116"/>
    </row>
    <row r="9" spans="2:12" ht="15.75" customHeight="1" x14ac:dyDescent="0.25">
      <c r="B9" s="212" t="s">
        <v>33</v>
      </c>
      <c r="C9" s="212" t="s">
        <v>82</v>
      </c>
      <c r="D9" s="212" t="s">
        <v>51</v>
      </c>
      <c r="E9" s="212"/>
      <c r="F9" s="212"/>
      <c r="G9" s="212"/>
      <c r="H9" s="212"/>
      <c r="I9" s="212"/>
      <c r="J9" s="212"/>
    </row>
    <row r="10" spans="2:12" ht="15.75" customHeight="1" x14ac:dyDescent="0.25">
      <c r="B10" s="212"/>
      <c r="C10" s="212"/>
      <c r="D10" s="212" t="s">
        <v>83</v>
      </c>
      <c r="E10" s="212" t="s">
        <v>84</v>
      </c>
      <c r="F10" s="212" t="s">
        <v>85</v>
      </c>
      <c r="G10" s="212"/>
      <c r="H10" s="212"/>
      <c r="I10" s="212"/>
      <c r="J10" s="212"/>
    </row>
    <row r="11" spans="2:12" ht="31.5" customHeight="1" x14ac:dyDescent="0.25">
      <c r="B11" s="212"/>
      <c r="C11" s="212"/>
      <c r="D11" s="212"/>
      <c r="E11" s="212"/>
      <c r="F11" s="174" t="s">
        <v>86</v>
      </c>
      <c r="G11" s="174" t="s">
        <v>87</v>
      </c>
      <c r="H11" s="174" t="s">
        <v>43</v>
      </c>
      <c r="I11" s="174" t="s">
        <v>88</v>
      </c>
      <c r="J11" s="174" t="s">
        <v>89</v>
      </c>
    </row>
    <row r="12" spans="2:12" ht="47.25" customHeight="1" x14ac:dyDescent="0.25">
      <c r="B12" s="180"/>
      <c r="C12" s="137" t="s">
        <v>90</v>
      </c>
      <c r="D12" s="191"/>
      <c r="E12" s="118"/>
      <c r="F12" s="213">
        <v>77.005403700000002</v>
      </c>
      <c r="G12" s="214"/>
      <c r="H12" s="129">
        <v>2409.8806967999999</v>
      </c>
      <c r="I12" s="130"/>
      <c r="J12" s="131">
        <v>2486.8861004999999</v>
      </c>
    </row>
    <row r="13" spans="2:12" ht="15.75" customHeight="1" x14ac:dyDescent="0.25">
      <c r="B13" s="210" t="s">
        <v>91</v>
      </c>
      <c r="C13" s="210"/>
      <c r="D13" s="210"/>
      <c r="E13" s="210"/>
      <c r="F13" s="132"/>
      <c r="G13" s="132"/>
      <c r="H13" s="132"/>
      <c r="I13" s="133"/>
      <c r="J13" s="134"/>
    </row>
    <row r="14" spans="2:12" ht="28.5" customHeight="1" x14ac:dyDescent="0.25">
      <c r="B14" s="210" t="s">
        <v>92</v>
      </c>
      <c r="C14" s="210"/>
      <c r="D14" s="210"/>
      <c r="E14" s="210"/>
      <c r="F14" s="215">
        <f>F12</f>
        <v>77.005403700000002</v>
      </c>
      <c r="G14" s="216"/>
      <c r="H14" s="132">
        <f>H12</f>
        <v>2409.8806967999999</v>
      </c>
      <c r="I14" s="133"/>
      <c r="J14" s="134">
        <f>J12</f>
        <v>2486.8861004999999</v>
      </c>
    </row>
    <row r="18" spans="2:2" x14ac:dyDescent="0.25">
      <c r="B18" s="114" t="s">
        <v>75</v>
      </c>
    </row>
    <row r="19" spans="2:2" x14ac:dyDescent="0.25">
      <c r="B19" s="127" t="s">
        <v>76</v>
      </c>
    </row>
    <row r="21" spans="2:2" x14ac:dyDescent="0.25">
      <c r="B21" s="114" t="s">
        <v>77</v>
      </c>
    </row>
    <row r="22" spans="2:2" x14ac:dyDescent="0.25">
      <c r="B22" s="127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89"/>
  <sheetViews>
    <sheetView view="pageBreakPreview" topLeftCell="A38" zoomScale="40" zoomScaleSheetLayoutView="40" workbookViewId="0">
      <selection activeCell="P113" sqref="P113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35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11.42578125" style="114" customWidth="1"/>
    <col min="12" max="12" width="9.140625" style="114"/>
  </cols>
  <sheetData>
    <row r="4" spans="1:13" x14ac:dyDescent="0.25">
      <c r="A4" s="206" t="s">
        <v>93</v>
      </c>
      <c r="B4" s="206"/>
      <c r="C4" s="206"/>
      <c r="D4" s="206"/>
      <c r="E4" s="206"/>
      <c r="F4" s="206"/>
      <c r="G4" s="206"/>
      <c r="H4" s="206"/>
    </row>
    <row r="5" spans="1:13" x14ac:dyDescent="0.25">
      <c r="A5" s="207" t="s">
        <v>94</v>
      </c>
      <c r="B5" s="207"/>
      <c r="C5" s="207"/>
      <c r="D5" s="207"/>
      <c r="E5" s="207"/>
      <c r="F5" s="207"/>
      <c r="G5" s="207"/>
      <c r="H5" s="207"/>
    </row>
    <row r="6" spans="1:13" x14ac:dyDescent="0.25">
      <c r="A6" s="116"/>
    </row>
    <row r="7" spans="1:13" x14ac:dyDescent="0.25">
      <c r="A7" s="211" t="s">
        <v>95</v>
      </c>
      <c r="B7" s="211"/>
      <c r="C7" s="211"/>
      <c r="D7" s="211"/>
      <c r="E7" s="211"/>
      <c r="F7" s="211"/>
      <c r="G7" s="211"/>
      <c r="H7" s="211"/>
    </row>
    <row r="8" spans="1:13" x14ac:dyDescent="0.25">
      <c r="A8" s="136"/>
      <c r="B8" s="136"/>
      <c r="C8" s="136"/>
      <c r="D8" s="136"/>
      <c r="E8" s="115"/>
      <c r="F8" s="136"/>
      <c r="G8" s="136"/>
      <c r="H8" s="136"/>
    </row>
    <row r="9" spans="1:13" ht="38.25" customHeight="1" x14ac:dyDescent="0.25">
      <c r="A9" s="212" t="s">
        <v>96</v>
      </c>
      <c r="B9" s="212" t="s">
        <v>97</v>
      </c>
      <c r="C9" s="212" t="s">
        <v>98</v>
      </c>
      <c r="D9" s="212" t="s">
        <v>99</v>
      </c>
      <c r="E9" s="212" t="s">
        <v>100</v>
      </c>
      <c r="F9" s="212" t="s">
        <v>101</v>
      </c>
      <c r="G9" s="212" t="s">
        <v>102</v>
      </c>
      <c r="H9" s="212"/>
    </row>
    <row r="10" spans="1:13" ht="40.5" customHeight="1" x14ac:dyDescent="0.25">
      <c r="A10" s="212"/>
      <c r="B10" s="212"/>
      <c r="C10" s="212"/>
      <c r="D10" s="212"/>
      <c r="E10" s="212"/>
      <c r="F10" s="212"/>
      <c r="G10" s="174" t="s">
        <v>103</v>
      </c>
      <c r="H10" s="174" t="s">
        <v>104</v>
      </c>
    </row>
    <row r="11" spans="1:13" x14ac:dyDescent="0.25">
      <c r="A11" s="137">
        <v>1</v>
      </c>
      <c r="B11" s="137"/>
      <c r="C11" s="137">
        <v>2</v>
      </c>
      <c r="D11" s="137" t="s">
        <v>105</v>
      </c>
      <c r="E11" s="137">
        <v>4</v>
      </c>
      <c r="F11" s="137">
        <v>5</v>
      </c>
      <c r="G11" s="137">
        <v>6</v>
      </c>
      <c r="H11" s="137">
        <v>7</v>
      </c>
    </row>
    <row r="12" spans="1:13" s="139" customFormat="1" x14ac:dyDescent="0.25">
      <c r="A12" s="217" t="s">
        <v>106</v>
      </c>
      <c r="B12" s="218"/>
      <c r="C12" s="219"/>
      <c r="D12" s="219"/>
      <c r="E12" s="218"/>
      <c r="F12" s="138">
        <f>SUM(F13:F21)</f>
        <v>343.33</v>
      </c>
      <c r="G12" s="138"/>
      <c r="H12" s="138">
        <f>SUM(H13:H21)</f>
        <v>3413.31</v>
      </c>
      <c r="I12" s="114"/>
      <c r="J12" s="114"/>
      <c r="K12" s="114"/>
      <c r="L12" s="114"/>
      <c r="M12" s="114"/>
    </row>
    <row r="13" spans="1:13" x14ac:dyDescent="0.25">
      <c r="A13" s="140">
        <v>1</v>
      </c>
      <c r="B13" s="141" t="s">
        <v>107</v>
      </c>
      <c r="C13" s="190" t="s">
        <v>108</v>
      </c>
      <c r="D13" s="142" t="s">
        <v>109</v>
      </c>
      <c r="E13" s="143" t="s">
        <v>110</v>
      </c>
      <c r="F13" s="140">
        <v>122.56</v>
      </c>
      <c r="G13" s="144">
        <v>9.4</v>
      </c>
      <c r="H13" s="144">
        <f t="shared" ref="H13:H21" si="0">ROUND(F13*G13,2)</f>
        <v>1152.06</v>
      </c>
    </row>
    <row r="14" spans="1:13" x14ac:dyDescent="0.25">
      <c r="A14" s="140">
        <v>2</v>
      </c>
      <c r="B14" s="141" t="s">
        <v>107</v>
      </c>
      <c r="C14" s="190" t="s">
        <v>111</v>
      </c>
      <c r="D14" s="142" t="s">
        <v>112</v>
      </c>
      <c r="E14" s="143" t="s">
        <v>110</v>
      </c>
      <c r="F14" s="140">
        <v>102.63</v>
      </c>
      <c r="G14" s="144">
        <v>9.6199999999999992</v>
      </c>
      <c r="H14" s="144">
        <f t="shared" si="0"/>
        <v>987.3</v>
      </c>
    </row>
    <row r="15" spans="1:13" x14ac:dyDescent="0.25">
      <c r="A15" s="140">
        <v>3</v>
      </c>
      <c r="B15" s="141" t="s">
        <v>107</v>
      </c>
      <c r="C15" s="190" t="s">
        <v>113</v>
      </c>
      <c r="D15" s="142" t="s">
        <v>114</v>
      </c>
      <c r="E15" s="143" t="s">
        <v>110</v>
      </c>
      <c r="F15" s="140">
        <v>58.8</v>
      </c>
      <c r="G15" s="144">
        <v>8.5299999999999994</v>
      </c>
      <c r="H15" s="144">
        <f t="shared" si="0"/>
        <v>501.56</v>
      </c>
    </row>
    <row r="16" spans="1:13" x14ac:dyDescent="0.25">
      <c r="A16" s="140">
        <v>4</v>
      </c>
      <c r="B16" s="141" t="s">
        <v>107</v>
      </c>
      <c r="C16" s="190" t="s">
        <v>115</v>
      </c>
      <c r="D16" s="142" t="s">
        <v>116</v>
      </c>
      <c r="E16" s="143" t="s">
        <v>110</v>
      </c>
      <c r="F16" s="140">
        <v>16</v>
      </c>
      <c r="G16" s="144">
        <v>15.49</v>
      </c>
      <c r="H16" s="144">
        <f t="shared" si="0"/>
        <v>247.84</v>
      </c>
    </row>
    <row r="17" spans="1:13" x14ac:dyDescent="0.25">
      <c r="A17" s="140">
        <v>5</v>
      </c>
      <c r="B17" s="141" t="s">
        <v>107</v>
      </c>
      <c r="C17" s="190" t="s">
        <v>117</v>
      </c>
      <c r="D17" s="142" t="s">
        <v>118</v>
      </c>
      <c r="E17" s="143" t="s">
        <v>110</v>
      </c>
      <c r="F17" s="140">
        <v>16</v>
      </c>
      <c r="G17" s="144">
        <v>14.09</v>
      </c>
      <c r="H17" s="144">
        <f t="shared" si="0"/>
        <v>225.44</v>
      </c>
    </row>
    <row r="18" spans="1:13" x14ac:dyDescent="0.25">
      <c r="A18" s="140">
        <v>6</v>
      </c>
      <c r="B18" s="141" t="s">
        <v>107</v>
      </c>
      <c r="C18" s="190" t="s">
        <v>119</v>
      </c>
      <c r="D18" s="142" t="s">
        <v>120</v>
      </c>
      <c r="E18" s="143" t="s">
        <v>110</v>
      </c>
      <c r="F18" s="140">
        <v>8.75</v>
      </c>
      <c r="G18" s="144">
        <v>12.92</v>
      </c>
      <c r="H18" s="144">
        <f t="shared" si="0"/>
        <v>113.05</v>
      </c>
    </row>
    <row r="19" spans="1:13" x14ac:dyDescent="0.25">
      <c r="A19" s="140">
        <v>7</v>
      </c>
      <c r="B19" s="141" t="s">
        <v>107</v>
      </c>
      <c r="C19" s="190" t="s">
        <v>121</v>
      </c>
      <c r="D19" s="142" t="s">
        <v>122</v>
      </c>
      <c r="E19" s="143" t="s">
        <v>110</v>
      </c>
      <c r="F19" s="140">
        <v>9.3000000000000007</v>
      </c>
      <c r="G19" s="144">
        <v>11.09</v>
      </c>
      <c r="H19" s="144">
        <f t="shared" si="0"/>
        <v>103.14</v>
      </c>
    </row>
    <row r="20" spans="1:13" x14ac:dyDescent="0.25">
      <c r="A20" s="140">
        <v>8</v>
      </c>
      <c r="B20" s="141" t="s">
        <v>107</v>
      </c>
      <c r="C20" s="190" t="s">
        <v>123</v>
      </c>
      <c r="D20" s="142" t="s">
        <v>124</v>
      </c>
      <c r="E20" s="143" t="s">
        <v>110</v>
      </c>
      <c r="F20" s="140">
        <v>7.21</v>
      </c>
      <c r="G20" s="144">
        <v>8.64</v>
      </c>
      <c r="H20" s="144">
        <f t="shared" si="0"/>
        <v>62.29</v>
      </c>
    </row>
    <row r="21" spans="1:13" x14ac:dyDescent="0.25">
      <c r="A21" s="140">
        <v>9</v>
      </c>
      <c r="B21" s="141" t="s">
        <v>107</v>
      </c>
      <c r="C21" s="190" t="s">
        <v>125</v>
      </c>
      <c r="D21" s="142" t="s">
        <v>126</v>
      </c>
      <c r="E21" s="143" t="s">
        <v>110</v>
      </c>
      <c r="F21" s="140">
        <v>2.08</v>
      </c>
      <c r="G21" s="144">
        <v>9.92</v>
      </c>
      <c r="H21" s="144">
        <f t="shared" si="0"/>
        <v>20.63</v>
      </c>
    </row>
    <row r="22" spans="1:13" x14ac:dyDescent="0.25">
      <c r="A22" s="217" t="s">
        <v>127</v>
      </c>
      <c r="B22" s="218"/>
      <c r="C22" s="219"/>
      <c r="D22" s="219"/>
      <c r="E22" s="218"/>
      <c r="F22" s="183">
        <f>F23</f>
        <v>7.33</v>
      </c>
      <c r="G22" s="138"/>
      <c r="H22" s="138">
        <f>H23</f>
        <v>77.03</v>
      </c>
    </row>
    <row r="23" spans="1:13" x14ac:dyDescent="0.25">
      <c r="A23" s="140">
        <v>10</v>
      </c>
      <c r="B23" s="140" t="s">
        <v>107</v>
      </c>
      <c r="C23" s="142">
        <v>2</v>
      </c>
      <c r="D23" s="142" t="s">
        <v>127</v>
      </c>
      <c r="E23" s="143" t="s">
        <v>110</v>
      </c>
      <c r="F23" s="140">
        <v>7.33</v>
      </c>
      <c r="G23" s="144"/>
      <c r="H23" s="144">
        <v>77.03</v>
      </c>
    </row>
    <row r="24" spans="1:13" s="139" customFormat="1" x14ac:dyDescent="0.25">
      <c r="A24" s="217" t="s">
        <v>128</v>
      </c>
      <c r="B24" s="218"/>
      <c r="C24" s="219"/>
      <c r="D24" s="219"/>
      <c r="E24" s="218"/>
      <c r="F24" s="183"/>
      <c r="G24" s="138"/>
      <c r="H24" s="138">
        <f>SUM(H25:H31)</f>
        <v>897.87</v>
      </c>
      <c r="I24" s="114"/>
      <c r="J24" s="114"/>
      <c r="K24" s="114"/>
      <c r="L24" s="114"/>
      <c r="M24" s="114"/>
    </row>
    <row r="25" spans="1:13" x14ac:dyDescent="0.25">
      <c r="A25" s="140">
        <v>11</v>
      </c>
      <c r="B25" s="140" t="s">
        <v>107</v>
      </c>
      <c r="C25" s="142" t="s">
        <v>129</v>
      </c>
      <c r="D25" s="142" t="s">
        <v>130</v>
      </c>
      <c r="E25" s="143" t="s">
        <v>131</v>
      </c>
      <c r="F25" s="140">
        <v>5.98</v>
      </c>
      <c r="G25" s="144">
        <v>89.99</v>
      </c>
      <c r="H25" s="144">
        <f t="shared" ref="H25:H31" si="1">ROUND(F25*G25,2)</f>
        <v>538.14</v>
      </c>
    </row>
    <row r="26" spans="1:13" s="139" customFormat="1" ht="31.5" customHeight="1" x14ac:dyDescent="0.25">
      <c r="A26" s="140">
        <v>12</v>
      </c>
      <c r="B26" s="140" t="s">
        <v>107</v>
      </c>
      <c r="C26" s="142" t="s">
        <v>132</v>
      </c>
      <c r="D26" s="142" t="s">
        <v>133</v>
      </c>
      <c r="E26" s="143" t="s">
        <v>131</v>
      </c>
      <c r="F26" s="140">
        <v>19.760000000000002</v>
      </c>
      <c r="G26" s="144">
        <v>8.1</v>
      </c>
      <c r="H26" s="144">
        <f t="shared" si="1"/>
        <v>160.06</v>
      </c>
      <c r="I26" s="114"/>
      <c r="J26" s="114"/>
      <c r="K26" s="114"/>
      <c r="L26" s="114"/>
      <c r="M26" s="114"/>
    </row>
    <row r="27" spans="1:13" s="139" customFormat="1" ht="31.5" customHeight="1" x14ac:dyDescent="0.25">
      <c r="A27" s="140">
        <v>13</v>
      </c>
      <c r="B27" s="140" t="s">
        <v>107</v>
      </c>
      <c r="C27" s="142" t="s">
        <v>134</v>
      </c>
      <c r="D27" s="142" t="s">
        <v>135</v>
      </c>
      <c r="E27" s="143" t="s">
        <v>131</v>
      </c>
      <c r="F27" s="140">
        <v>0.64</v>
      </c>
      <c r="G27" s="144">
        <v>115.4</v>
      </c>
      <c r="H27" s="144">
        <f t="shared" si="1"/>
        <v>73.86</v>
      </c>
      <c r="I27" s="114"/>
      <c r="J27" s="114"/>
      <c r="K27" s="114"/>
      <c r="L27" s="114"/>
      <c r="M27" s="114"/>
    </row>
    <row r="28" spans="1:13" s="139" customFormat="1" ht="31.5" customHeight="1" x14ac:dyDescent="0.25">
      <c r="A28" s="140">
        <v>14</v>
      </c>
      <c r="B28" s="140" t="s">
        <v>107</v>
      </c>
      <c r="C28" s="142" t="s">
        <v>136</v>
      </c>
      <c r="D28" s="142" t="s">
        <v>137</v>
      </c>
      <c r="E28" s="143" t="s">
        <v>131</v>
      </c>
      <c r="F28" s="140">
        <v>0.71</v>
      </c>
      <c r="G28" s="144">
        <v>65.709999999999994</v>
      </c>
      <c r="H28" s="144">
        <f t="shared" si="1"/>
        <v>46.65</v>
      </c>
      <c r="I28" s="114"/>
      <c r="J28" s="114"/>
      <c r="K28" s="114"/>
      <c r="L28" s="114"/>
      <c r="M28" s="114"/>
    </row>
    <row r="29" spans="1:13" s="139" customFormat="1" ht="31.5" customHeight="1" x14ac:dyDescent="0.25">
      <c r="A29" s="140">
        <v>15</v>
      </c>
      <c r="B29" s="140" t="s">
        <v>107</v>
      </c>
      <c r="C29" s="142" t="s">
        <v>138</v>
      </c>
      <c r="D29" s="142" t="s">
        <v>139</v>
      </c>
      <c r="E29" s="143" t="s">
        <v>131</v>
      </c>
      <c r="F29" s="140">
        <v>3.68</v>
      </c>
      <c r="G29" s="144">
        <v>12.14</v>
      </c>
      <c r="H29" s="144">
        <f t="shared" si="1"/>
        <v>44.68</v>
      </c>
      <c r="I29" s="114"/>
      <c r="J29" s="114"/>
      <c r="K29" s="114"/>
      <c r="L29" s="114"/>
      <c r="M29" s="114"/>
    </row>
    <row r="30" spans="1:13" s="139" customFormat="1" x14ac:dyDescent="0.25">
      <c r="A30" s="140">
        <v>16</v>
      </c>
      <c r="B30" s="140" t="s">
        <v>107</v>
      </c>
      <c r="C30" s="142" t="s">
        <v>140</v>
      </c>
      <c r="D30" s="142" t="s">
        <v>141</v>
      </c>
      <c r="E30" s="143" t="s">
        <v>131</v>
      </c>
      <c r="F30" s="140">
        <v>2.59</v>
      </c>
      <c r="G30" s="144">
        <v>10.62</v>
      </c>
      <c r="H30" s="144">
        <f t="shared" si="1"/>
        <v>27.51</v>
      </c>
      <c r="I30" s="114"/>
      <c r="J30" s="114"/>
      <c r="K30" s="114"/>
      <c r="L30" s="114"/>
      <c r="M30" s="114"/>
    </row>
    <row r="31" spans="1:13" s="139" customFormat="1" ht="31.5" customHeight="1" x14ac:dyDescent="0.25">
      <c r="A31" s="140">
        <v>17</v>
      </c>
      <c r="B31" s="140" t="s">
        <v>107</v>
      </c>
      <c r="C31" s="142" t="s">
        <v>142</v>
      </c>
      <c r="D31" s="142" t="s">
        <v>143</v>
      </c>
      <c r="E31" s="143" t="s">
        <v>131</v>
      </c>
      <c r="F31" s="140">
        <v>4.0999999999999996</v>
      </c>
      <c r="G31" s="144">
        <v>1.7</v>
      </c>
      <c r="H31" s="144">
        <f t="shared" si="1"/>
        <v>6.97</v>
      </c>
      <c r="I31" s="114"/>
      <c r="J31" s="114"/>
      <c r="K31" s="114"/>
      <c r="L31" s="114"/>
      <c r="M31" s="114"/>
    </row>
    <row r="32" spans="1:13" x14ac:dyDescent="0.25">
      <c r="A32" s="217" t="s">
        <v>43</v>
      </c>
      <c r="B32" s="218"/>
      <c r="C32" s="219"/>
      <c r="D32" s="219"/>
      <c r="E32" s="218"/>
      <c r="F32" s="183"/>
      <c r="G32" s="138"/>
      <c r="H32" s="138">
        <f>SUM(H33:H48)</f>
        <v>433431.78</v>
      </c>
    </row>
    <row r="33" spans="1:13" s="139" customFormat="1" x14ac:dyDescent="0.25">
      <c r="A33" s="140">
        <v>18</v>
      </c>
      <c r="B33" s="140" t="s">
        <v>107</v>
      </c>
      <c r="C33" s="142" t="s">
        <v>144</v>
      </c>
      <c r="D33" s="142" t="s">
        <v>145</v>
      </c>
      <c r="E33" s="143" t="s">
        <v>146</v>
      </c>
      <c r="F33" s="140">
        <v>1</v>
      </c>
      <c r="G33" s="144">
        <v>167692.96</v>
      </c>
      <c r="H33" s="144">
        <f t="shared" ref="H33:H48" si="2">ROUND(F33*G33,2)</f>
        <v>167692.96</v>
      </c>
      <c r="I33" s="114"/>
      <c r="J33" s="114"/>
      <c r="K33" s="114"/>
      <c r="L33" s="114"/>
      <c r="M33" s="114"/>
    </row>
    <row r="34" spans="1:13" s="139" customFormat="1" ht="31.5" customHeight="1" x14ac:dyDescent="0.25">
      <c r="A34" s="140">
        <v>19</v>
      </c>
      <c r="B34" s="140" t="s">
        <v>107</v>
      </c>
      <c r="C34" s="142" t="s">
        <v>147</v>
      </c>
      <c r="D34" s="142" t="s">
        <v>148</v>
      </c>
      <c r="E34" s="143" t="s">
        <v>149</v>
      </c>
      <c r="F34" s="140">
        <v>3</v>
      </c>
      <c r="G34" s="144">
        <v>16999.43</v>
      </c>
      <c r="H34" s="144">
        <f t="shared" si="2"/>
        <v>50998.29</v>
      </c>
      <c r="I34" s="114"/>
      <c r="J34" s="114"/>
      <c r="K34" s="114"/>
      <c r="L34" s="114"/>
      <c r="M34" s="114"/>
    </row>
    <row r="35" spans="1:13" s="139" customFormat="1" ht="47.25" customHeight="1" x14ac:dyDescent="0.25">
      <c r="A35" s="140">
        <v>20</v>
      </c>
      <c r="B35" s="140" t="s">
        <v>107</v>
      </c>
      <c r="C35" s="142" t="s">
        <v>150</v>
      </c>
      <c r="D35" s="142" t="s">
        <v>151</v>
      </c>
      <c r="E35" s="143" t="s">
        <v>146</v>
      </c>
      <c r="F35" s="140">
        <v>1</v>
      </c>
      <c r="G35" s="144">
        <v>43171.35</v>
      </c>
      <c r="H35" s="144">
        <f t="shared" si="2"/>
        <v>43171.35</v>
      </c>
      <c r="I35" s="114"/>
      <c r="J35" s="114"/>
      <c r="K35" s="114"/>
      <c r="L35" s="114"/>
      <c r="M35" s="114"/>
    </row>
    <row r="36" spans="1:13" s="139" customFormat="1" ht="31.5" customHeight="1" x14ac:dyDescent="0.25">
      <c r="A36" s="140">
        <v>21</v>
      </c>
      <c r="B36" s="140" t="s">
        <v>107</v>
      </c>
      <c r="C36" s="142" t="s">
        <v>152</v>
      </c>
      <c r="D36" s="142" t="s">
        <v>153</v>
      </c>
      <c r="E36" s="143" t="s">
        <v>149</v>
      </c>
      <c r="F36" s="140">
        <v>1</v>
      </c>
      <c r="G36" s="144">
        <v>37158.83</v>
      </c>
      <c r="H36" s="144">
        <f t="shared" si="2"/>
        <v>37158.83</v>
      </c>
      <c r="I36" s="114"/>
      <c r="J36" s="114"/>
      <c r="K36" s="114"/>
      <c r="L36" s="114"/>
      <c r="M36" s="114"/>
    </row>
    <row r="37" spans="1:13" s="139" customFormat="1" ht="47.25" customHeight="1" x14ac:dyDescent="0.25">
      <c r="A37" s="140">
        <v>22</v>
      </c>
      <c r="B37" s="140" t="s">
        <v>107</v>
      </c>
      <c r="C37" s="142" t="s">
        <v>154</v>
      </c>
      <c r="D37" s="142" t="s">
        <v>155</v>
      </c>
      <c r="E37" s="143" t="s">
        <v>149</v>
      </c>
      <c r="F37" s="140">
        <v>1</v>
      </c>
      <c r="G37" s="144">
        <v>35055.620000000003</v>
      </c>
      <c r="H37" s="144">
        <f t="shared" si="2"/>
        <v>35055.620000000003</v>
      </c>
      <c r="I37" s="114"/>
      <c r="J37" s="114"/>
      <c r="K37" s="114"/>
      <c r="L37" s="114"/>
      <c r="M37" s="114"/>
    </row>
    <row r="38" spans="1:13" s="139" customFormat="1" ht="31.5" customHeight="1" x14ac:dyDescent="0.25">
      <c r="A38" s="140">
        <v>23</v>
      </c>
      <c r="B38" s="140" t="s">
        <v>107</v>
      </c>
      <c r="C38" s="142" t="s">
        <v>156</v>
      </c>
      <c r="D38" s="142" t="s">
        <v>157</v>
      </c>
      <c r="E38" s="143" t="s">
        <v>158</v>
      </c>
      <c r="F38" s="140">
        <v>1</v>
      </c>
      <c r="G38" s="144">
        <v>11831</v>
      </c>
      <c r="H38" s="144">
        <f t="shared" si="2"/>
        <v>11831</v>
      </c>
      <c r="I38" s="114"/>
      <c r="J38" s="114"/>
      <c r="K38" s="114"/>
      <c r="L38" s="114"/>
      <c r="M38" s="114"/>
    </row>
    <row r="39" spans="1:13" s="139" customFormat="1" ht="31.5" customHeight="1" x14ac:dyDescent="0.25">
      <c r="A39" s="140">
        <v>24</v>
      </c>
      <c r="B39" s="140" t="s">
        <v>107</v>
      </c>
      <c r="C39" s="142" t="s">
        <v>156</v>
      </c>
      <c r="D39" s="142" t="s">
        <v>157</v>
      </c>
      <c r="E39" s="143" t="s">
        <v>149</v>
      </c>
      <c r="F39" s="140">
        <v>1</v>
      </c>
      <c r="G39" s="144">
        <v>11831</v>
      </c>
      <c r="H39" s="144">
        <f t="shared" si="2"/>
        <v>11831</v>
      </c>
      <c r="I39" s="114"/>
      <c r="J39" s="114"/>
      <c r="K39" s="114"/>
      <c r="L39" s="114"/>
      <c r="M39" s="114"/>
    </row>
    <row r="40" spans="1:13" s="139" customFormat="1" ht="31.5" customHeight="1" x14ac:dyDescent="0.25">
      <c r="A40" s="140">
        <v>25</v>
      </c>
      <c r="B40" s="140" t="s">
        <v>107</v>
      </c>
      <c r="C40" s="142" t="s">
        <v>156</v>
      </c>
      <c r="D40" s="142" t="s">
        <v>157</v>
      </c>
      <c r="E40" s="143" t="s">
        <v>149</v>
      </c>
      <c r="F40" s="140">
        <v>1</v>
      </c>
      <c r="G40" s="144">
        <v>11831</v>
      </c>
      <c r="H40" s="144">
        <f t="shared" si="2"/>
        <v>11831</v>
      </c>
      <c r="I40" s="114"/>
      <c r="J40" s="114"/>
      <c r="K40" s="114"/>
      <c r="L40" s="114"/>
      <c r="M40" s="114"/>
    </row>
    <row r="41" spans="1:13" s="139" customFormat="1" ht="31.5" customHeight="1" x14ac:dyDescent="0.25">
      <c r="A41" s="140">
        <v>26</v>
      </c>
      <c r="B41" s="140" t="s">
        <v>107</v>
      </c>
      <c r="C41" s="142" t="s">
        <v>156</v>
      </c>
      <c r="D41" s="142" t="s">
        <v>157</v>
      </c>
      <c r="E41" s="143" t="s">
        <v>149</v>
      </c>
      <c r="F41" s="140">
        <v>1</v>
      </c>
      <c r="G41" s="144">
        <v>11831</v>
      </c>
      <c r="H41" s="144">
        <f t="shared" si="2"/>
        <v>11831</v>
      </c>
      <c r="I41" s="114"/>
      <c r="J41" s="114"/>
      <c r="K41" s="114"/>
      <c r="L41" s="114"/>
      <c r="M41" s="114"/>
    </row>
    <row r="42" spans="1:13" s="139" customFormat="1" ht="31.5" customHeight="1" x14ac:dyDescent="0.25">
      <c r="A42" s="140">
        <v>27</v>
      </c>
      <c r="B42" s="140" t="s">
        <v>107</v>
      </c>
      <c r="C42" s="142" t="s">
        <v>159</v>
      </c>
      <c r="D42" s="142" t="s">
        <v>160</v>
      </c>
      <c r="E42" s="143" t="s">
        <v>149</v>
      </c>
      <c r="F42" s="140">
        <v>1</v>
      </c>
      <c r="G42" s="144">
        <v>11279.02</v>
      </c>
      <c r="H42" s="144">
        <f t="shared" si="2"/>
        <v>11279.02</v>
      </c>
      <c r="I42" s="114"/>
      <c r="J42" s="114"/>
      <c r="K42" s="114"/>
      <c r="L42" s="114"/>
      <c r="M42" s="114"/>
    </row>
    <row r="43" spans="1:13" s="139" customFormat="1" ht="31.5" customHeight="1" x14ac:dyDescent="0.25">
      <c r="A43" s="140">
        <v>28</v>
      </c>
      <c r="B43" s="140" t="s">
        <v>107</v>
      </c>
      <c r="C43" s="142" t="s">
        <v>161</v>
      </c>
      <c r="D43" s="142" t="s">
        <v>162</v>
      </c>
      <c r="E43" s="143" t="s">
        <v>149</v>
      </c>
      <c r="F43" s="140">
        <v>1</v>
      </c>
      <c r="G43" s="144">
        <v>9392.75</v>
      </c>
      <c r="H43" s="144">
        <f t="shared" si="2"/>
        <v>9392.75</v>
      </c>
      <c r="I43" s="114"/>
      <c r="J43" s="114"/>
      <c r="K43" s="114"/>
      <c r="L43" s="114"/>
      <c r="M43" s="114"/>
    </row>
    <row r="44" spans="1:13" s="139" customFormat="1" ht="31.5" customHeight="1" x14ac:dyDescent="0.25">
      <c r="A44" s="140">
        <v>29</v>
      </c>
      <c r="B44" s="140" t="s">
        <v>107</v>
      </c>
      <c r="C44" s="142" t="s">
        <v>161</v>
      </c>
      <c r="D44" s="142" t="s">
        <v>163</v>
      </c>
      <c r="E44" s="143" t="s">
        <v>164</v>
      </c>
      <c r="F44" s="140">
        <v>1</v>
      </c>
      <c r="G44" s="144">
        <v>9392.75</v>
      </c>
      <c r="H44" s="144">
        <f t="shared" si="2"/>
        <v>9392.75</v>
      </c>
      <c r="I44" s="114"/>
      <c r="J44" s="114"/>
      <c r="K44" s="114"/>
      <c r="L44" s="114"/>
      <c r="M44" s="114"/>
    </row>
    <row r="45" spans="1:13" s="139" customFormat="1" ht="31.5" customHeight="1" x14ac:dyDescent="0.25">
      <c r="A45" s="140">
        <v>30</v>
      </c>
      <c r="B45" s="140" t="s">
        <v>107</v>
      </c>
      <c r="C45" s="142" t="s">
        <v>165</v>
      </c>
      <c r="D45" s="142" t="s">
        <v>166</v>
      </c>
      <c r="E45" s="143" t="s">
        <v>146</v>
      </c>
      <c r="F45" s="140">
        <v>1</v>
      </c>
      <c r="G45" s="144">
        <v>9372.9599999999991</v>
      </c>
      <c r="H45" s="144">
        <f t="shared" si="2"/>
        <v>9372.9599999999991</v>
      </c>
      <c r="I45" s="114"/>
      <c r="J45" s="114"/>
      <c r="K45" s="114"/>
      <c r="L45" s="114"/>
      <c r="M45" s="114"/>
    </row>
    <row r="46" spans="1:13" s="139" customFormat="1" ht="31.5" customHeight="1" x14ac:dyDescent="0.25">
      <c r="A46" s="140">
        <v>31</v>
      </c>
      <c r="B46" s="140" t="s">
        <v>107</v>
      </c>
      <c r="C46" s="142" t="s">
        <v>167</v>
      </c>
      <c r="D46" s="142" t="s">
        <v>168</v>
      </c>
      <c r="E46" s="143" t="s">
        <v>149</v>
      </c>
      <c r="F46" s="140">
        <v>2</v>
      </c>
      <c r="G46" s="144">
        <v>3850.19</v>
      </c>
      <c r="H46" s="144">
        <f t="shared" si="2"/>
        <v>7700.38</v>
      </c>
      <c r="I46" s="114"/>
      <c r="J46" s="114"/>
      <c r="K46" s="114"/>
      <c r="L46" s="114"/>
      <c r="M46" s="114"/>
    </row>
    <row r="47" spans="1:13" s="139" customFormat="1" ht="47.25" customHeight="1" x14ac:dyDescent="0.25">
      <c r="A47" s="140">
        <v>32</v>
      </c>
      <c r="B47" s="140" t="s">
        <v>107</v>
      </c>
      <c r="C47" s="142" t="s">
        <v>169</v>
      </c>
      <c r="D47" s="142" t="s">
        <v>170</v>
      </c>
      <c r="E47" s="143" t="s">
        <v>149</v>
      </c>
      <c r="F47" s="140">
        <v>2</v>
      </c>
      <c r="G47" s="144">
        <v>1983.71</v>
      </c>
      <c r="H47" s="144">
        <f t="shared" si="2"/>
        <v>3967.42</v>
      </c>
      <c r="I47" s="114"/>
      <c r="J47" s="114"/>
      <c r="K47" s="114"/>
      <c r="L47" s="114"/>
      <c r="M47" s="114"/>
    </row>
    <row r="48" spans="1:13" s="139" customFormat="1" ht="47.25" customHeight="1" x14ac:dyDescent="0.25">
      <c r="A48" s="140">
        <v>33</v>
      </c>
      <c r="B48" s="140" t="s">
        <v>107</v>
      </c>
      <c r="C48" s="142" t="s">
        <v>171</v>
      </c>
      <c r="D48" s="142" t="s">
        <v>172</v>
      </c>
      <c r="E48" s="143" t="s">
        <v>149</v>
      </c>
      <c r="F48" s="140">
        <v>1</v>
      </c>
      <c r="G48" s="144">
        <v>925.45</v>
      </c>
      <c r="H48" s="144">
        <f t="shared" si="2"/>
        <v>925.45</v>
      </c>
      <c r="I48" s="114"/>
      <c r="J48" s="114"/>
      <c r="K48" s="114"/>
      <c r="L48" s="114"/>
      <c r="M48" s="114"/>
    </row>
    <row r="49" spans="1:8" x14ac:dyDescent="0.25">
      <c r="A49" s="217" t="s">
        <v>173</v>
      </c>
      <c r="B49" s="218"/>
      <c r="C49" s="219"/>
      <c r="D49" s="219"/>
      <c r="E49" s="218"/>
      <c r="F49" s="183"/>
      <c r="G49" s="138"/>
      <c r="H49" s="138">
        <f>SUM(H50:H82)</f>
        <v>4534.78</v>
      </c>
    </row>
    <row r="50" spans="1:8" x14ac:dyDescent="0.25">
      <c r="A50" s="140">
        <v>34</v>
      </c>
      <c r="B50" s="140" t="s">
        <v>107</v>
      </c>
      <c r="C50" s="142" t="s">
        <v>174</v>
      </c>
      <c r="D50" s="142" t="s">
        <v>175</v>
      </c>
      <c r="E50" s="143" t="s">
        <v>176</v>
      </c>
      <c r="F50" s="140">
        <v>0.40799999999999997</v>
      </c>
      <c r="G50" s="144">
        <v>8958.61</v>
      </c>
      <c r="H50" s="144">
        <f t="shared" ref="H50:H82" si="3">ROUND(F50*G50,2)</f>
        <v>3655.11</v>
      </c>
    </row>
    <row r="51" spans="1:8" x14ac:dyDescent="0.25">
      <c r="A51" s="140">
        <v>35</v>
      </c>
      <c r="B51" s="140" t="s">
        <v>107</v>
      </c>
      <c r="C51" s="142" t="s">
        <v>177</v>
      </c>
      <c r="D51" s="142" t="s">
        <v>178</v>
      </c>
      <c r="E51" s="143" t="s">
        <v>179</v>
      </c>
      <c r="F51" s="140">
        <v>55.8</v>
      </c>
      <c r="G51" s="144">
        <v>4.16</v>
      </c>
      <c r="H51" s="144">
        <f t="shared" si="3"/>
        <v>232.13</v>
      </c>
    </row>
    <row r="52" spans="1:8" x14ac:dyDescent="0.25">
      <c r="A52" s="140">
        <v>36</v>
      </c>
      <c r="B52" s="140" t="s">
        <v>107</v>
      </c>
      <c r="C52" s="142" t="s">
        <v>180</v>
      </c>
      <c r="D52" s="142" t="s">
        <v>181</v>
      </c>
      <c r="E52" s="143" t="s">
        <v>179</v>
      </c>
      <c r="F52" s="140">
        <v>12</v>
      </c>
      <c r="G52" s="144">
        <v>10.57</v>
      </c>
      <c r="H52" s="144">
        <f t="shared" si="3"/>
        <v>126.84</v>
      </c>
    </row>
    <row r="53" spans="1:8" x14ac:dyDescent="0.25">
      <c r="A53" s="140">
        <v>37</v>
      </c>
      <c r="B53" s="140" t="s">
        <v>107</v>
      </c>
      <c r="C53" s="142" t="s">
        <v>182</v>
      </c>
      <c r="D53" s="142" t="s">
        <v>183</v>
      </c>
      <c r="E53" s="143" t="s">
        <v>184</v>
      </c>
      <c r="F53" s="140">
        <v>1.8599999999999998E-2</v>
      </c>
      <c r="G53" s="144">
        <v>6720</v>
      </c>
      <c r="H53" s="144">
        <f t="shared" si="3"/>
        <v>124.99</v>
      </c>
    </row>
    <row r="54" spans="1:8" x14ac:dyDescent="0.25">
      <c r="A54" s="140">
        <v>38</v>
      </c>
      <c r="B54" s="140" t="s">
        <v>107</v>
      </c>
      <c r="C54" s="142" t="s">
        <v>185</v>
      </c>
      <c r="D54" s="142" t="s">
        <v>186</v>
      </c>
      <c r="E54" s="143" t="s">
        <v>179</v>
      </c>
      <c r="F54" s="140">
        <v>2.2000000000000002</v>
      </c>
      <c r="G54" s="144">
        <v>47.57</v>
      </c>
      <c r="H54" s="144">
        <f t="shared" si="3"/>
        <v>104.65</v>
      </c>
    </row>
    <row r="55" spans="1:8" ht="31.5" customHeight="1" x14ac:dyDescent="0.25">
      <c r="A55" s="140">
        <v>39</v>
      </c>
      <c r="B55" s="140" t="s">
        <v>107</v>
      </c>
      <c r="C55" s="142" t="s">
        <v>187</v>
      </c>
      <c r="D55" s="142" t="s">
        <v>188</v>
      </c>
      <c r="E55" s="143" t="s">
        <v>189</v>
      </c>
      <c r="F55" s="140">
        <v>1.6E-2</v>
      </c>
      <c r="G55" s="144">
        <v>4949.3999999999996</v>
      </c>
      <c r="H55" s="144">
        <f t="shared" si="3"/>
        <v>79.19</v>
      </c>
    </row>
    <row r="56" spans="1:8" ht="31.5" customHeight="1" x14ac:dyDescent="0.25">
      <c r="A56" s="140">
        <v>40</v>
      </c>
      <c r="B56" s="140" t="s">
        <v>107</v>
      </c>
      <c r="C56" s="142" t="s">
        <v>190</v>
      </c>
      <c r="D56" s="142" t="s">
        <v>191</v>
      </c>
      <c r="E56" s="143" t="s">
        <v>192</v>
      </c>
      <c r="F56" s="140">
        <v>68.28</v>
      </c>
      <c r="G56" s="144">
        <v>1</v>
      </c>
      <c r="H56" s="144">
        <f t="shared" si="3"/>
        <v>68.28</v>
      </c>
    </row>
    <row r="57" spans="1:8" x14ac:dyDescent="0.25">
      <c r="A57" s="140">
        <v>41</v>
      </c>
      <c r="B57" s="140" t="s">
        <v>107</v>
      </c>
      <c r="C57" s="142" t="s">
        <v>193</v>
      </c>
      <c r="D57" s="142" t="s">
        <v>194</v>
      </c>
      <c r="E57" s="143" t="s">
        <v>184</v>
      </c>
      <c r="F57" s="140">
        <v>2.32E-3</v>
      </c>
      <c r="G57" s="144">
        <v>12430</v>
      </c>
      <c r="H57" s="144">
        <f t="shared" si="3"/>
        <v>28.84</v>
      </c>
    </row>
    <row r="58" spans="1:8" x14ac:dyDescent="0.25">
      <c r="A58" s="140">
        <v>42</v>
      </c>
      <c r="B58" s="140" t="s">
        <v>107</v>
      </c>
      <c r="C58" s="142" t="s">
        <v>195</v>
      </c>
      <c r="D58" s="142" t="s">
        <v>196</v>
      </c>
      <c r="E58" s="143" t="s">
        <v>197</v>
      </c>
      <c r="F58" s="140">
        <v>0.1</v>
      </c>
      <c r="G58" s="144">
        <v>203</v>
      </c>
      <c r="H58" s="144">
        <f t="shared" si="3"/>
        <v>20.3</v>
      </c>
    </row>
    <row r="59" spans="1:8" ht="31.5" customHeight="1" x14ac:dyDescent="0.25">
      <c r="A59" s="140">
        <v>43</v>
      </c>
      <c r="B59" s="140" t="s">
        <v>107</v>
      </c>
      <c r="C59" s="142" t="s">
        <v>198</v>
      </c>
      <c r="D59" s="142" t="s">
        <v>199</v>
      </c>
      <c r="E59" s="143" t="s">
        <v>179</v>
      </c>
      <c r="F59" s="140">
        <v>0.31</v>
      </c>
      <c r="G59" s="144">
        <v>38.89</v>
      </c>
      <c r="H59" s="144">
        <f t="shared" si="3"/>
        <v>12.06</v>
      </c>
    </row>
    <row r="60" spans="1:8" x14ac:dyDescent="0.25">
      <c r="A60" s="140">
        <v>44</v>
      </c>
      <c r="B60" s="140" t="s">
        <v>107</v>
      </c>
      <c r="C60" s="142" t="s">
        <v>200</v>
      </c>
      <c r="D60" s="142" t="s">
        <v>201</v>
      </c>
      <c r="E60" s="143" t="s">
        <v>179</v>
      </c>
      <c r="F60" s="140">
        <v>0.4</v>
      </c>
      <c r="G60" s="144">
        <v>28.6</v>
      </c>
      <c r="H60" s="144">
        <f t="shared" si="3"/>
        <v>11.44</v>
      </c>
    </row>
    <row r="61" spans="1:8" x14ac:dyDescent="0.25">
      <c r="A61" s="140">
        <v>45</v>
      </c>
      <c r="B61" s="140" t="s">
        <v>107</v>
      </c>
      <c r="C61" s="142" t="s">
        <v>202</v>
      </c>
      <c r="D61" s="142" t="s">
        <v>203</v>
      </c>
      <c r="E61" s="143" t="s">
        <v>197</v>
      </c>
      <c r="F61" s="140">
        <v>0.1</v>
      </c>
      <c r="G61" s="144">
        <v>86</v>
      </c>
      <c r="H61" s="144">
        <f t="shared" si="3"/>
        <v>8.6</v>
      </c>
    </row>
    <row r="62" spans="1:8" ht="31.5" customHeight="1" x14ac:dyDescent="0.25">
      <c r="A62" s="140">
        <v>46</v>
      </c>
      <c r="B62" s="140" t="s">
        <v>107</v>
      </c>
      <c r="C62" s="142" t="s">
        <v>204</v>
      </c>
      <c r="D62" s="142" t="s">
        <v>205</v>
      </c>
      <c r="E62" s="143" t="s">
        <v>197</v>
      </c>
      <c r="F62" s="140">
        <v>0.1</v>
      </c>
      <c r="G62" s="144">
        <v>83</v>
      </c>
      <c r="H62" s="144">
        <f t="shared" si="3"/>
        <v>8.3000000000000007</v>
      </c>
    </row>
    <row r="63" spans="1:8" x14ac:dyDescent="0.25">
      <c r="A63" s="140">
        <v>47</v>
      </c>
      <c r="B63" s="140" t="s">
        <v>107</v>
      </c>
      <c r="C63" s="142" t="s">
        <v>206</v>
      </c>
      <c r="D63" s="142" t="s">
        <v>207</v>
      </c>
      <c r="E63" s="143" t="s">
        <v>208</v>
      </c>
      <c r="F63" s="140">
        <v>0.9</v>
      </c>
      <c r="G63" s="144">
        <v>8.33</v>
      </c>
      <c r="H63" s="144">
        <f t="shared" si="3"/>
        <v>7.5</v>
      </c>
    </row>
    <row r="64" spans="1:8" x14ac:dyDescent="0.25">
      <c r="A64" s="140">
        <v>48</v>
      </c>
      <c r="B64" s="140" t="s">
        <v>107</v>
      </c>
      <c r="C64" s="142" t="s">
        <v>209</v>
      </c>
      <c r="D64" s="142" t="s">
        <v>210</v>
      </c>
      <c r="E64" s="143" t="s">
        <v>176</v>
      </c>
      <c r="F64" s="140">
        <v>6.9999999999999999E-4</v>
      </c>
      <c r="G64" s="144">
        <v>10534.99</v>
      </c>
      <c r="H64" s="144">
        <f t="shared" si="3"/>
        <v>7.37</v>
      </c>
    </row>
    <row r="65" spans="1:8" x14ac:dyDescent="0.25">
      <c r="A65" s="140">
        <v>49</v>
      </c>
      <c r="B65" s="140" t="s">
        <v>107</v>
      </c>
      <c r="C65" s="142" t="s">
        <v>211</v>
      </c>
      <c r="D65" s="142" t="s">
        <v>212</v>
      </c>
      <c r="E65" s="143" t="s">
        <v>184</v>
      </c>
      <c r="F65" s="140">
        <v>1.4999999999999999E-4</v>
      </c>
      <c r="G65" s="144">
        <v>41210</v>
      </c>
      <c r="H65" s="144">
        <f t="shared" si="3"/>
        <v>6.18</v>
      </c>
    </row>
    <row r="66" spans="1:8" x14ac:dyDescent="0.25">
      <c r="A66" s="140">
        <v>50</v>
      </c>
      <c r="B66" s="140" t="s">
        <v>107</v>
      </c>
      <c r="C66" s="142" t="s">
        <v>213</v>
      </c>
      <c r="D66" s="142" t="s">
        <v>214</v>
      </c>
      <c r="E66" s="143" t="s">
        <v>215</v>
      </c>
      <c r="F66" s="140">
        <v>0.2</v>
      </c>
      <c r="G66" s="144">
        <v>29.75</v>
      </c>
      <c r="H66" s="144">
        <f t="shared" si="3"/>
        <v>5.95</v>
      </c>
    </row>
    <row r="67" spans="1:8" ht="31.5" customHeight="1" x14ac:dyDescent="0.25">
      <c r="A67" s="140">
        <v>51</v>
      </c>
      <c r="B67" s="140" t="s">
        <v>107</v>
      </c>
      <c r="C67" s="142" t="s">
        <v>216</v>
      </c>
      <c r="D67" s="142" t="s">
        <v>217</v>
      </c>
      <c r="E67" s="143" t="s">
        <v>184</v>
      </c>
      <c r="F67" s="140">
        <v>6.3E-5</v>
      </c>
      <c r="G67" s="144">
        <v>65750</v>
      </c>
      <c r="H67" s="144">
        <f t="shared" si="3"/>
        <v>4.1399999999999997</v>
      </c>
    </row>
    <row r="68" spans="1:8" ht="31.5" customHeight="1" x14ac:dyDescent="0.25">
      <c r="A68" s="140">
        <v>52</v>
      </c>
      <c r="B68" s="140" t="s">
        <v>107</v>
      </c>
      <c r="C68" s="142" t="s">
        <v>218</v>
      </c>
      <c r="D68" s="142" t="s">
        <v>219</v>
      </c>
      <c r="E68" s="143" t="s">
        <v>179</v>
      </c>
      <c r="F68" s="140">
        <v>0.14000000000000001</v>
      </c>
      <c r="G68" s="144">
        <v>28.22</v>
      </c>
      <c r="H68" s="144">
        <f t="shared" si="3"/>
        <v>3.95</v>
      </c>
    </row>
    <row r="69" spans="1:8" ht="31.5" customHeight="1" x14ac:dyDescent="0.25">
      <c r="A69" s="140">
        <v>53</v>
      </c>
      <c r="B69" s="140" t="s">
        <v>107</v>
      </c>
      <c r="C69" s="142" t="s">
        <v>220</v>
      </c>
      <c r="D69" s="142" t="s">
        <v>221</v>
      </c>
      <c r="E69" s="143" t="s">
        <v>184</v>
      </c>
      <c r="F69" s="140">
        <v>1E-4</v>
      </c>
      <c r="G69" s="144">
        <v>37517</v>
      </c>
      <c r="H69" s="144">
        <f t="shared" si="3"/>
        <v>3.75</v>
      </c>
    </row>
    <row r="70" spans="1:8" ht="31.5" customHeight="1" x14ac:dyDescent="0.25">
      <c r="A70" s="140">
        <v>54</v>
      </c>
      <c r="B70" s="140" t="s">
        <v>107</v>
      </c>
      <c r="C70" s="142" t="s">
        <v>222</v>
      </c>
      <c r="D70" s="142" t="s">
        <v>223</v>
      </c>
      <c r="E70" s="143" t="s">
        <v>179</v>
      </c>
      <c r="F70" s="140">
        <v>0.08</v>
      </c>
      <c r="G70" s="144">
        <v>38.340000000000003</v>
      </c>
      <c r="H70" s="144">
        <f t="shared" si="3"/>
        <v>3.07</v>
      </c>
    </row>
    <row r="71" spans="1:8" x14ac:dyDescent="0.25">
      <c r="A71" s="140">
        <v>55</v>
      </c>
      <c r="B71" s="140" t="s">
        <v>107</v>
      </c>
      <c r="C71" s="142" t="s">
        <v>224</v>
      </c>
      <c r="D71" s="142" t="s">
        <v>225</v>
      </c>
      <c r="E71" s="143" t="s">
        <v>184</v>
      </c>
      <c r="F71" s="140">
        <v>5.1000000000000004E-4</v>
      </c>
      <c r="G71" s="144">
        <v>5850</v>
      </c>
      <c r="H71" s="144">
        <f t="shared" si="3"/>
        <v>2.98</v>
      </c>
    </row>
    <row r="72" spans="1:8" x14ac:dyDescent="0.25">
      <c r="A72" s="140">
        <v>56</v>
      </c>
      <c r="B72" s="140" t="s">
        <v>107</v>
      </c>
      <c r="C72" s="142" t="s">
        <v>226</v>
      </c>
      <c r="D72" s="142" t="s">
        <v>227</v>
      </c>
      <c r="E72" s="143" t="s">
        <v>179</v>
      </c>
      <c r="F72" s="140">
        <v>0.3</v>
      </c>
      <c r="G72" s="144">
        <v>9.0399999999999991</v>
      </c>
      <c r="H72" s="144">
        <f t="shared" si="3"/>
        <v>2.71</v>
      </c>
    </row>
    <row r="73" spans="1:8" ht="47.25" customHeight="1" x14ac:dyDescent="0.25">
      <c r="A73" s="140">
        <v>57</v>
      </c>
      <c r="B73" s="140" t="s">
        <v>107</v>
      </c>
      <c r="C73" s="142" t="s">
        <v>228</v>
      </c>
      <c r="D73" s="142" t="s">
        <v>229</v>
      </c>
      <c r="E73" s="143" t="s">
        <v>179</v>
      </c>
      <c r="F73" s="140">
        <v>0.02</v>
      </c>
      <c r="G73" s="144">
        <v>91.29</v>
      </c>
      <c r="H73" s="144">
        <f t="shared" si="3"/>
        <v>1.83</v>
      </c>
    </row>
    <row r="74" spans="1:8" ht="47.25" customHeight="1" x14ac:dyDescent="0.25">
      <c r="A74" s="140">
        <v>58</v>
      </c>
      <c r="B74" s="140" t="s">
        <v>107</v>
      </c>
      <c r="C74" s="142" t="s">
        <v>230</v>
      </c>
      <c r="D74" s="142" t="s">
        <v>231</v>
      </c>
      <c r="E74" s="143" t="s">
        <v>189</v>
      </c>
      <c r="F74" s="140">
        <v>2E-3</v>
      </c>
      <c r="G74" s="144">
        <v>542.1</v>
      </c>
      <c r="H74" s="144">
        <f t="shared" si="3"/>
        <v>1.08</v>
      </c>
    </row>
    <row r="75" spans="1:8" x14ac:dyDescent="0.25">
      <c r="A75" s="140">
        <v>59</v>
      </c>
      <c r="B75" s="140" t="s">
        <v>107</v>
      </c>
      <c r="C75" s="142" t="s">
        <v>232</v>
      </c>
      <c r="D75" s="142" t="s">
        <v>233</v>
      </c>
      <c r="E75" s="143" t="s">
        <v>179</v>
      </c>
      <c r="F75" s="140">
        <v>0.03</v>
      </c>
      <c r="G75" s="144">
        <v>35.630000000000003</v>
      </c>
      <c r="H75" s="144">
        <f t="shared" si="3"/>
        <v>1.07</v>
      </c>
    </row>
    <row r="76" spans="1:8" x14ac:dyDescent="0.25">
      <c r="A76" s="140">
        <v>60</v>
      </c>
      <c r="B76" s="140" t="s">
        <v>107</v>
      </c>
      <c r="C76" s="142" t="s">
        <v>234</v>
      </c>
      <c r="D76" s="142" t="s">
        <v>235</v>
      </c>
      <c r="E76" s="143" t="s">
        <v>179</v>
      </c>
      <c r="F76" s="140">
        <v>0.05</v>
      </c>
      <c r="G76" s="144">
        <v>16.95</v>
      </c>
      <c r="H76" s="144">
        <f t="shared" si="3"/>
        <v>0.85</v>
      </c>
    </row>
    <row r="77" spans="1:8" x14ac:dyDescent="0.25">
      <c r="A77" s="140">
        <v>61</v>
      </c>
      <c r="B77" s="140" t="s">
        <v>107</v>
      </c>
      <c r="C77" s="142" t="s">
        <v>236</v>
      </c>
      <c r="D77" s="142" t="s">
        <v>237</v>
      </c>
      <c r="E77" s="143" t="s">
        <v>184</v>
      </c>
      <c r="F77" s="140">
        <v>4.0000000000000003E-5</v>
      </c>
      <c r="G77" s="144">
        <v>12430</v>
      </c>
      <c r="H77" s="144">
        <f t="shared" si="3"/>
        <v>0.5</v>
      </c>
    </row>
    <row r="78" spans="1:8" ht="31.5" customHeight="1" x14ac:dyDescent="0.25">
      <c r="A78" s="140">
        <v>62</v>
      </c>
      <c r="B78" s="140" t="s">
        <v>107</v>
      </c>
      <c r="C78" s="142" t="s">
        <v>238</v>
      </c>
      <c r="D78" s="142" t="s">
        <v>239</v>
      </c>
      <c r="E78" s="143" t="s">
        <v>184</v>
      </c>
      <c r="F78" s="140">
        <v>2.0000000000000002E-5</v>
      </c>
      <c r="G78" s="144">
        <v>15481</v>
      </c>
      <c r="H78" s="144">
        <f t="shared" si="3"/>
        <v>0.31</v>
      </c>
    </row>
    <row r="79" spans="1:8" x14ac:dyDescent="0.25">
      <c r="A79" s="140">
        <v>63</v>
      </c>
      <c r="B79" s="140" t="s">
        <v>107</v>
      </c>
      <c r="C79" s="142" t="s">
        <v>240</v>
      </c>
      <c r="D79" s="142" t="s">
        <v>241</v>
      </c>
      <c r="E79" s="143" t="s">
        <v>179</v>
      </c>
      <c r="F79" s="140">
        <v>0.02</v>
      </c>
      <c r="G79" s="144">
        <v>15.37</v>
      </c>
      <c r="H79" s="144">
        <f t="shared" si="3"/>
        <v>0.31</v>
      </c>
    </row>
    <row r="80" spans="1:8" x14ac:dyDescent="0.25">
      <c r="A80" s="140">
        <v>64</v>
      </c>
      <c r="B80" s="140" t="s">
        <v>107</v>
      </c>
      <c r="C80" s="142" t="s">
        <v>242</v>
      </c>
      <c r="D80" s="142" t="s">
        <v>243</v>
      </c>
      <c r="E80" s="143" t="s">
        <v>179</v>
      </c>
      <c r="F80" s="140">
        <v>0.01</v>
      </c>
      <c r="G80" s="144">
        <v>27.74</v>
      </c>
      <c r="H80" s="144">
        <f t="shared" si="3"/>
        <v>0.28000000000000003</v>
      </c>
    </row>
    <row r="81" spans="1:8" x14ac:dyDescent="0.25">
      <c r="A81" s="140">
        <v>65</v>
      </c>
      <c r="B81" s="140" t="s">
        <v>107</v>
      </c>
      <c r="C81" s="142" t="s">
        <v>244</v>
      </c>
      <c r="D81" s="142" t="s">
        <v>245</v>
      </c>
      <c r="E81" s="143" t="s">
        <v>184</v>
      </c>
      <c r="F81" s="140">
        <v>2.9999999999999997E-4</v>
      </c>
      <c r="G81" s="144">
        <v>729.98</v>
      </c>
      <c r="H81" s="144">
        <f t="shared" si="3"/>
        <v>0.22</v>
      </c>
    </row>
    <row r="82" spans="1:8" x14ac:dyDescent="0.25">
      <c r="A82" s="140">
        <v>66</v>
      </c>
      <c r="B82" s="140" t="s">
        <v>107</v>
      </c>
      <c r="C82" s="142" t="s">
        <v>246</v>
      </c>
      <c r="D82" s="142" t="s">
        <v>247</v>
      </c>
      <c r="E82" s="143" t="s">
        <v>184</v>
      </c>
      <c r="F82" s="140">
        <v>0.14099999999999999</v>
      </c>
      <c r="G82" s="144"/>
      <c r="H82" s="144">
        <f t="shared" si="3"/>
        <v>0</v>
      </c>
    </row>
    <row r="85" spans="1:8" x14ac:dyDescent="0.25">
      <c r="B85" s="114" t="s">
        <v>75</v>
      </c>
    </row>
    <row r="86" spans="1:8" x14ac:dyDescent="0.25">
      <c r="B86" s="127" t="s">
        <v>76</v>
      </c>
    </row>
    <row r="88" spans="1:8" x14ac:dyDescent="0.25">
      <c r="B88" s="114" t="s">
        <v>77</v>
      </c>
    </row>
    <row r="89" spans="1:8" x14ac:dyDescent="0.25">
      <c r="B89" s="127" t="s">
        <v>78</v>
      </c>
    </row>
  </sheetData>
  <mergeCells count="15">
    <mergeCell ref="A22:E22"/>
    <mergeCell ref="A49:E49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26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248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9" t="s">
        <v>249</v>
      </c>
      <c r="C5" s="199"/>
      <c r="D5" s="199"/>
      <c r="E5" s="199"/>
    </row>
    <row r="6" spans="2:5" x14ac:dyDescent="0.25">
      <c r="B6" s="112"/>
      <c r="C6" s="4"/>
      <c r="D6" s="4"/>
      <c r="E6" s="4"/>
    </row>
    <row r="7" spans="2:5" ht="25.5" customHeight="1" x14ac:dyDescent="0.25">
      <c r="B7" s="220" t="s">
        <v>47</v>
      </c>
      <c r="C7" s="220"/>
      <c r="D7" s="220"/>
      <c r="E7" s="220"/>
    </row>
    <row r="8" spans="2:5" x14ac:dyDescent="0.25">
      <c r="B8" s="221" t="s">
        <v>49</v>
      </c>
      <c r="C8" s="221"/>
      <c r="D8" s="221"/>
      <c r="E8" s="221"/>
    </row>
    <row r="9" spans="2:5" x14ac:dyDescent="0.25">
      <c r="B9" s="112"/>
      <c r="C9" s="4"/>
      <c r="D9" s="4"/>
      <c r="E9" s="4"/>
    </row>
    <row r="10" spans="2:5" ht="51" customHeight="1" x14ac:dyDescent="0.25">
      <c r="B10" s="2" t="s">
        <v>250</v>
      </c>
      <c r="C10" s="2" t="s">
        <v>251</v>
      </c>
      <c r="D10" s="2" t="s">
        <v>252</v>
      </c>
      <c r="E10" s="2" t="s">
        <v>253</v>
      </c>
    </row>
    <row r="11" spans="2:5" x14ac:dyDescent="0.25">
      <c r="B11" s="106" t="s">
        <v>254</v>
      </c>
      <c r="C11" s="107">
        <f>'Прил.5 Расчет СМР и ОБ'!J16</f>
        <v>155428.21</v>
      </c>
      <c r="D11" s="108">
        <f t="shared" ref="D11:D18" si="0">C11/$C$24</f>
        <v>0.36319546522701618</v>
      </c>
      <c r="E11" s="108">
        <f t="shared" ref="E11:E18" si="1">C11/$C$40</f>
        <v>4.4490366415176071E-2</v>
      </c>
    </row>
    <row r="12" spans="2:5" x14ac:dyDescent="0.25">
      <c r="B12" s="106" t="s">
        <v>255</v>
      </c>
      <c r="C12" s="107">
        <f>'Прил.5 Расчет СМР и ОБ'!J24</f>
        <v>10399.630000000001</v>
      </c>
      <c r="D12" s="108">
        <f t="shared" si="0"/>
        <v>2.4301241428688104E-2</v>
      </c>
      <c r="E12" s="108">
        <f t="shared" si="1"/>
        <v>2.9768299415032676E-3</v>
      </c>
    </row>
    <row r="13" spans="2:5" x14ac:dyDescent="0.25">
      <c r="B13" s="106" t="s">
        <v>256</v>
      </c>
      <c r="C13" s="107">
        <f>'Прил.5 Расчет СМР и ОБ'!J29</f>
        <v>1694.61</v>
      </c>
      <c r="D13" s="108">
        <f t="shared" si="0"/>
        <v>3.9598646045550792E-3</v>
      </c>
      <c r="E13" s="108">
        <f t="shared" si="1"/>
        <v>4.8507165996971544E-4</v>
      </c>
    </row>
    <row r="14" spans="2:5" x14ac:dyDescent="0.25">
      <c r="B14" s="106" t="s">
        <v>257</v>
      </c>
      <c r="C14" s="107">
        <f>C13+C12</f>
        <v>12094.240000000002</v>
      </c>
      <c r="D14" s="108">
        <f t="shared" si="0"/>
        <v>2.8261106033243184E-2</v>
      </c>
      <c r="E14" s="108">
        <f t="shared" si="1"/>
        <v>3.4619016014729833E-3</v>
      </c>
    </row>
    <row r="15" spans="2:5" x14ac:dyDescent="0.25">
      <c r="B15" s="106" t="s">
        <v>258</v>
      </c>
      <c r="C15" s="107">
        <f>'Прил.5 Расчет СМР и ОБ'!J18</f>
        <v>3411.68</v>
      </c>
      <c r="D15" s="108">
        <f t="shared" si="0"/>
        <v>7.9722124111556488E-3</v>
      </c>
      <c r="E15" s="108">
        <f t="shared" si="1"/>
        <v>9.7657235640382072E-4</v>
      </c>
    </row>
    <row r="16" spans="2:5" x14ac:dyDescent="0.25">
      <c r="B16" s="106" t="s">
        <v>259</v>
      </c>
      <c r="C16" s="107">
        <f>'Прил.5 Расчет СМР и ОБ'!J56</f>
        <v>29387.11</v>
      </c>
      <c r="D16" s="108">
        <f t="shared" si="0"/>
        <v>6.867006374278839E-2</v>
      </c>
      <c r="E16" s="108">
        <f t="shared" si="1"/>
        <v>8.4118789747568024E-3</v>
      </c>
    </row>
    <row r="17" spans="2:6" x14ac:dyDescent="0.25">
      <c r="B17" s="106" t="s">
        <v>260</v>
      </c>
      <c r="C17" s="107">
        <f>'Прил.5 Расчет СМР и ОБ'!J89</f>
        <v>7072.6400000000012</v>
      </c>
      <c r="D17" s="108">
        <f t="shared" si="0"/>
        <v>1.6526927609751177E-2</v>
      </c>
      <c r="E17" s="108">
        <f t="shared" si="1"/>
        <v>2.0244995752227409E-3</v>
      </c>
    </row>
    <row r="18" spans="2:6" x14ac:dyDescent="0.25">
      <c r="B18" s="106" t="s">
        <v>261</v>
      </c>
      <c r="C18" s="107">
        <f>C17+C16</f>
        <v>36459.75</v>
      </c>
      <c r="D18" s="108">
        <f t="shared" si="0"/>
        <v>8.5196991352539567E-2</v>
      </c>
      <c r="E18" s="108">
        <f t="shared" si="1"/>
        <v>1.0436378549979542E-2</v>
      </c>
    </row>
    <row r="19" spans="2:6" x14ac:dyDescent="0.25">
      <c r="B19" s="106" t="s">
        <v>262</v>
      </c>
      <c r="C19" s="107">
        <f>C18+C14+C11</f>
        <v>203982.2</v>
      </c>
      <c r="D19" s="108"/>
      <c r="E19" s="106"/>
    </row>
    <row r="20" spans="2:6" x14ac:dyDescent="0.25">
      <c r="B20" s="106" t="s">
        <v>263</v>
      </c>
      <c r="C20" s="107">
        <f>ROUND(C21*(C11+C15),2)</f>
        <v>76243.149999999994</v>
      </c>
      <c r="D20" s="108">
        <f>C20/$C$24</f>
        <v>0.17816049180919716</v>
      </c>
      <c r="E20" s="108">
        <f>C20/$C$40</f>
        <v>2.1824131411841075E-2</v>
      </c>
    </row>
    <row r="21" spans="2:6" x14ac:dyDescent="0.25">
      <c r="B21" s="106" t="s">
        <v>264</v>
      </c>
      <c r="C21" s="111">
        <f>'Прил.5 Расчет СМР и ОБ'!D93</f>
        <v>0.48</v>
      </c>
      <c r="D21" s="108"/>
      <c r="E21" s="106"/>
    </row>
    <row r="22" spans="2:6" x14ac:dyDescent="0.25">
      <c r="B22" s="106" t="s">
        <v>265</v>
      </c>
      <c r="C22" s="107">
        <f>ROUND(C23*(C11+C15),2)</f>
        <v>147721.1</v>
      </c>
      <c r="D22" s="108">
        <f>C22/$C$24</f>
        <v>0.34518594557800403</v>
      </c>
      <c r="E22" s="108">
        <f>C22/$C$40</f>
        <v>4.2284253715930115E-2</v>
      </c>
    </row>
    <row r="23" spans="2:6" x14ac:dyDescent="0.25">
      <c r="B23" s="106" t="s">
        <v>266</v>
      </c>
      <c r="C23" s="111">
        <f>'Прил.5 Расчет СМР и ОБ'!D92</f>
        <v>0.93</v>
      </c>
      <c r="D23" s="108"/>
      <c r="E23" s="106"/>
    </row>
    <row r="24" spans="2:6" x14ac:dyDescent="0.25">
      <c r="B24" s="106" t="s">
        <v>267</v>
      </c>
      <c r="C24" s="107">
        <f>C19+C20+C22</f>
        <v>427946.44999999995</v>
      </c>
      <c r="D24" s="108">
        <f>C24/$C$24</f>
        <v>1</v>
      </c>
      <c r="E24" s="108">
        <f>C24/$C$40</f>
        <v>0.12249703169439978</v>
      </c>
    </row>
    <row r="25" spans="2:6" ht="25.5" customHeight="1" x14ac:dyDescent="0.25">
      <c r="B25" s="106" t="s">
        <v>268</v>
      </c>
      <c r="C25" s="107">
        <f>'Прил.5 Расчет СМР и ОБ'!J51</f>
        <v>2713282.95</v>
      </c>
      <c r="D25" s="108"/>
      <c r="E25" s="108">
        <f>C25/$C$40</f>
        <v>0.77666050862677938</v>
      </c>
    </row>
    <row r="26" spans="2:6" ht="25.5" customHeight="1" x14ac:dyDescent="0.25">
      <c r="B26" s="106" t="s">
        <v>269</v>
      </c>
      <c r="C26" s="107">
        <f>'Прил.5 Расчет СМР и ОБ'!J52</f>
        <v>2713282.94</v>
      </c>
      <c r="D26" s="108"/>
      <c r="E26" s="108">
        <f>C26/$C$40</f>
        <v>0.77666050576434098</v>
      </c>
    </row>
    <row r="27" spans="2:6" x14ac:dyDescent="0.25">
      <c r="B27" s="106" t="s">
        <v>270</v>
      </c>
      <c r="C27" s="110">
        <f>C24+C25</f>
        <v>3141229.4000000004</v>
      </c>
      <c r="D27" s="108"/>
      <c r="E27" s="108">
        <f>C27/$C$40</f>
        <v>0.89915754032117923</v>
      </c>
    </row>
    <row r="28" spans="2:6" ht="33" customHeight="1" x14ac:dyDescent="0.25">
      <c r="B28" s="106" t="s">
        <v>271</v>
      </c>
      <c r="C28" s="106"/>
      <c r="D28" s="106"/>
      <c r="E28" s="106"/>
      <c r="F28" s="109"/>
    </row>
    <row r="29" spans="2:6" ht="25.5" customHeight="1" x14ac:dyDescent="0.25">
      <c r="B29" s="106" t="s">
        <v>272</v>
      </c>
      <c r="C29" s="192">
        <f>ROUND(C24*3.9%,2)</f>
        <v>16689.91</v>
      </c>
      <c r="D29" s="193"/>
      <c r="E29" s="194">
        <f t="shared" ref="E29:E38" si="2">C29/$C$40</f>
        <v>4.7773837924036527E-3</v>
      </c>
    </row>
    <row r="30" spans="2:6" ht="38.25" customHeight="1" x14ac:dyDescent="0.25">
      <c r="B30" s="106" t="s">
        <v>273</v>
      </c>
      <c r="C30" s="192">
        <f>ROUND((C24+C29)*2.1%,2)</f>
        <v>9337.36</v>
      </c>
      <c r="D30" s="193"/>
      <c r="E30" s="194">
        <f t="shared" si="2"/>
        <v>2.672761706194831E-3</v>
      </c>
      <c r="F30" s="109"/>
    </row>
    <row r="31" spans="2:6" x14ac:dyDescent="0.25">
      <c r="B31" s="106" t="s">
        <v>274</v>
      </c>
      <c r="C31" s="192">
        <v>160620</v>
      </c>
      <c r="D31" s="193"/>
      <c r="E31" s="194">
        <f t="shared" si="2"/>
        <v>4.5976484279176742E-2</v>
      </c>
    </row>
    <row r="32" spans="2:6" ht="25.5" customHeight="1" x14ac:dyDescent="0.25">
      <c r="B32" s="106" t="s">
        <v>275</v>
      </c>
      <c r="C32" s="192">
        <v>0</v>
      </c>
      <c r="D32" s="193"/>
      <c r="E32" s="194">
        <f t="shared" si="2"/>
        <v>0</v>
      </c>
    </row>
    <row r="33" spans="2:11" ht="25.5" customHeight="1" x14ac:dyDescent="0.25">
      <c r="B33" s="106" t="s">
        <v>276</v>
      </c>
      <c r="C33" s="192">
        <v>0</v>
      </c>
      <c r="D33" s="193"/>
      <c r="E33" s="194">
        <f t="shared" si="2"/>
        <v>0</v>
      </c>
    </row>
    <row r="34" spans="2:11" ht="51" customHeight="1" x14ac:dyDescent="0.25">
      <c r="B34" s="106" t="s">
        <v>277</v>
      </c>
      <c r="C34" s="110">
        <v>0</v>
      </c>
      <c r="D34" s="106"/>
      <c r="E34" s="108">
        <f t="shared" si="2"/>
        <v>0</v>
      </c>
      <c r="G34" s="145"/>
    </row>
    <row r="35" spans="2:11" ht="76.5" customHeight="1" x14ac:dyDescent="0.25">
      <c r="B35" s="106" t="s">
        <v>278</v>
      </c>
      <c r="C35" s="192">
        <v>0</v>
      </c>
      <c r="D35" s="106"/>
      <c r="E35" s="108">
        <f t="shared" si="2"/>
        <v>0</v>
      </c>
    </row>
    <row r="36" spans="2:11" ht="25.5" customHeight="1" x14ac:dyDescent="0.25">
      <c r="B36" s="106" t="s">
        <v>279</v>
      </c>
      <c r="C36" s="110">
        <f>ROUND((C27+C32+C33+C34+C35+C29+C31+C30)*1.72%,2)</f>
        <v>57239.48</v>
      </c>
      <c r="D36" s="106"/>
      <c r="E36" s="108">
        <f t="shared" si="2"/>
        <v>1.6384448090949143E-2</v>
      </c>
      <c r="K36" s="109"/>
    </row>
    <row r="37" spans="2:11" x14ac:dyDescent="0.25">
      <c r="B37" s="106" t="s">
        <v>280</v>
      </c>
      <c r="C37" s="110">
        <f>ROUND((C27+C32+C33+C34+C35+C29+C31+C30)*0.2%,2)</f>
        <v>6655.75</v>
      </c>
      <c r="D37" s="106"/>
      <c r="E37" s="108">
        <f t="shared" si="2"/>
        <v>1.9051673841435101E-3</v>
      </c>
      <c r="K37" s="109"/>
    </row>
    <row r="38" spans="2:11" ht="38.25" customHeight="1" x14ac:dyDescent="0.25">
      <c r="B38" s="106" t="s">
        <v>281</v>
      </c>
      <c r="C38" s="107">
        <f>C27+C32+C33+C34+C35+C29+C31+C30+C36+C37</f>
        <v>3391771.9000000004</v>
      </c>
      <c r="D38" s="106"/>
      <c r="E38" s="108">
        <f t="shared" si="2"/>
        <v>0.97087378557404702</v>
      </c>
    </row>
    <row r="39" spans="2:11" ht="13.5" customHeight="1" x14ac:dyDescent="0.25">
      <c r="B39" s="106" t="s">
        <v>282</v>
      </c>
      <c r="C39" s="107">
        <f>ROUND(C38*3%,2)</f>
        <v>101753.16</v>
      </c>
      <c r="D39" s="106"/>
      <c r="E39" s="108">
        <f>C39/$C$38</f>
        <v>3.0000000884493439E-2</v>
      </c>
    </row>
    <row r="40" spans="2:11" x14ac:dyDescent="0.25">
      <c r="B40" s="106" t="s">
        <v>283</v>
      </c>
      <c r="C40" s="107">
        <f>C39+C38</f>
        <v>3493525.0600000005</v>
      </c>
      <c r="D40" s="106"/>
      <c r="E40" s="108">
        <f>C40/$C$40</f>
        <v>1</v>
      </c>
    </row>
    <row r="41" spans="2:11" x14ac:dyDescent="0.25">
      <c r="B41" s="106" t="s">
        <v>284</v>
      </c>
      <c r="C41" s="107">
        <f>C40/'Прил.5 Расчет СМР и ОБ'!E96</f>
        <v>3493525.0600000005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285</v>
      </c>
      <c r="C43" s="4"/>
      <c r="D43" s="4"/>
      <c r="E43" s="4"/>
    </row>
    <row r="44" spans="2:11" x14ac:dyDescent="0.25">
      <c r="B44" s="113" t="s">
        <v>286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287</v>
      </c>
      <c r="C46" s="4"/>
      <c r="D46" s="4"/>
      <c r="E46" s="4"/>
    </row>
    <row r="47" spans="2:11" x14ac:dyDescent="0.25">
      <c r="B47" s="221" t="s">
        <v>288</v>
      </c>
      <c r="C47" s="221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2"/>
  <sheetViews>
    <sheetView tabSelected="1" view="pageBreakPreview" zoomScale="40" zoomScaleSheetLayoutView="40" workbookViewId="0">
      <selection activeCell="AN52" sqref="AN5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2" t="s">
        <v>289</v>
      </c>
      <c r="I2" s="222"/>
      <c r="J2" s="222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9" t="s">
        <v>290</v>
      </c>
      <c r="B4" s="199"/>
      <c r="C4" s="199"/>
      <c r="D4" s="199"/>
      <c r="E4" s="199"/>
      <c r="F4" s="199"/>
      <c r="G4" s="199"/>
      <c r="H4" s="199"/>
      <c r="I4" s="199"/>
      <c r="J4" s="199"/>
    </row>
    <row r="5" spans="1:14" s="4" customFormat="1" ht="12.75" customHeight="1" x14ac:dyDescent="0.2">
      <c r="A5" s="185"/>
      <c r="B5" s="185"/>
      <c r="C5" s="29"/>
      <c r="D5" s="185"/>
      <c r="E5" s="185"/>
      <c r="F5" s="185"/>
      <c r="G5" s="185"/>
      <c r="H5" s="185"/>
      <c r="I5" s="185"/>
      <c r="J5" s="185"/>
    </row>
    <row r="6" spans="1:14" s="4" customFormat="1" ht="12.75" customHeight="1" x14ac:dyDescent="0.2">
      <c r="A6" s="146" t="s">
        <v>291</v>
      </c>
      <c r="B6" s="147"/>
      <c r="C6" s="147"/>
      <c r="D6" s="228" t="s">
        <v>292</v>
      </c>
      <c r="E6" s="228"/>
      <c r="F6" s="228"/>
      <c r="G6" s="228"/>
      <c r="H6" s="228"/>
      <c r="I6" s="228"/>
      <c r="J6" s="228"/>
    </row>
    <row r="7" spans="1:14" s="4" customFormat="1" ht="12.75" customHeight="1" x14ac:dyDescent="0.2">
      <c r="A7" s="202" t="s">
        <v>49</v>
      </c>
      <c r="B7" s="220"/>
      <c r="C7" s="220"/>
      <c r="D7" s="220"/>
      <c r="E7" s="220"/>
      <c r="F7" s="220"/>
      <c r="G7" s="220"/>
      <c r="H7" s="220"/>
      <c r="I7" s="43"/>
      <c r="J7" s="43"/>
    </row>
    <row r="8" spans="1:14" s="4" customFormat="1" ht="13.5" customHeight="1" x14ac:dyDescent="0.2">
      <c r="A8" s="202"/>
      <c r="B8" s="220"/>
      <c r="C8" s="220"/>
      <c r="D8" s="220"/>
      <c r="E8" s="220"/>
      <c r="F8" s="220"/>
      <c r="G8" s="220"/>
      <c r="H8" s="220"/>
    </row>
    <row r="9" spans="1:14" ht="27" customHeight="1" x14ac:dyDescent="0.25">
      <c r="A9" s="225" t="s">
        <v>13</v>
      </c>
      <c r="B9" s="225" t="s">
        <v>98</v>
      </c>
      <c r="C9" s="225" t="s">
        <v>250</v>
      </c>
      <c r="D9" s="225" t="s">
        <v>100</v>
      </c>
      <c r="E9" s="226" t="s">
        <v>293</v>
      </c>
      <c r="F9" s="223" t="s">
        <v>102</v>
      </c>
      <c r="G9" s="224"/>
      <c r="H9" s="226" t="s">
        <v>294</v>
      </c>
      <c r="I9" s="223" t="s">
        <v>295</v>
      </c>
      <c r="J9" s="224"/>
      <c r="M9" s="12"/>
      <c r="N9" s="12"/>
    </row>
    <row r="10" spans="1:14" ht="28.5" customHeight="1" x14ac:dyDescent="0.25">
      <c r="A10" s="225"/>
      <c r="B10" s="225"/>
      <c r="C10" s="225"/>
      <c r="D10" s="225"/>
      <c r="E10" s="227"/>
      <c r="F10" s="2" t="s">
        <v>296</v>
      </c>
      <c r="G10" s="2" t="s">
        <v>104</v>
      </c>
      <c r="H10" s="227"/>
      <c r="I10" s="2" t="s">
        <v>296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4">
        <v>9</v>
      </c>
      <c r="J11" s="184">
        <v>10</v>
      </c>
      <c r="M11" s="12"/>
      <c r="N11" s="12"/>
    </row>
    <row r="12" spans="1:14" x14ac:dyDescent="0.25">
      <c r="A12" s="2"/>
      <c r="B12" s="233" t="s">
        <v>297</v>
      </c>
      <c r="C12" s="234"/>
      <c r="D12" s="225"/>
      <c r="E12" s="235"/>
      <c r="F12" s="236"/>
      <c r="G12" s="236"/>
      <c r="H12" s="237"/>
      <c r="I12" s="148"/>
      <c r="J12" s="148"/>
    </row>
    <row r="13" spans="1:14" ht="25.5" customHeight="1" x14ac:dyDescent="0.25">
      <c r="A13" s="2">
        <v>1</v>
      </c>
      <c r="B13" s="149" t="s">
        <v>108</v>
      </c>
      <c r="C13" s="8" t="s">
        <v>298</v>
      </c>
      <c r="D13" s="2" t="s">
        <v>299</v>
      </c>
      <c r="E13" s="150">
        <f>G13/F13</f>
        <v>312.76914893617015</v>
      </c>
      <c r="F13" s="27">
        <v>9.4</v>
      </c>
      <c r="G13" s="27">
        <f>Прил.3!H12-SUM(Прил.3!H16:H17)</f>
        <v>2940.0299999999997</v>
      </c>
      <c r="H13" s="151">
        <f>G13/$G$16</f>
        <v>0.86134280214806147</v>
      </c>
      <c r="I13" s="27">
        <f>ФОТр.тек.!E13</f>
        <v>433.78619657747998</v>
      </c>
      <c r="J13" s="27">
        <f>ROUND(I13*E13,2)</f>
        <v>135674.94</v>
      </c>
    </row>
    <row r="14" spans="1:14" x14ac:dyDescent="0.25">
      <c r="A14" s="2">
        <v>2</v>
      </c>
      <c r="B14" s="149" t="s">
        <v>300</v>
      </c>
      <c r="C14" s="8" t="s">
        <v>116</v>
      </c>
      <c r="D14" s="2" t="s">
        <v>299</v>
      </c>
      <c r="E14" s="150">
        <f>G14/F14</f>
        <v>16</v>
      </c>
      <c r="F14" s="27">
        <v>15.49</v>
      </c>
      <c r="G14" s="27">
        <f>Прил.3!H16</f>
        <v>247.84</v>
      </c>
      <c r="H14" s="151">
        <f>G14/$G$16</f>
        <v>7.2609871356542482E-2</v>
      </c>
      <c r="I14" s="27">
        <f>ФОТр.тек.!E14</f>
        <v>645.82616229093003</v>
      </c>
      <c r="J14" s="27">
        <f>ROUND(I14*E14,2)</f>
        <v>10333.219999999999</v>
      </c>
    </row>
    <row r="15" spans="1:14" x14ac:dyDescent="0.25">
      <c r="A15" s="2">
        <v>3</v>
      </c>
      <c r="B15" s="149" t="s">
        <v>301</v>
      </c>
      <c r="C15" s="8" t="s">
        <v>118</v>
      </c>
      <c r="D15" s="2" t="s">
        <v>299</v>
      </c>
      <c r="E15" s="150">
        <f>G15/F15</f>
        <v>16</v>
      </c>
      <c r="F15" s="27">
        <v>14.09</v>
      </c>
      <c r="G15" s="27">
        <f>Прил.3!H17</f>
        <v>225.44</v>
      </c>
      <c r="H15" s="151">
        <f>G15/$G$16</f>
        <v>6.6047326495395964E-2</v>
      </c>
      <c r="I15" s="27">
        <f>ФОТр.тек.!E15</f>
        <v>588.75315260009995</v>
      </c>
      <c r="J15" s="27">
        <f>ROUND(I15*E15,2)</f>
        <v>9420.0499999999993</v>
      </c>
    </row>
    <row r="16" spans="1:14" s="12" customFormat="1" ht="25.5" customHeight="1" x14ac:dyDescent="0.2">
      <c r="A16" s="2"/>
      <c r="B16" s="2"/>
      <c r="C16" s="158" t="s">
        <v>302</v>
      </c>
      <c r="D16" s="2" t="s">
        <v>299</v>
      </c>
      <c r="E16" s="150">
        <f>SUM(E13:E15)</f>
        <v>344.76914893617015</v>
      </c>
      <c r="F16" s="27"/>
      <c r="G16" s="27">
        <f>SUM(G13:G15)</f>
        <v>3413.31</v>
      </c>
      <c r="H16" s="187">
        <v>1</v>
      </c>
      <c r="I16" s="148"/>
      <c r="J16" s="27">
        <f>SUM(J13:J15)</f>
        <v>155428.21</v>
      </c>
    </row>
    <row r="17" spans="1:10" s="12" customFormat="1" ht="14.25" customHeight="1" x14ac:dyDescent="0.2">
      <c r="A17" s="2"/>
      <c r="B17" s="234" t="s">
        <v>127</v>
      </c>
      <c r="C17" s="234"/>
      <c r="D17" s="225"/>
      <c r="E17" s="235"/>
      <c r="F17" s="236"/>
      <c r="G17" s="236"/>
      <c r="H17" s="237"/>
      <c r="I17" s="148"/>
      <c r="J17" s="148"/>
    </row>
    <row r="18" spans="1:10" s="12" customFormat="1" ht="14.25" customHeight="1" x14ac:dyDescent="0.2">
      <c r="A18" s="2">
        <v>4</v>
      </c>
      <c r="B18" s="2">
        <v>2</v>
      </c>
      <c r="C18" s="8" t="s">
        <v>127</v>
      </c>
      <c r="D18" s="2" t="s">
        <v>299</v>
      </c>
      <c r="E18" s="150">
        <f>Прил.3!F23</f>
        <v>7.33</v>
      </c>
      <c r="F18" s="27">
        <f>G18/E18</f>
        <v>10.508867667121418</v>
      </c>
      <c r="G18" s="27">
        <f>Прил.3!H22</f>
        <v>77.03</v>
      </c>
      <c r="H18" s="187">
        <v>1</v>
      </c>
      <c r="I18" s="27">
        <f>ROUND(F18*Прил.10!D11,2)</f>
        <v>465.44</v>
      </c>
      <c r="J18" s="27">
        <f>ROUND(I18*E18,2)</f>
        <v>3411.68</v>
      </c>
    </row>
    <row r="19" spans="1:10" s="12" customFormat="1" ht="14.25" customHeight="1" x14ac:dyDescent="0.2">
      <c r="A19" s="2"/>
      <c r="B19" s="233" t="s">
        <v>128</v>
      </c>
      <c r="C19" s="234"/>
      <c r="D19" s="225"/>
      <c r="E19" s="235"/>
      <c r="F19" s="236"/>
      <c r="G19" s="236"/>
      <c r="H19" s="237"/>
      <c r="I19" s="148"/>
      <c r="J19" s="148"/>
    </row>
    <row r="20" spans="1:10" s="12" customFormat="1" ht="14.25" customHeight="1" x14ac:dyDescent="0.2">
      <c r="A20" s="2"/>
      <c r="B20" s="234" t="s">
        <v>303</v>
      </c>
      <c r="C20" s="234"/>
      <c r="D20" s="225"/>
      <c r="E20" s="235"/>
      <c r="F20" s="236"/>
      <c r="G20" s="236"/>
      <c r="H20" s="237"/>
      <c r="I20" s="148"/>
      <c r="J20" s="148"/>
    </row>
    <row r="21" spans="1:10" s="12" customFormat="1" ht="14.25" customHeight="1" x14ac:dyDescent="0.2">
      <c r="A21" s="2">
        <v>5</v>
      </c>
      <c r="B21" s="149" t="s">
        <v>129</v>
      </c>
      <c r="C21" s="8" t="s">
        <v>130</v>
      </c>
      <c r="D21" s="2" t="s">
        <v>131</v>
      </c>
      <c r="E21" s="150">
        <v>5.98</v>
      </c>
      <c r="F21" s="152">
        <v>89.99</v>
      </c>
      <c r="G21" s="27">
        <f>ROUND(E21*F21,2)</f>
        <v>538.14</v>
      </c>
      <c r="H21" s="151">
        <f>G21/$G$30</f>
        <v>0.59935179925824444</v>
      </c>
      <c r="I21" s="27">
        <f>ROUND(F21*Прил.10!$D$12,2)</f>
        <v>1212.17</v>
      </c>
      <c r="J21" s="27">
        <f>ROUND(I21*E21,2)</f>
        <v>7248.78</v>
      </c>
    </row>
    <row r="22" spans="1:10" s="12" customFormat="1" ht="25.5" customHeight="1" x14ac:dyDescent="0.2">
      <c r="A22" s="2">
        <v>6</v>
      </c>
      <c r="B22" s="149" t="s">
        <v>132</v>
      </c>
      <c r="C22" s="8" t="s">
        <v>133</v>
      </c>
      <c r="D22" s="2" t="s">
        <v>131</v>
      </c>
      <c r="E22" s="150">
        <v>19.760000000000002</v>
      </c>
      <c r="F22" s="152">
        <v>8.1</v>
      </c>
      <c r="G22" s="27">
        <f>ROUND(E22*F22,2)</f>
        <v>160.06</v>
      </c>
      <c r="H22" s="151">
        <f>G22/$G$30</f>
        <v>0.1782663414525488</v>
      </c>
      <c r="I22" s="27">
        <f>ROUND(F22*Прил.10!$D$12,2)</f>
        <v>109.11</v>
      </c>
      <c r="J22" s="27">
        <f>ROUND(I22*E22,2)</f>
        <v>2156.0100000000002</v>
      </c>
    </row>
    <row r="23" spans="1:10" s="12" customFormat="1" ht="25.5" customHeight="1" x14ac:dyDescent="0.2">
      <c r="A23" s="2">
        <v>7</v>
      </c>
      <c r="B23" s="149" t="s">
        <v>134</v>
      </c>
      <c r="C23" s="8" t="s">
        <v>135</v>
      </c>
      <c r="D23" s="2" t="s">
        <v>131</v>
      </c>
      <c r="E23" s="150">
        <v>0.64</v>
      </c>
      <c r="F23" s="152">
        <v>115.4</v>
      </c>
      <c r="G23" s="27">
        <f>ROUND(E23*F23,2)</f>
        <v>73.86</v>
      </c>
      <c r="H23" s="151">
        <f>G23/$G$30</f>
        <v>8.2261351866083049E-2</v>
      </c>
      <c r="I23" s="27">
        <f>ROUND(F23*Прил.10!$D$12,2)</f>
        <v>1554.44</v>
      </c>
      <c r="J23" s="27">
        <f>ROUND(I23*E23,2)</f>
        <v>994.84</v>
      </c>
    </row>
    <row r="24" spans="1:10" s="12" customFormat="1" ht="14.25" customHeight="1" x14ac:dyDescent="0.2">
      <c r="A24" s="2"/>
      <c r="B24" s="2"/>
      <c r="C24" s="8" t="s">
        <v>304</v>
      </c>
      <c r="D24" s="2"/>
      <c r="E24" s="150"/>
      <c r="F24" s="27"/>
      <c r="G24" s="27">
        <f>SUM(G21:G23)</f>
        <v>772.06000000000006</v>
      </c>
      <c r="H24" s="187">
        <f>G24/G30</f>
        <v>0.85987949257687635</v>
      </c>
      <c r="I24" s="153"/>
      <c r="J24" s="27">
        <f>SUM(J21:J23)</f>
        <v>10399.630000000001</v>
      </c>
    </row>
    <row r="25" spans="1:10" s="12" customFormat="1" ht="25.5" hidden="1" customHeight="1" outlineLevel="1" x14ac:dyDescent="0.2">
      <c r="A25" s="2">
        <v>8</v>
      </c>
      <c r="B25" s="149" t="s">
        <v>136</v>
      </c>
      <c r="C25" s="8" t="s">
        <v>137</v>
      </c>
      <c r="D25" s="2" t="s">
        <v>131</v>
      </c>
      <c r="E25" s="150">
        <v>0.71</v>
      </c>
      <c r="F25" s="152">
        <v>65.709999999999994</v>
      </c>
      <c r="G25" s="27">
        <f>ROUND(E25*F25,2)</f>
        <v>46.65</v>
      </c>
      <c r="H25" s="151">
        <f>G25/$G$30</f>
        <v>5.195629656854555E-2</v>
      </c>
      <c r="I25" s="27">
        <f>ROUND(F25*Прил.10!$D$12,2)</f>
        <v>885.11</v>
      </c>
      <c r="J25" s="27">
        <f>ROUND(I25*E25,2)</f>
        <v>628.42999999999995</v>
      </c>
    </row>
    <row r="26" spans="1:10" s="12" customFormat="1" ht="25.5" hidden="1" customHeight="1" outlineLevel="1" x14ac:dyDescent="0.2">
      <c r="A26" s="2">
        <v>9</v>
      </c>
      <c r="B26" s="149" t="s">
        <v>138</v>
      </c>
      <c r="C26" s="8" t="s">
        <v>139</v>
      </c>
      <c r="D26" s="2" t="s">
        <v>131</v>
      </c>
      <c r="E26" s="150">
        <v>3.68</v>
      </c>
      <c r="F26" s="152">
        <v>12.14</v>
      </c>
      <c r="G26" s="27">
        <f>ROUND(E26*F26,2)</f>
        <v>44.68</v>
      </c>
      <c r="H26" s="151">
        <f>G26/$G$30</f>
        <v>4.976221501999175E-2</v>
      </c>
      <c r="I26" s="27">
        <f>ROUND(F26*Прил.10!$D$12,2)</f>
        <v>163.53</v>
      </c>
      <c r="J26" s="27">
        <f>ROUND(I26*E26,2)</f>
        <v>601.79</v>
      </c>
    </row>
    <row r="27" spans="1:10" s="12" customFormat="1" ht="14.25" hidden="1" customHeight="1" outlineLevel="1" x14ac:dyDescent="0.2">
      <c r="A27" s="2">
        <v>10</v>
      </c>
      <c r="B27" s="149" t="s">
        <v>140</v>
      </c>
      <c r="C27" s="8" t="s">
        <v>141</v>
      </c>
      <c r="D27" s="2" t="s">
        <v>131</v>
      </c>
      <c r="E27" s="150">
        <v>2.59</v>
      </c>
      <c r="F27" s="152">
        <v>10.62</v>
      </c>
      <c r="G27" s="27">
        <f>ROUND(E27*F27,2)</f>
        <v>27.51</v>
      </c>
      <c r="H27" s="151">
        <f>G27/$G$30</f>
        <v>3.0639179391225898E-2</v>
      </c>
      <c r="I27" s="27">
        <f>ROUND(F27*Прил.10!$D$12,2)</f>
        <v>143.05000000000001</v>
      </c>
      <c r="J27" s="27">
        <f>ROUND(I27*E27,2)</f>
        <v>370.5</v>
      </c>
    </row>
    <row r="28" spans="1:10" s="12" customFormat="1" ht="25.5" hidden="1" customHeight="1" outlineLevel="1" x14ac:dyDescent="0.2">
      <c r="A28" s="2">
        <v>11</v>
      </c>
      <c r="B28" s="149" t="s">
        <v>142</v>
      </c>
      <c r="C28" s="8" t="s">
        <v>143</v>
      </c>
      <c r="D28" s="2" t="s">
        <v>131</v>
      </c>
      <c r="E28" s="150">
        <v>4.0999999999999996</v>
      </c>
      <c r="F28" s="152">
        <v>1.7</v>
      </c>
      <c r="G28" s="27">
        <f>ROUND(E28*F28,2)</f>
        <v>6.97</v>
      </c>
      <c r="H28" s="151">
        <f>G28/$G$30</f>
        <v>7.7628164433603958E-3</v>
      </c>
      <c r="I28" s="27">
        <f>ROUND(F28*Прил.10!$D$12,2)</f>
        <v>22.9</v>
      </c>
      <c r="J28" s="27">
        <f>ROUND(I28*E28,2)</f>
        <v>93.89</v>
      </c>
    </row>
    <row r="29" spans="1:10" s="12" customFormat="1" ht="14.25" customHeight="1" collapsed="1" x14ac:dyDescent="0.2">
      <c r="A29" s="2"/>
      <c r="B29" s="2"/>
      <c r="C29" s="8" t="s">
        <v>305</v>
      </c>
      <c r="D29" s="2"/>
      <c r="E29" s="186"/>
      <c r="F29" s="27"/>
      <c r="G29" s="153">
        <f>SUM(G25:G28)</f>
        <v>125.81</v>
      </c>
      <c r="H29" s="151">
        <f>G29/G30</f>
        <v>0.1401205074231236</v>
      </c>
      <c r="I29" s="27"/>
      <c r="J29" s="27">
        <f>SUM(J25:J28)</f>
        <v>1694.61</v>
      </c>
    </row>
    <row r="30" spans="1:10" s="12" customFormat="1" ht="25.5" customHeight="1" x14ac:dyDescent="0.2">
      <c r="A30" s="2"/>
      <c r="B30" s="2"/>
      <c r="C30" s="158" t="s">
        <v>306</v>
      </c>
      <c r="D30" s="2"/>
      <c r="E30" s="186"/>
      <c r="F30" s="27"/>
      <c r="G30" s="27">
        <f>G29+G24</f>
        <v>897.87000000000012</v>
      </c>
      <c r="H30" s="154">
        <v>1</v>
      </c>
      <c r="I30" s="155"/>
      <c r="J30" s="156">
        <f>J29+J24</f>
        <v>12094.240000000002</v>
      </c>
    </row>
    <row r="31" spans="1:10" s="12" customFormat="1" ht="14.25" customHeight="1" x14ac:dyDescent="0.2">
      <c r="A31" s="2"/>
      <c r="B31" s="233" t="s">
        <v>43</v>
      </c>
      <c r="C31" s="233"/>
      <c r="D31" s="238"/>
      <c r="E31" s="239"/>
      <c r="F31" s="240"/>
      <c r="G31" s="240"/>
      <c r="H31" s="241"/>
      <c r="I31" s="148"/>
      <c r="J31" s="148"/>
    </row>
    <row r="32" spans="1:10" x14ac:dyDescent="0.25">
      <c r="A32" s="2"/>
      <c r="B32" s="234" t="s">
        <v>307</v>
      </c>
      <c r="C32" s="234"/>
      <c r="D32" s="225"/>
      <c r="E32" s="235"/>
      <c r="F32" s="236"/>
      <c r="G32" s="236"/>
      <c r="H32" s="237"/>
      <c r="I32" s="148"/>
      <c r="J32" s="148"/>
    </row>
    <row r="33" spans="1:10" s="12" customFormat="1" ht="14.25" customHeight="1" x14ac:dyDescent="0.2">
      <c r="A33" s="2">
        <v>12</v>
      </c>
      <c r="B33" s="2" t="s">
        <v>144</v>
      </c>
      <c r="C33" s="8" t="s">
        <v>145</v>
      </c>
      <c r="D33" s="2" t="s">
        <v>146</v>
      </c>
      <c r="E33" s="157">
        <v>1</v>
      </c>
      <c r="F33" s="152">
        <v>167692.96</v>
      </c>
      <c r="G33" s="27">
        <f t="shared" ref="G33:G40" si="0">ROUND(E33*F33,2)</f>
        <v>167692.96</v>
      </c>
      <c r="H33" s="151">
        <f t="shared" ref="H33:H50" si="1">G33/$G$51</f>
        <v>0.38689585705967383</v>
      </c>
      <c r="I33" s="27">
        <f>ROUND(F33*Прил.10!$D$14,2)</f>
        <v>1049757.93</v>
      </c>
      <c r="J33" s="27">
        <f t="shared" ref="J33:J40" si="2">ROUND(I33*E33,2)</f>
        <v>1049757.93</v>
      </c>
    </row>
    <row r="34" spans="1:10" s="12" customFormat="1" ht="25.5" customHeight="1" x14ac:dyDescent="0.2">
      <c r="A34" s="2">
        <v>13</v>
      </c>
      <c r="B34" s="2" t="s">
        <v>147</v>
      </c>
      <c r="C34" s="8" t="s">
        <v>148</v>
      </c>
      <c r="D34" s="2" t="s">
        <v>149</v>
      </c>
      <c r="E34" s="157">
        <v>3</v>
      </c>
      <c r="F34" s="152">
        <v>16999.43</v>
      </c>
      <c r="G34" s="27">
        <f t="shared" si="0"/>
        <v>50998.29</v>
      </c>
      <c r="H34" s="151">
        <f t="shared" si="1"/>
        <v>0.11766163062616222</v>
      </c>
      <c r="I34" s="27">
        <f>ROUND(F34*Прил.10!$D$14,2)</f>
        <v>106416.43</v>
      </c>
      <c r="J34" s="27">
        <f t="shared" si="2"/>
        <v>319249.28999999998</v>
      </c>
    </row>
    <row r="35" spans="1:10" s="12" customFormat="1" ht="38.25" customHeight="1" x14ac:dyDescent="0.2">
      <c r="A35" s="2">
        <v>14</v>
      </c>
      <c r="B35" s="2" t="s">
        <v>150</v>
      </c>
      <c r="C35" s="8" t="s">
        <v>151</v>
      </c>
      <c r="D35" s="2" t="s">
        <v>146</v>
      </c>
      <c r="E35" s="157">
        <v>1</v>
      </c>
      <c r="F35" s="152">
        <v>43171.35</v>
      </c>
      <c r="G35" s="27">
        <f t="shared" si="0"/>
        <v>43171.35</v>
      </c>
      <c r="H35" s="151">
        <f t="shared" si="1"/>
        <v>9.9603563910334411E-2</v>
      </c>
      <c r="I35" s="27">
        <f>ROUND(F35*Прил.10!$D$14,2)</f>
        <v>270252.65000000002</v>
      </c>
      <c r="J35" s="27">
        <f t="shared" si="2"/>
        <v>270252.65000000002</v>
      </c>
    </row>
    <row r="36" spans="1:10" s="12" customFormat="1" ht="25.5" customHeight="1" x14ac:dyDescent="0.2">
      <c r="A36" s="2">
        <v>15</v>
      </c>
      <c r="B36" s="2" t="s">
        <v>152</v>
      </c>
      <c r="C36" s="8" t="s">
        <v>153</v>
      </c>
      <c r="D36" s="2" t="s">
        <v>149</v>
      </c>
      <c r="E36" s="157">
        <v>1</v>
      </c>
      <c r="F36" s="152">
        <v>37158.83</v>
      </c>
      <c r="G36" s="27">
        <f t="shared" si="0"/>
        <v>37158.83</v>
      </c>
      <c r="H36" s="151">
        <f t="shared" si="1"/>
        <v>8.5731669237544147E-2</v>
      </c>
      <c r="I36" s="27">
        <f>ROUND(F36*Прил.10!$D$14,2)</f>
        <v>232614.28</v>
      </c>
      <c r="J36" s="27">
        <f t="shared" si="2"/>
        <v>232614.28</v>
      </c>
    </row>
    <row r="37" spans="1:10" s="12" customFormat="1" ht="38.25" customHeight="1" x14ac:dyDescent="0.2">
      <c r="A37" s="2">
        <v>16</v>
      </c>
      <c r="B37" s="2" t="s">
        <v>154</v>
      </c>
      <c r="C37" s="8" t="s">
        <v>155</v>
      </c>
      <c r="D37" s="2" t="s">
        <v>149</v>
      </c>
      <c r="E37" s="157">
        <v>1</v>
      </c>
      <c r="F37" s="152">
        <v>35055.620000000003</v>
      </c>
      <c r="G37" s="27">
        <f t="shared" si="0"/>
        <v>35055.620000000003</v>
      </c>
      <c r="H37" s="151">
        <f t="shared" si="1"/>
        <v>8.0879210103144736E-2</v>
      </c>
      <c r="I37" s="27">
        <f>ROUND(F37*Прил.10!$D$14,2)</f>
        <v>219448.18</v>
      </c>
      <c r="J37" s="27">
        <f t="shared" si="2"/>
        <v>219448.18</v>
      </c>
    </row>
    <row r="38" spans="1:10" s="12" customFormat="1" ht="25.5" customHeight="1" x14ac:dyDescent="0.2">
      <c r="A38" s="2">
        <v>17</v>
      </c>
      <c r="B38" s="2" t="s">
        <v>156</v>
      </c>
      <c r="C38" s="8" t="s">
        <v>157</v>
      </c>
      <c r="D38" s="2" t="s">
        <v>158</v>
      </c>
      <c r="E38" s="157">
        <v>1</v>
      </c>
      <c r="F38" s="152">
        <v>11831</v>
      </c>
      <c r="G38" s="27">
        <f t="shared" si="0"/>
        <v>11831</v>
      </c>
      <c r="H38" s="151">
        <f t="shared" si="1"/>
        <v>2.7296106436865336E-2</v>
      </c>
      <c r="I38" s="27">
        <f>ROUND(F38*Прил.10!$D$14,2)</f>
        <v>74062.06</v>
      </c>
      <c r="J38" s="27">
        <f t="shared" si="2"/>
        <v>74062.06</v>
      </c>
    </row>
    <row r="39" spans="1:10" s="12" customFormat="1" ht="25.5" customHeight="1" x14ac:dyDescent="0.2">
      <c r="A39" s="2">
        <v>18</v>
      </c>
      <c r="B39" s="2" t="s">
        <v>156</v>
      </c>
      <c r="C39" s="8" t="s">
        <v>157</v>
      </c>
      <c r="D39" s="2" t="s">
        <v>149</v>
      </c>
      <c r="E39" s="157">
        <v>1</v>
      </c>
      <c r="F39" s="152">
        <v>11831</v>
      </c>
      <c r="G39" s="27">
        <f t="shared" si="0"/>
        <v>11831</v>
      </c>
      <c r="H39" s="151">
        <f t="shared" si="1"/>
        <v>2.7296106436865336E-2</v>
      </c>
      <c r="I39" s="27">
        <f>ROUND(F39*Прил.10!$D$14,2)</f>
        <v>74062.06</v>
      </c>
      <c r="J39" s="27">
        <f t="shared" si="2"/>
        <v>74062.06</v>
      </c>
    </row>
    <row r="40" spans="1:10" s="12" customFormat="1" ht="25.5" customHeight="1" x14ac:dyDescent="0.2">
      <c r="A40" s="2">
        <v>19</v>
      </c>
      <c r="B40" s="2" t="s">
        <v>156</v>
      </c>
      <c r="C40" s="8" t="s">
        <v>157</v>
      </c>
      <c r="D40" s="2" t="s">
        <v>149</v>
      </c>
      <c r="E40" s="157">
        <v>1</v>
      </c>
      <c r="F40" s="152">
        <v>11831</v>
      </c>
      <c r="G40" s="27">
        <f t="shared" si="0"/>
        <v>11831</v>
      </c>
      <c r="H40" s="151">
        <f t="shared" si="1"/>
        <v>2.7296106436865336E-2</v>
      </c>
      <c r="I40" s="27">
        <f>ROUND(F40*Прил.10!$D$14,2)</f>
        <v>74062.06</v>
      </c>
      <c r="J40" s="27">
        <f t="shared" si="2"/>
        <v>74062.06</v>
      </c>
    </row>
    <row r="41" spans="1:10" x14ac:dyDescent="0.25">
      <c r="A41" s="2"/>
      <c r="B41" s="2"/>
      <c r="C41" s="8" t="s">
        <v>308</v>
      </c>
      <c r="D41" s="2"/>
      <c r="E41" s="150"/>
      <c r="F41" s="152"/>
      <c r="G41" s="27">
        <f>SUM(G33:G40)</f>
        <v>369570.05</v>
      </c>
      <c r="H41" s="151">
        <f t="shared" si="1"/>
        <v>0.8526602502474554</v>
      </c>
      <c r="I41" s="153"/>
      <c r="J41" s="27">
        <f>SUM(J33:J40)</f>
        <v>2313508.5100000002</v>
      </c>
    </row>
    <row r="42" spans="1:10" s="12" customFormat="1" ht="25.5" hidden="1" customHeight="1" outlineLevel="1" x14ac:dyDescent="0.2">
      <c r="A42" s="2">
        <v>20</v>
      </c>
      <c r="B42" s="2" t="s">
        <v>156</v>
      </c>
      <c r="C42" s="8" t="s">
        <v>157</v>
      </c>
      <c r="D42" s="2" t="s">
        <v>149</v>
      </c>
      <c r="E42" s="157">
        <v>1</v>
      </c>
      <c r="F42" s="152">
        <v>11831</v>
      </c>
      <c r="G42" s="27">
        <f t="shared" ref="G42:G49" si="3">ROUND(E42*F42,2)</f>
        <v>11831</v>
      </c>
      <c r="H42" s="151">
        <f t="shared" si="1"/>
        <v>2.7296106436865336E-2</v>
      </c>
      <c r="I42" s="27">
        <f>ROUND(F42*Прил.10!$D$14,2)</f>
        <v>74062.06</v>
      </c>
      <c r="J42" s="27">
        <f t="shared" ref="J42:J49" si="4">ROUND(I42*E42,2)</f>
        <v>74062.06</v>
      </c>
    </row>
    <row r="43" spans="1:10" s="12" customFormat="1" ht="25.5" hidden="1" customHeight="1" outlineLevel="1" x14ac:dyDescent="0.2">
      <c r="A43" s="2">
        <v>21</v>
      </c>
      <c r="B43" s="2" t="s">
        <v>159</v>
      </c>
      <c r="C43" s="8" t="s">
        <v>160</v>
      </c>
      <c r="D43" s="2" t="s">
        <v>149</v>
      </c>
      <c r="E43" s="157">
        <v>1</v>
      </c>
      <c r="F43" s="152">
        <v>11279.02</v>
      </c>
      <c r="G43" s="27">
        <f t="shared" si="3"/>
        <v>11279.02</v>
      </c>
      <c r="H43" s="151">
        <f t="shared" si="1"/>
        <v>2.6022595758898901E-2</v>
      </c>
      <c r="I43" s="27">
        <f>ROUND(F43*Прил.10!$D$14,2)</f>
        <v>70606.67</v>
      </c>
      <c r="J43" s="27">
        <f t="shared" si="4"/>
        <v>70606.67</v>
      </c>
    </row>
    <row r="44" spans="1:10" s="12" customFormat="1" ht="25.5" hidden="1" customHeight="1" outlineLevel="1" x14ac:dyDescent="0.2">
      <c r="A44" s="2">
        <v>22</v>
      </c>
      <c r="B44" s="2" t="s">
        <v>161</v>
      </c>
      <c r="C44" s="8" t="s">
        <v>162</v>
      </c>
      <c r="D44" s="2" t="s">
        <v>149</v>
      </c>
      <c r="E44" s="157">
        <v>1</v>
      </c>
      <c r="F44" s="152">
        <v>9392.75</v>
      </c>
      <c r="G44" s="27">
        <f t="shared" si="3"/>
        <v>9392.75</v>
      </c>
      <c r="H44" s="151">
        <f t="shared" si="1"/>
        <v>2.1670653683954603E-2</v>
      </c>
      <c r="I44" s="27">
        <f>ROUND(F44*Прил.10!$D$14,2)</f>
        <v>58798.62</v>
      </c>
      <c r="J44" s="27">
        <f t="shared" si="4"/>
        <v>58798.62</v>
      </c>
    </row>
    <row r="45" spans="1:10" s="12" customFormat="1" ht="38.25" hidden="1" customHeight="1" outlineLevel="1" x14ac:dyDescent="0.2">
      <c r="A45" s="2">
        <v>23</v>
      </c>
      <c r="B45" s="2" t="s">
        <v>161</v>
      </c>
      <c r="C45" s="8" t="s">
        <v>163</v>
      </c>
      <c r="D45" s="2" t="s">
        <v>164</v>
      </c>
      <c r="E45" s="157">
        <v>1</v>
      </c>
      <c r="F45" s="152">
        <v>9392.75</v>
      </c>
      <c r="G45" s="27">
        <f t="shared" si="3"/>
        <v>9392.75</v>
      </c>
      <c r="H45" s="151">
        <f t="shared" si="1"/>
        <v>2.1670653683954603E-2</v>
      </c>
      <c r="I45" s="27">
        <f>ROUND(F45*Прил.10!$D$14,2)</f>
        <v>58798.62</v>
      </c>
      <c r="J45" s="27">
        <f t="shared" si="4"/>
        <v>58798.62</v>
      </c>
    </row>
    <row r="46" spans="1:10" s="12" customFormat="1" ht="38.25" hidden="1" customHeight="1" outlineLevel="1" x14ac:dyDescent="0.2">
      <c r="A46" s="2">
        <v>24</v>
      </c>
      <c r="B46" s="2" t="s">
        <v>165</v>
      </c>
      <c r="C46" s="8" t="s">
        <v>166</v>
      </c>
      <c r="D46" s="2" t="s">
        <v>146</v>
      </c>
      <c r="E46" s="157">
        <v>1</v>
      </c>
      <c r="F46" s="152">
        <v>9372.9599999999991</v>
      </c>
      <c r="G46" s="27">
        <f t="shared" si="3"/>
        <v>9372.9599999999991</v>
      </c>
      <c r="H46" s="151">
        <f t="shared" si="1"/>
        <v>2.1624994826175414E-2</v>
      </c>
      <c r="I46" s="27">
        <f>ROUND(F46*Прил.10!$D$14,2)</f>
        <v>58674.73</v>
      </c>
      <c r="J46" s="27">
        <f t="shared" si="4"/>
        <v>58674.73</v>
      </c>
    </row>
    <row r="47" spans="1:10" s="12" customFormat="1" ht="25.5" hidden="1" customHeight="1" outlineLevel="1" x14ac:dyDescent="0.2">
      <c r="A47" s="2">
        <v>25</v>
      </c>
      <c r="B47" s="2" t="s">
        <v>167</v>
      </c>
      <c r="C47" s="8" t="s">
        <v>168</v>
      </c>
      <c r="D47" s="2" t="s">
        <v>149</v>
      </c>
      <c r="E47" s="157">
        <v>2</v>
      </c>
      <c r="F47" s="152">
        <v>3850.19</v>
      </c>
      <c r="G47" s="27">
        <f t="shared" si="3"/>
        <v>7700.38</v>
      </c>
      <c r="H47" s="151">
        <f t="shared" si="1"/>
        <v>1.776607151418385E-2</v>
      </c>
      <c r="I47" s="27">
        <f>ROUND(F47*Прил.10!$D$14,2)</f>
        <v>24102.19</v>
      </c>
      <c r="J47" s="27">
        <f t="shared" si="4"/>
        <v>48204.38</v>
      </c>
    </row>
    <row r="48" spans="1:10" s="12" customFormat="1" ht="38.25" hidden="1" customHeight="1" outlineLevel="1" x14ac:dyDescent="0.2">
      <c r="A48" s="2">
        <v>26</v>
      </c>
      <c r="B48" s="2" t="s">
        <v>169</v>
      </c>
      <c r="C48" s="8" t="s">
        <v>170</v>
      </c>
      <c r="D48" s="2" t="s">
        <v>149</v>
      </c>
      <c r="E48" s="157">
        <v>2</v>
      </c>
      <c r="F48" s="152">
        <v>1983.71</v>
      </c>
      <c r="G48" s="27">
        <f t="shared" si="3"/>
        <v>3967.42</v>
      </c>
      <c r="H48" s="151">
        <f t="shared" si="1"/>
        <v>9.1535050798536282E-3</v>
      </c>
      <c r="I48" s="27">
        <f>ROUND(F48*Прил.10!$D$14,2)</f>
        <v>12418.02</v>
      </c>
      <c r="J48" s="27">
        <f t="shared" si="4"/>
        <v>24836.04</v>
      </c>
    </row>
    <row r="49" spans="1:12" s="12" customFormat="1" ht="51" hidden="1" customHeight="1" outlineLevel="1" x14ac:dyDescent="0.2">
      <c r="A49" s="2">
        <v>27</v>
      </c>
      <c r="B49" s="2" t="s">
        <v>171</v>
      </c>
      <c r="C49" s="8" t="s">
        <v>172</v>
      </c>
      <c r="D49" s="2" t="s">
        <v>149</v>
      </c>
      <c r="E49" s="157">
        <v>1</v>
      </c>
      <c r="F49" s="152">
        <v>925.45</v>
      </c>
      <c r="G49" s="27">
        <f t="shared" si="3"/>
        <v>925.45</v>
      </c>
      <c r="H49" s="151">
        <f t="shared" si="1"/>
        <v>2.1351687686583577E-3</v>
      </c>
      <c r="I49" s="27">
        <f>ROUND(F49*Прил.10!$D$14,2)</f>
        <v>5793.32</v>
      </c>
      <c r="J49" s="27">
        <f t="shared" si="4"/>
        <v>5793.32</v>
      </c>
    </row>
    <row r="50" spans="1:12" collapsed="1" x14ac:dyDescent="0.25">
      <c r="A50" s="2"/>
      <c r="B50" s="2"/>
      <c r="C50" s="8" t="s">
        <v>309</v>
      </c>
      <c r="D50" s="2"/>
      <c r="E50" s="150"/>
      <c r="F50" s="152"/>
      <c r="G50" s="27">
        <f>SUM(G42:G49)</f>
        <v>63861.729999999996</v>
      </c>
      <c r="H50" s="151">
        <f t="shared" si="1"/>
        <v>0.14733974975254469</v>
      </c>
      <c r="I50" s="153"/>
      <c r="J50" s="27">
        <f>SUM(J42:J49)</f>
        <v>399774.43999999994</v>
      </c>
    </row>
    <row r="51" spans="1:12" x14ac:dyDescent="0.25">
      <c r="A51" s="2"/>
      <c r="B51" s="2"/>
      <c r="C51" s="158" t="s">
        <v>310</v>
      </c>
      <c r="D51" s="2"/>
      <c r="E51" s="186"/>
      <c r="F51" s="152"/>
      <c r="G51" s="27">
        <f>G41+G50</f>
        <v>433431.77999999997</v>
      </c>
      <c r="H51" s="187">
        <f>H41+H50</f>
        <v>1</v>
      </c>
      <c r="I51" s="153"/>
      <c r="J51" s="27">
        <f>J50+J41</f>
        <v>2713282.95</v>
      </c>
    </row>
    <row r="52" spans="1:12" ht="25.5" customHeight="1" x14ac:dyDescent="0.25">
      <c r="A52" s="2"/>
      <c r="B52" s="2"/>
      <c r="C52" s="8" t="s">
        <v>311</v>
      </c>
      <c r="D52" s="2"/>
      <c r="E52" s="157"/>
      <c r="F52" s="152"/>
      <c r="G52" s="27">
        <f>'Прил.6 Расчет ОБ'!G28</f>
        <v>433431.78</v>
      </c>
      <c r="H52" s="187"/>
      <c r="I52" s="153"/>
      <c r="J52" s="27">
        <f>ROUND(G52*Прил.10!D14,2)</f>
        <v>2713282.94</v>
      </c>
    </row>
    <row r="53" spans="1:12" s="12" customFormat="1" ht="14.25" customHeight="1" x14ac:dyDescent="0.2">
      <c r="A53" s="2"/>
      <c r="B53" s="233" t="s">
        <v>173</v>
      </c>
      <c r="C53" s="233"/>
      <c r="D53" s="238"/>
      <c r="E53" s="239"/>
      <c r="F53" s="240"/>
      <c r="G53" s="240"/>
      <c r="H53" s="241"/>
      <c r="I53" s="148"/>
      <c r="J53" s="148"/>
    </row>
    <row r="54" spans="1:12" s="12" customFormat="1" ht="14.25" customHeight="1" x14ac:dyDescent="0.2">
      <c r="A54" s="184"/>
      <c r="B54" s="229" t="s">
        <v>312</v>
      </c>
      <c r="C54" s="229"/>
      <c r="D54" s="226"/>
      <c r="E54" s="230"/>
      <c r="F54" s="231"/>
      <c r="G54" s="231"/>
      <c r="H54" s="232"/>
      <c r="I54" s="159"/>
      <c r="J54" s="159"/>
    </row>
    <row r="55" spans="1:12" s="12" customFormat="1" ht="14.25" customHeight="1" x14ac:dyDescent="0.2">
      <c r="A55" s="2">
        <v>28</v>
      </c>
      <c r="B55" s="2" t="s">
        <v>174</v>
      </c>
      <c r="C55" s="8" t="s">
        <v>175</v>
      </c>
      <c r="D55" s="2" t="s">
        <v>176</v>
      </c>
      <c r="E55" s="157">
        <v>0.40799999999999997</v>
      </c>
      <c r="F55" s="152">
        <v>8958.61</v>
      </c>
      <c r="G55" s="27">
        <f>ROUND(E55*F55,2)</f>
        <v>3655.11</v>
      </c>
      <c r="H55" s="151">
        <f t="shared" ref="H55:H90" si="5">G55/$G$90</f>
        <v>0.80601705044125616</v>
      </c>
      <c r="I55" s="27">
        <f>ROUND(F55*Прил.10!$D$13,2)</f>
        <v>72027.22</v>
      </c>
      <c r="J55" s="27">
        <f>ROUND(I55*E55,2)</f>
        <v>29387.11</v>
      </c>
    </row>
    <row r="56" spans="1:12" s="12" customFormat="1" ht="14.25" customHeight="1" x14ac:dyDescent="0.2">
      <c r="A56" s="160"/>
      <c r="B56" s="161"/>
      <c r="C56" s="162" t="s">
        <v>313</v>
      </c>
      <c r="D56" s="160"/>
      <c r="E56" s="163"/>
      <c r="F56" s="156"/>
      <c r="G56" s="156">
        <f>SUM(G55)</f>
        <v>3655.11</v>
      </c>
      <c r="H56" s="151">
        <f t="shared" si="5"/>
        <v>0.80601705044125616</v>
      </c>
      <c r="I56" s="27"/>
      <c r="J56" s="156">
        <f>SUM(J55)</f>
        <v>29387.11</v>
      </c>
      <c r="K56" s="24"/>
      <c r="L56" s="24"/>
    </row>
    <row r="57" spans="1:12" s="12" customFormat="1" ht="14.25" hidden="1" customHeight="1" outlineLevel="1" x14ac:dyDescent="0.2">
      <c r="A57" s="2">
        <v>29</v>
      </c>
      <c r="B57" s="2" t="s">
        <v>177</v>
      </c>
      <c r="C57" s="8" t="s">
        <v>178</v>
      </c>
      <c r="D57" s="2" t="s">
        <v>179</v>
      </c>
      <c r="E57" s="157">
        <v>55.8</v>
      </c>
      <c r="F57" s="152">
        <v>4.16</v>
      </c>
      <c r="G57" s="27">
        <f t="shared" ref="G57:G88" si="6">ROUND(E57*F57,2)</f>
        <v>232.13</v>
      </c>
      <c r="H57" s="151">
        <f t="shared" si="5"/>
        <v>5.1188811805644364E-2</v>
      </c>
      <c r="I57" s="27">
        <f>ROUND(F57*Прил.10!$D$13,2)</f>
        <v>33.450000000000003</v>
      </c>
      <c r="J57" s="27">
        <f t="shared" ref="J57:J88" si="7">ROUND(I57*E57,2)</f>
        <v>1866.51</v>
      </c>
    </row>
    <row r="58" spans="1:12" s="12" customFormat="1" ht="25.5" hidden="1" customHeight="1" outlineLevel="1" x14ac:dyDescent="0.2">
      <c r="A58" s="2">
        <v>30</v>
      </c>
      <c r="B58" s="2" t="s">
        <v>180</v>
      </c>
      <c r="C58" s="8" t="s">
        <v>181</v>
      </c>
      <c r="D58" s="2" t="s">
        <v>179</v>
      </c>
      <c r="E58" s="157">
        <v>12</v>
      </c>
      <c r="F58" s="152">
        <v>10.57</v>
      </c>
      <c r="G58" s="27">
        <f t="shared" si="6"/>
        <v>126.84</v>
      </c>
      <c r="H58" s="151">
        <f t="shared" si="5"/>
        <v>2.7970485889061869E-2</v>
      </c>
      <c r="I58" s="27">
        <f>ROUND(F58*Прил.10!$D$13,2)</f>
        <v>84.98</v>
      </c>
      <c r="J58" s="27">
        <f t="shared" si="7"/>
        <v>1019.76</v>
      </c>
    </row>
    <row r="59" spans="1:12" s="12" customFormat="1" ht="25.5" hidden="1" customHeight="1" outlineLevel="1" x14ac:dyDescent="0.2">
      <c r="A59" s="2">
        <v>31</v>
      </c>
      <c r="B59" s="2" t="s">
        <v>182</v>
      </c>
      <c r="C59" s="8" t="s">
        <v>183</v>
      </c>
      <c r="D59" s="2" t="s">
        <v>184</v>
      </c>
      <c r="E59" s="157">
        <v>1.8599999999999998E-2</v>
      </c>
      <c r="F59" s="152">
        <v>6720</v>
      </c>
      <c r="G59" s="27">
        <f t="shared" si="6"/>
        <v>124.99</v>
      </c>
      <c r="H59" s="151">
        <f t="shared" si="5"/>
        <v>2.7562527840380345E-2</v>
      </c>
      <c r="I59" s="27">
        <f>ROUND(F59*Прил.10!$D$13,2)</f>
        <v>54028.800000000003</v>
      </c>
      <c r="J59" s="27">
        <f t="shared" si="7"/>
        <v>1004.94</v>
      </c>
    </row>
    <row r="60" spans="1:12" s="12" customFormat="1" ht="14.25" hidden="1" customHeight="1" outlineLevel="1" x14ac:dyDescent="0.2">
      <c r="A60" s="2">
        <v>32</v>
      </c>
      <c r="B60" s="2" t="s">
        <v>185</v>
      </c>
      <c r="C60" s="8" t="s">
        <v>186</v>
      </c>
      <c r="D60" s="2" t="s">
        <v>179</v>
      </c>
      <c r="E60" s="157">
        <v>2.2000000000000002</v>
      </c>
      <c r="F60" s="152">
        <v>47.57</v>
      </c>
      <c r="G60" s="27">
        <f t="shared" si="6"/>
        <v>104.65</v>
      </c>
      <c r="H60" s="151">
        <f t="shared" si="5"/>
        <v>2.3077194483525108E-2</v>
      </c>
      <c r="I60" s="27">
        <f>ROUND(F60*Прил.10!$D$13,2)</f>
        <v>382.46</v>
      </c>
      <c r="J60" s="27">
        <f t="shared" si="7"/>
        <v>841.41</v>
      </c>
    </row>
    <row r="61" spans="1:12" s="12" customFormat="1" ht="25.5" hidden="1" customHeight="1" outlineLevel="1" x14ac:dyDescent="0.2">
      <c r="A61" s="2">
        <v>33</v>
      </c>
      <c r="B61" s="2" t="s">
        <v>187</v>
      </c>
      <c r="C61" s="8" t="s">
        <v>188</v>
      </c>
      <c r="D61" s="2" t="s">
        <v>189</v>
      </c>
      <c r="E61" s="157">
        <v>1.6E-2</v>
      </c>
      <c r="F61" s="152">
        <v>4949.3999999999996</v>
      </c>
      <c r="G61" s="27">
        <f t="shared" si="6"/>
        <v>79.19</v>
      </c>
      <c r="H61" s="151">
        <f t="shared" si="5"/>
        <v>1.7462809662210733E-2</v>
      </c>
      <c r="I61" s="27">
        <f>ROUND(F61*Прил.10!$D$13,2)</f>
        <v>39793.18</v>
      </c>
      <c r="J61" s="27">
        <f t="shared" si="7"/>
        <v>636.69000000000005</v>
      </c>
    </row>
    <row r="62" spans="1:12" s="12" customFormat="1" ht="25.5" hidden="1" customHeight="1" outlineLevel="1" x14ac:dyDescent="0.2">
      <c r="A62" s="2">
        <v>34</v>
      </c>
      <c r="B62" s="2" t="s">
        <v>190</v>
      </c>
      <c r="C62" s="8" t="s">
        <v>191</v>
      </c>
      <c r="D62" s="2" t="s">
        <v>192</v>
      </c>
      <c r="E62" s="157">
        <v>68.28</v>
      </c>
      <c r="F62" s="152">
        <v>1</v>
      </c>
      <c r="G62" s="27">
        <f t="shared" si="6"/>
        <v>68.28</v>
      </c>
      <c r="H62" s="151">
        <f t="shared" si="5"/>
        <v>1.5056959764310505E-2</v>
      </c>
      <c r="I62" s="27">
        <f>ROUND(F62*Прил.10!$D$13,2)</f>
        <v>8.0399999999999991</v>
      </c>
      <c r="J62" s="27">
        <f t="shared" si="7"/>
        <v>548.97</v>
      </c>
    </row>
    <row r="63" spans="1:12" s="12" customFormat="1" ht="25.5" hidden="1" customHeight="1" outlineLevel="1" x14ac:dyDescent="0.2">
      <c r="A63" s="2">
        <v>35</v>
      </c>
      <c r="B63" s="2" t="s">
        <v>193</v>
      </c>
      <c r="C63" s="8" t="s">
        <v>194</v>
      </c>
      <c r="D63" s="2" t="s">
        <v>184</v>
      </c>
      <c r="E63" s="157">
        <v>2.32E-3</v>
      </c>
      <c r="F63" s="152">
        <v>12430</v>
      </c>
      <c r="G63" s="27">
        <f t="shared" si="6"/>
        <v>28.84</v>
      </c>
      <c r="H63" s="151">
        <f t="shared" si="5"/>
        <v>6.3597352021487249E-3</v>
      </c>
      <c r="I63" s="27">
        <f>ROUND(F63*Прил.10!$D$13,2)</f>
        <v>99937.2</v>
      </c>
      <c r="J63" s="27">
        <f t="shared" si="7"/>
        <v>231.85</v>
      </c>
    </row>
    <row r="64" spans="1:12" s="12" customFormat="1" ht="14.25" hidden="1" customHeight="1" outlineLevel="1" x14ac:dyDescent="0.2">
      <c r="A64" s="2">
        <v>36</v>
      </c>
      <c r="B64" s="2" t="s">
        <v>195</v>
      </c>
      <c r="C64" s="8" t="s">
        <v>196</v>
      </c>
      <c r="D64" s="2" t="s">
        <v>197</v>
      </c>
      <c r="E64" s="157">
        <v>0.1</v>
      </c>
      <c r="F64" s="152">
        <v>203</v>
      </c>
      <c r="G64" s="27">
        <f t="shared" si="6"/>
        <v>20.3</v>
      </c>
      <c r="H64" s="151">
        <f t="shared" si="5"/>
        <v>4.4765126422891518E-3</v>
      </c>
      <c r="I64" s="27">
        <f>ROUND(F64*Прил.10!$D$13,2)</f>
        <v>1632.12</v>
      </c>
      <c r="J64" s="27">
        <f t="shared" si="7"/>
        <v>163.21</v>
      </c>
    </row>
    <row r="65" spans="1:10" s="12" customFormat="1" ht="25.5" hidden="1" customHeight="1" outlineLevel="1" x14ac:dyDescent="0.2">
      <c r="A65" s="2">
        <v>37</v>
      </c>
      <c r="B65" s="2" t="s">
        <v>198</v>
      </c>
      <c r="C65" s="8" t="s">
        <v>199</v>
      </c>
      <c r="D65" s="2" t="s">
        <v>179</v>
      </c>
      <c r="E65" s="157">
        <v>0.31</v>
      </c>
      <c r="F65" s="152">
        <v>38.89</v>
      </c>
      <c r="G65" s="27">
        <f t="shared" si="6"/>
        <v>12.06</v>
      </c>
      <c r="H65" s="151">
        <f t="shared" si="5"/>
        <v>2.6594454416752297E-3</v>
      </c>
      <c r="I65" s="27">
        <f>ROUND(F65*Прил.10!$D$13,2)</f>
        <v>312.68</v>
      </c>
      <c r="J65" s="27">
        <f t="shared" si="7"/>
        <v>96.93</v>
      </c>
    </row>
    <row r="66" spans="1:10" s="12" customFormat="1" ht="14.25" hidden="1" customHeight="1" outlineLevel="1" x14ac:dyDescent="0.2">
      <c r="A66" s="2">
        <v>38</v>
      </c>
      <c r="B66" s="2" t="s">
        <v>200</v>
      </c>
      <c r="C66" s="8" t="s">
        <v>201</v>
      </c>
      <c r="D66" s="2" t="s">
        <v>179</v>
      </c>
      <c r="E66" s="157">
        <v>0.4</v>
      </c>
      <c r="F66" s="152">
        <v>28.6</v>
      </c>
      <c r="G66" s="27">
        <f t="shared" si="6"/>
        <v>11.44</v>
      </c>
      <c r="H66" s="151">
        <f t="shared" si="5"/>
        <v>2.5227243659008813E-3</v>
      </c>
      <c r="I66" s="27">
        <f>ROUND(F66*Прил.10!$D$13,2)</f>
        <v>229.94</v>
      </c>
      <c r="J66" s="27">
        <f t="shared" si="7"/>
        <v>91.98</v>
      </c>
    </row>
    <row r="67" spans="1:10" s="12" customFormat="1" ht="14.25" hidden="1" customHeight="1" outlineLevel="1" x14ac:dyDescent="0.2">
      <c r="A67" s="2">
        <v>39</v>
      </c>
      <c r="B67" s="2" t="s">
        <v>202</v>
      </c>
      <c r="C67" s="8" t="s">
        <v>203</v>
      </c>
      <c r="D67" s="2" t="s">
        <v>197</v>
      </c>
      <c r="E67" s="157">
        <v>0.1</v>
      </c>
      <c r="F67" s="152">
        <v>86</v>
      </c>
      <c r="G67" s="27">
        <f t="shared" si="6"/>
        <v>8.6</v>
      </c>
      <c r="H67" s="151">
        <f t="shared" si="5"/>
        <v>1.8964536317087044E-3</v>
      </c>
      <c r="I67" s="27">
        <f>ROUND(F67*Прил.10!$D$13,2)</f>
        <v>691.44</v>
      </c>
      <c r="J67" s="27">
        <f t="shared" si="7"/>
        <v>69.14</v>
      </c>
    </row>
    <row r="68" spans="1:10" s="12" customFormat="1" ht="25.5" hidden="1" customHeight="1" outlineLevel="1" x14ac:dyDescent="0.2">
      <c r="A68" s="2">
        <v>40</v>
      </c>
      <c r="B68" s="2" t="s">
        <v>204</v>
      </c>
      <c r="C68" s="8" t="s">
        <v>205</v>
      </c>
      <c r="D68" s="2" t="s">
        <v>197</v>
      </c>
      <c r="E68" s="157">
        <v>0.1</v>
      </c>
      <c r="F68" s="152">
        <v>83</v>
      </c>
      <c r="G68" s="27">
        <f t="shared" si="6"/>
        <v>8.3000000000000007</v>
      </c>
      <c r="H68" s="151">
        <f t="shared" si="5"/>
        <v>1.8302982724630521E-3</v>
      </c>
      <c r="I68" s="27">
        <f>ROUND(F68*Прил.10!$D$13,2)</f>
        <v>667.32</v>
      </c>
      <c r="J68" s="27">
        <f t="shared" si="7"/>
        <v>66.73</v>
      </c>
    </row>
    <row r="69" spans="1:10" s="12" customFormat="1" ht="14.25" hidden="1" customHeight="1" outlineLevel="1" x14ac:dyDescent="0.2">
      <c r="A69" s="2">
        <v>41</v>
      </c>
      <c r="B69" s="2" t="s">
        <v>206</v>
      </c>
      <c r="C69" s="8" t="s">
        <v>207</v>
      </c>
      <c r="D69" s="2" t="s">
        <v>208</v>
      </c>
      <c r="E69" s="157">
        <v>0.9</v>
      </c>
      <c r="F69" s="152">
        <v>8.33</v>
      </c>
      <c r="G69" s="27">
        <f t="shared" si="6"/>
        <v>7.5</v>
      </c>
      <c r="H69" s="151">
        <f t="shared" si="5"/>
        <v>1.6538839811413119E-3</v>
      </c>
      <c r="I69" s="27">
        <f>ROUND(F69*Прил.10!$D$13,2)</f>
        <v>66.97</v>
      </c>
      <c r="J69" s="27">
        <f t="shared" si="7"/>
        <v>60.27</v>
      </c>
    </row>
    <row r="70" spans="1:10" s="12" customFormat="1" ht="14.25" hidden="1" customHeight="1" outlineLevel="1" x14ac:dyDescent="0.2">
      <c r="A70" s="2">
        <v>42</v>
      </c>
      <c r="B70" s="2" t="s">
        <v>209</v>
      </c>
      <c r="C70" s="8" t="s">
        <v>210</v>
      </c>
      <c r="D70" s="2" t="s">
        <v>176</v>
      </c>
      <c r="E70" s="157">
        <v>6.9999999999999999E-4</v>
      </c>
      <c r="F70" s="152">
        <v>10534.99</v>
      </c>
      <c r="G70" s="27">
        <f t="shared" si="6"/>
        <v>7.37</v>
      </c>
      <c r="H70" s="151">
        <f t="shared" si="5"/>
        <v>1.6252166588015292E-3</v>
      </c>
      <c r="I70" s="27">
        <f>ROUND(F70*Прил.10!$D$13,2)</f>
        <v>84701.32</v>
      </c>
      <c r="J70" s="27">
        <f t="shared" si="7"/>
        <v>59.29</v>
      </c>
    </row>
    <row r="71" spans="1:10" s="12" customFormat="1" ht="14.25" hidden="1" customHeight="1" outlineLevel="1" x14ac:dyDescent="0.2">
      <c r="A71" s="2">
        <v>43</v>
      </c>
      <c r="B71" s="2" t="s">
        <v>211</v>
      </c>
      <c r="C71" s="8" t="s">
        <v>212</v>
      </c>
      <c r="D71" s="2" t="s">
        <v>184</v>
      </c>
      <c r="E71" s="157">
        <v>1.4999999999999999E-4</v>
      </c>
      <c r="F71" s="152">
        <v>41210</v>
      </c>
      <c r="G71" s="27">
        <f t="shared" si="6"/>
        <v>6.18</v>
      </c>
      <c r="H71" s="151">
        <f t="shared" si="5"/>
        <v>1.362800400460441E-3</v>
      </c>
      <c r="I71" s="27">
        <f>ROUND(F71*Прил.10!$D$13,2)</f>
        <v>331328.40000000002</v>
      </c>
      <c r="J71" s="27">
        <f t="shared" si="7"/>
        <v>49.7</v>
      </c>
    </row>
    <row r="72" spans="1:10" s="12" customFormat="1" ht="14.25" hidden="1" customHeight="1" outlineLevel="1" x14ac:dyDescent="0.2">
      <c r="A72" s="2">
        <v>44</v>
      </c>
      <c r="B72" s="2" t="s">
        <v>213</v>
      </c>
      <c r="C72" s="8" t="s">
        <v>214</v>
      </c>
      <c r="D72" s="2" t="s">
        <v>215</v>
      </c>
      <c r="E72" s="157">
        <v>0.2</v>
      </c>
      <c r="F72" s="152">
        <v>29.75</v>
      </c>
      <c r="G72" s="27">
        <f t="shared" si="6"/>
        <v>5.95</v>
      </c>
      <c r="H72" s="151">
        <f t="shared" si="5"/>
        <v>1.3120812917054409E-3</v>
      </c>
      <c r="I72" s="27">
        <f>ROUND(F72*Прил.10!$D$13,2)</f>
        <v>239.19</v>
      </c>
      <c r="J72" s="27">
        <f t="shared" si="7"/>
        <v>47.84</v>
      </c>
    </row>
    <row r="73" spans="1:10" s="12" customFormat="1" ht="25.5" hidden="1" customHeight="1" outlineLevel="1" x14ac:dyDescent="0.2">
      <c r="A73" s="2">
        <v>45</v>
      </c>
      <c r="B73" s="2" t="s">
        <v>216</v>
      </c>
      <c r="C73" s="8" t="s">
        <v>217</v>
      </c>
      <c r="D73" s="2" t="s">
        <v>184</v>
      </c>
      <c r="E73" s="157">
        <v>6.3E-5</v>
      </c>
      <c r="F73" s="152">
        <v>65750</v>
      </c>
      <c r="G73" s="27">
        <f t="shared" si="6"/>
        <v>4.1399999999999997</v>
      </c>
      <c r="H73" s="151">
        <f t="shared" si="5"/>
        <v>9.1294395759000419E-4</v>
      </c>
      <c r="I73" s="27">
        <f>ROUND(F73*Прил.10!$D$13,2)</f>
        <v>528630</v>
      </c>
      <c r="J73" s="27">
        <f t="shared" si="7"/>
        <v>33.299999999999997</v>
      </c>
    </row>
    <row r="74" spans="1:10" s="12" customFormat="1" ht="25.5" hidden="1" customHeight="1" outlineLevel="1" x14ac:dyDescent="0.2">
      <c r="A74" s="2">
        <v>46</v>
      </c>
      <c r="B74" s="2" t="s">
        <v>218</v>
      </c>
      <c r="C74" s="8" t="s">
        <v>219</v>
      </c>
      <c r="D74" s="2" t="s">
        <v>179</v>
      </c>
      <c r="E74" s="157">
        <v>0.14000000000000001</v>
      </c>
      <c r="F74" s="152">
        <v>28.22</v>
      </c>
      <c r="G74" s="27">
        <f t="shared" si="6"/>
        <v>3.95</v>
      </c>
      <c r="H74" s="151">
        <f t="shared" si="5"/>
        <v>8.7104556340109106E-4</v>
      </c>
      <c r="I74" s="27">
        <f>ROUND(F74*Прил.10!$D$13,2)</f>
        <v>226.89</v>
      </c>
      <c r="J74" s="27">
        <f t="shared" si="7"/>
        <v>31.76</v>
      </c>
    </row>
    <row r="75" spans="1:10" s="12" customFormat="1" ht="38.25" hidden="1" customHeight="1" outlineLevel="1" x14ac:dyDescent="0.2">
      <c r="A75" s="2">
        <v>47</v>
      </c>
      <c r="B75" s="2" t="s">
        <v>220</v>
      </c>
      <c r="C75" s="8" t="s">
        <v>221</v>
      </c>
      <c r="D75" s="2" t="s">
        <v>184</v>
      </c>
      <c r="E75" s="157">
        <v>1E-4</v>
      </c>
      <c r="F75" s="152">
        <v>37517</v>
      </c>
      <c r="G75" s="27">
        <f t="shared" si="6"/>
        <v>3.75</v>
      </c>
      <c r="H75" s="151">
        <f t="shared" si="5"/>
        <v>8.2694199057065597E-4</v>
      </c>
      <c r="I75" s="27">
        <f>ROUND(F75*Прил.10!$D$13,2)</f>
        <v>301636.68</v>
      </c>
      <c r="J75" s="27">
        <f t="shared" si="7"/>
        <v>30.16</v>
      </c>
    </row>
    <row r="76" spans="1:10" s="12" customFormat="1" ht="25.5" hidden="1" customHeight="1" outlineLevel="1" x14ac:dyDescent="0.2">
      <c r="A76" s="2">
        <v>48</v>
      </c>
      <c r="B76" s="2" t="s">
        <v>222</v>
      </c>
      <c r="C76" s="8" t="s">
        <v>223</v>
      </c>
      <c r="D76" s="2" t="s">
        <v>179</v>
      </c>
      <c r="E76" s="157">
        <v>0.08</v>
      </c>
      <c r="F76" s="152">
        <v>38.340000000000003</v>
      </c>
      <c r="G76" s="27">
        <f t="shared" si="6"/>
        <v>3.07</v>
      </c>
      <c r="H76" s="151">
        <f t="shared" si="5"/>
        <v>6.7698984294717703E-4</v>
      </c>
      <c r="I76" s="27">
        <f>ROUND(F76*Прил.10!$D$13,2)</f>
        <v>308.25</v>
      </c>
      <c r="J76" s="27">
        <f t="shared" si="7"/>
        <v>24.66</v>
      </c>
    </row>
    <row r="77" spans="1:10" s="12" customFormat="1" ht="14.25" hidden="1" customHeight="1" outlineLevel="1" x14ac:dyDescent="0.2">
      <c r="A77" s="2">
        <v>49</v>
      </c>
      <c r="B77" s="2" t="s">
        <v>224</v>
      </c>
      <c r="C77" s="8" t="s">
        <v>225</v>
      </c>
      <c r="D77" s="2" t="s">
        <v>184</v>
      </c>
      <c r="E77" s="157">
        <v>5.1000000000000004E-4</v>
      </c>
      <c r="F77" s="152">
        <v>5850</v>
      </c>
      <c r="G77" s="27">
        <f t="shared" si="6"/>
        <v>2.98</v>
      </c>
      <c r="H77" s="151">
        <f t="shared" si="5"/>
        <v>6.5714323517348128E-4</v>
      </c>
      <c r="I77" s="27">
        <f>ROUND(F77*Прил.10!$D$13,2)</f>
        <v>47034</v>
      </c>
      <c r="J77" s="27">
        <f t="shared" si="7"/>
        <v>23.99</v>
      </c>
    </row>
    <row r="78" spans="1:10" s="12" customFormat="1" ht="14.25" hidden="1" customHeight="1" outlineLevel="1" x14ac:dyDescent="0.2">
      <c r="A78" s="2">
        <v>50</v>
      </c>
      <c r="B78" s="2" t="s">
        <v>226</v>
      </c>
      <c r="C78" s="8" t="s">
        <v>227</v>
      </c>
      <c r="D78" s="2" t="s">
        <v>179</v>
      </c>
      <c r="E78" s="157">
        <v>0.3</v>
      </c>
      <c r="F78" s="152">
        <v>9.0399999999999991</v>
      </c>
      <c r="G78" s="27">
        <f t="shared" si="6"/>
        <v>2.71</v>
      </c>
      <c r="H78" s="151">
        <f t="shared" si="5"/>
        <v>5.9760341185239403E-4</v>
      </c>
      <c r="I78" s="27">
        <f>ROUND(F78*Прил.10!$D$13,2)</f>
        <v>72.680000000000007</v>
      </c>
      <c r="J78" s="27">
        <f t="shared" si="7"/>
        <v>21.8</v>
      </c>
    </row>
    <row r="79" spans="1:10" s="12" customFormat="1" ht="38.25" hidden="1" customHeight="1" outlineLevel="1" x14ac:dyDescent="0.2">
      <c r="A79" s="2">
        <v>51</v>
      </c>
      <c r="B79" s="2" t="s">
        <v>228</v>
      </c>
      <c r="C79" s="8" t="s">
        <v>229</v>
      </c>
      <c r="D79" s="2" t="s">
        <v>179</v>
      </c>
      <c r="E79" s="157">
        <v>0.02</v>
      </c>
      <c r="F79" s="152">
        <v>91.29</v>
      </c>
      <c r="G79" s="27">
        <f t="shared" si="6"/>
        <v>1.83</v>
      </c>
      <c r="H79" s="151">
        <f t="shared" si="5"/>
        <v>4.0354769139848017E-4</v>
      </c>
      <c r="I79" s="27">
        <f>ROUND(F79*Прил.10!$D$13,2)</f>
        <v>733.97</v>
      </c>
      <c r="J79" s="27">
        <f t="shared" si="7"/>
        <v>14.68</v>
      </c>
    </row>
    <row r="80" spans="1:10" s="12" customFormat="1" ht="38.25" hidden="1" customHeight="1" outlineLevel="1" x14ac:dyDescent="0.2">
      <c r="A80" s="2">
        <v>52</v>
      </c>
      <c r="B80" s="2" t="s">
        <v>230</v>
      </c>
      <c r="C80" s="8" t="s">
        <v>231</v>
      </c>
      <c r="D80" s="2" t="s">
        <v>189</v>
      </c>
      <c r="E80" s="157">
        <v>2E-3</v>
      </c>
      <c r="F80" s="152">
        <v>542.1</v>
      </c>
      <c r="G80" s="27">
        <f t="shared" si="6"/>
        <v>1.08</v>
      </c>
      <c r="H80" s="151">
        <f t="shared" si="5"/>
        <v>2.3815929328434895E-4</v>
      </c>
      <c r="I80" s="27">
        <f>ROUND(F80*Прил.10!$D$13,2)</f>
        <v>4358.4799999999996</v>
      </c>
      <c r="J80" s="27">
        <f t="shared" si="7"/>
        <v>8.7200000000000006</v>
      </c>
    </row>
    <row r="81" spans="1:10" s="12" customFormat="1" ht="14.25" hidden="1" customHeight="1" outlineLevel="1" x14ac:dyDescent="0.2">
      <c r="A81" s="2">
        <v>53</v>
      </c>
      <c r="B81" s="2" t="s">
        <v>232</v>
      </c>
      <c r="C81" s="8" t="s">
        <v>233</v>
      </c>
      <c r="D81" s="2" t="s">
        <v>179</v>
      </c>
      <c r="E81" s="157">
        <v>0.03</v>
      </c>
      <c r="F81" s="152">
        <v>35.630000000000003</v>
      </c>
      <c r="G81" s="27">
        <f t="shared" si="6"/>
        <v>1.07</v>
      </c>
      <c r="H81" s="151">
        <f t="shared" si="5"/>
        <v>2.3595411464282718E-4</v>
      </c>
      <c r="I81" s="27">
        <f>ROUND(F81*Прил.10!$D$13,2)</f>
        <v>286.47000000000003</v>
      </c>
      <c r="J81" s="27">
        <f t="shared" si="7"/>
        <v>8.59</v>
      </c>
    </row>
    <row r="82" spans="1:10" s="12" customFormat="1" ht="14.25" hidden="1" customHeight="1" outlineLevel="1" x14ac:dyDescent="0.2">
      <c r="A82" s="2">
        <v>54</v>
      </c>
      <c r="B82" s="2" t="s">
        <v>234</v>
      </c>
      <c r="C82" s="8" t="s">
        <v>235</v>
      </c>
      <c r="D82" s="2" t="s">
        <v>179</v>
      </c>
      <c r="E82" s="157">
        <v>0.05</v>
      </c>
      <c r="F82" s="152">
        <v>16.95</v>
      </c>
      <c r="G82" s="27">
        <f t="shared" si="6"/>
        <v>0.85</v>
      </c>
      <c r="H82" s="151">
        <f t="shared" si="5"/>
        <v>1.8744018452934868E-4</v>
      </c>
      <c r="I82" s="27">
        <f>ROUND(F82*Прил.10!$D$13,2)</f>
        <v>136.28</v>
      </c>
      <c r="J82" s="27">
        <f t="shared" si="7"/>
        <v>6.81</v>
      </c>
    </row>
    <row r="83" spans="1:10" s="12" customFormat="1" ht="14.25" hidden="1" customHeight="1" outlineLevel="1" x14ac:dyDescent="0.2">
      <c r="A83" s="2">
        <v>55</v>
      </c>
      <c r="B83" s="2" t="s">
        <v>236</v>
      </c>
      <c r="C83" s="8" t="s">
        <v>237</v>
      </c>
      <c r="D83" s="2" t="s">
        <v>184</v>
      </c>
      <c r="E83" s="157">
        <v>4.0000000000000003E-5</v>
      </c>
      <c r="F83" s="152">
        <v>12430</v>
      </c>
      <c r="G83" s="27">
        <f t="shared" si="6"/>
        <v>0.5</v>
      </c>
      <c r="H83" s="151">
        <f t="shared" si="5"/>
        <v>1.1025893207608747E-4</v>
      </c>
      <c r="I83" s="27">
        <f>ROUND(F83*Прил.10!$D$13,2)</f>
        <v>99937.2</v>
      </c>
      <c r="J83" s="27">
        <f t="shared" si="7"/>
        <v>4</v>
      </c>
    </row>
    <row r="84" spans="1:10" s="12" customFormat="1" ht="25.5" hidden="1" customHeight="1" outlineLevel="1" x14ac:dyDescent="0.2">
      <c r="A84" s="2">
        <v>56</v>
      </c>
      <c r="B84" s="2" t="s">
        <v>238</v>
      </c>
      <c r="C84" s="8" t="s">
        <v>239</v>
      </c>
      <c r="D84" s="2" t="s">
        <v>184</v>
      </c>
      <c r="E84" s="157">
        <v>2.0000000000000002E-5</v>
      </c>
      <c r="F84" s="152">
        <v>15481</v>
      </c>
      <c r="G84" s="27">
        <f t="shared" si="6"/>
        <v>0.31</v>
      </c>
      <c r="H84" s="151">
        <f t="shared" si="5"/>
        <v>6.836053788717423E-5</v>
      </c>
      <c r="I84" s="27">
        <f>ROUND(F84*Прил.10!$D$13,2)</f>
        <v>124467.24</v>
      </c>
      <c r="J84" s="27">
        <f t="shared" si="7"/>
        <v>2.4900000000000002</v>
      </c>
    </row>
    <row r="85" spans="1:10" s="12" customFormat="1" ht="14.25" hidden="1" customHeight="1" outlineLevel="1" x14ac:dyDescent="0.2">
      <c r="A85" s="2">
        <v>57</v>
      </c>
      <c r="B85" s="2" t="s">
        <v>240</v>
      </c>
      <c r="C85" s="8" t="s">
        <v>241</v>
      </c>
      <c r="D85" s="2" t="s">
        <v>179</v>
      </c>
      <c r="E85" s="157">
        <v>0.02</v>
      </c>
      <c r="F85" s="152">
        <v>15.37</v>
      </c>
      <c r="G85" s="27">
        <f t="shared" si="6"/>
        <v>0.31</v>
      </c>
      <c r="H85" s="151">
        <f t="shared" si="5"/>
        <v>6.836053788717423E-5</v>
      </c>
      <c r="I85" s="27">
        <f>ROUND(F85*Прил.10!$D$13,2)</f>
        <v>123.57</v>
      </c>
      <c r="J85" s="27">
        <f t="shared" si="7"/>
        <v>2.4700000000000002</v>
      </c>
    </row>
    <row r="86" spans="1:10" s="12" customFormat="1" ht="14.25" hidden="1" customHeight="1" outlineLevel="1" x14ac:dyDescent="0.2">
      <c r="A86" s="2">
        <v>58</v>
      </c>
      <c r="B86" s="2" t="s">
        <v>242</v>
      </c>
      <c r="C86" s="8" t="s">
        <v>243</v>
      </c>
      <c r="D86" s="2" t="s">
        <v>179</v>
      </c>
      <c r="E86" s="157">
        <v>0.01</v>
      </c>
      <c r="F86" s="152">
        <v>27.74</v>
      </c>
      <c r="G86" s="27">
        <f t="shared" si="6"/>
        <v>0.28000000000000003</v>
      </c>
      <c r="H86" s="151">
        <f t="shared" si="5"/>
        <v>6.1745001962608989E-5</v>
      </c>
      <c r="I86" s="27">
        <f>ROUND(F86*Прил.10!$D$13,2)</f>
        <v>223.03</v>
      </c>
      <c r="J86" s="27">
        <f t="shared" si="7"/>
        <v>2.23</v>
      </c>
    </row>
    <row r="87" spans="1:10" s="12" customFormat="1" ht="14.25" hidden="1" customHeight="1" outlineLevel="1" x14ac:dyDescent="0.2">
      <c r="A87" s="2">
        <v>59</v>
      </c>
      <c r="B87" s="2" t="s">
        <v>244</v>
      </c>
      <c r="C87" s="8" t="s">
        <v>245</v>
      </c>
      <c r="D87" s="2" t="s">
        <v>184</v>
      </c>
      <c r="E87" s="157">
        <v>2.9999999999999997E-4</v>
      </c>
      <c r="F87" s="152">
        <v>729.98</v>
      </c>
      <c r="G87" s="27">
        <f t="shared" si="6"/>
        <v>0.22</v>
      </c>
      <c r="H87" s="151">
        <f t="shared" si="5"/>
        <v>4.8513930113478486E-5</v>
      </c>
      <c r="I87" s="27">
        <f>ROUND(F87*Прил.10!$D$13,2)</f>
        <v>5869.04</v>
      </c>
      <c r="J87" s="27">
        <f t="shared" si="7"/>
        <v>1.76</v>
      </c>
    </row>
    <row r="88" spans="1:10" s="12" customFormat="1" ht="14.25" hidden="1" customHeight="1" outlineLevel="1" x14ac:dyDescent="0.2">
      <c r="A88" s="2">
        <v>60</v>
      </c>
      <c r="B88" s="2" t="s">
        <v>246</v>
      </c>
      <c r="C88" s="8" t="s">
        <v>247</v>
      </c>
      <c r="D88" s="2" t="s">
        <v>184</v>
      </c>
      <c r="E88" s="157">
        <v>0.14099999999999999</v>
      </c>
      <c r="F88" s="152"/>
      <c r="G88" s="27">
        <f t="shared" si="6"/>
        <v>0</v>
      </c>
      <c r="H88" s="151">
        <f t="shared" si="5"/>
        <v>0</v>
      </c>
      <c r="I88" s="27">
        <f>ROUND(F88*Прил.10!$D$13,2)</f>
        <v>0</v>
      </c>
      <c r="J88" s="27">
        <f t="shared" si="7"/>
        <v>0</v>
      </c>
    </row>
    <row r="89" spans="1:10" s="12" customFormat="1" ht="14.25" customHeight="1" collapsed="1" x14ac:dyDescent="0.2">
      <c r="A89" s="2"/>
      <c r="B89" s="2"/>
      <c r="C89" s="8" t="s">
        <v>314</v>
      </c>
      <c r="D89" s="2"/>
      <c r="E89" s="186"/>
      <c r="F89" s="152"/>
      <c r="G89" s="27">
        <f>SUM(G57:G88)</f>
        <v>879.67000000000007</v>
      </c>
      <c r="H89" s="151">
        <f t="shared" si="5"/>
        <v>0.19398294955874373</v>
      </c>
      <c r="I89" s="27"/>
      <c r="J89" s="27">
        <f>SUM(J57:J88)</f>
        <v>7072.6400000000012</v>
      </c>
    </row>
    <row r="90" spans="1:10" s="12" customFormat="1" ht="14.25" customHeight="1" x14ac:dyDescent="0.2">
      <c r="A90" s="2"/>
      <c r="B90" s="2"/>
      <c r="C90" s="158" t="s">
        <v>315</v>
      </c>
      <c r="D90" s="2"/>
      <c r="E90" s="186"/>
      <c r="F90" s="152"/>
      <c r="G90" s="27">
        <f>G56+G89</f>
        <v>4534.7800000000007</v>
      </c>
      <c r="H90" s="187">
        <f t="shared" si="5"/>
        <v>1</v>
      </c>
      <c r="I90" s="27"/>
      <c r="J90" s="27">
        <f>J56+J89</f>
        <v>36459.75</v>
      </c>
    </row>
    <row r="91" spans="1:10" s="12" customFormat="1" ht="14.25" customHeight="1" x14ac:dyDescent="0.2">
      <c r="A91" s="2"/>
      <c r="B91" s="2"/>
      <c r="C91" s="8" t="s">
        <v>316</v>
      </c>
      <c r="D91" s="2"/>
      <c r="E91" s="186"/>
      <c r="F91" s="152"/>
      <c r="G91" s="27">
        <f>G16+G30+G90</f>
        <v>8845.9600000000009</v>
      </c>
      <c r="H91" s="187"/>
      <c r="I91" s="27"/>
      <c r="J91" s="27">
        <f>J16+J30+J90</f>
        <v>203982.19999999998</v>
      </c>
    </row>
    <row r="92" spans="1:10" s="12" customFormat="1" ht="14.25" customHeight="1" x14ac:dyDescent="0.2">
      <c r="A92" s="2"/>
      <c r="B92" s="2"/>
      <c r="C92" s="8" t="s">
        <v>317</v>
      </c>
      <c r="D92" s="164">
        <f>ROUND(G92/(G$18+$G$16),2)</f>
        <v>0.93</v>
      </c>
      <c r="E92" s="186"/>
      <c r="F92" s="152"/>
      <c r="G92" s="27">
        <f>1133.12+2104.62</f>
        <v>3237.74</v>
      </c>
      <c r="H92" s="187"/>
      <c r="I92" s="27"/>
      <c r="J92" s="27">
        <f>ROUND(D92*(J16+J18),2)</f>
        <v>147721.1</v>
      </c>
    </row>
    <row r="93" spans="1:10" s="12" customFormat="1" ht="14.25" customHeight="1" x14ac:dyDescent="0.2">
      <c r="A93" s="2"/>
      <c r="B93" s="2"/>
      <c r="C93" s="8" t="s">
        <v>318</v>
      </c>
      <c r="D93" s="164">
        <f>ROUND(G93/(G$16+G$18),2)</f>
        <v>0.48</v>
      </c>
      <c r="E93" s="186"/>
      <c r="F93" s="152"/>
      <c r="G93" s="27">
        <f>595.76+1078.64</f>
        <v>1674.4</v>
      </c>
      <c r="H93" s="187"/>
      <c r="I93" s="27"/>
      <c r="J93" s="27">
        <f>ROUND(D93*(J16+J18),2)</f>
        <v>76243.149999999994</v>
      </c>
    </row>
    <row r="94" spans="1:10" s="12" customFormat="1" ht="14.25" customHeight="1" x14ac:dyDescent="0.2">
      <c r="A94" s="2"/>
      <c r="B94" s="2"/>
      <c r="C94" s="8" t="s">
        <v>319</v>
      </c>
      <c r="D94" s="2"/>
      <c r="E94" s="186"/>
      <c r="F94" s="152"/>
      <c r="G94" s="27">
        <f>G16+G30+G90+G92+G93</f>
        <v>13758.1</v>
      </c>
      <c r="H94" s="187"/>
      <c r="I94" s="27"/>
      <c r="J94" s="27">
        <f>J16+J30+J90+J92+J93</f>
        <v>427946.44999999995</v>
      </c>
    </row>
    <row r="95" spans="1:10" s="12" customFormat="1" ht="14.25" customHeight="1" x14ac:dyDescent="0.2">
      <c r="A95" s="2"/>
      <c r="B95" s="2"/>
      <c r="C95" s="8" t="s">
        <v>320</v>
      </c>
      <c r="D95" s="2"/>
      <c r="E95" s="186"/>
      <c r="F95" s="152"/>
      <c r="G95" s="27">
        <f>G94+G51</f>
        <v>447189.87999999995</v>
      </c>
      <c r="H95" s="187"/>
      <c r="I95" s="27"/>
      <c r="J95" s="27">
        <f>J94+J51</f>
        <v>3141229.4000000004</v>
      </c>
    </row>
    <row r="96" spans="1:10" s="12" customFormat="1" ht="34.5" customHeight="1" x14ac:dyDescent="0.2">
      <c r="A96" s="2"/>
      <c r="B96" s="2"/>
      <c r="C96" s="8" t="s">
        <v>284</v>
      </c>
      <c r="D96" s="2" t="s">
        <v>321</v>
      </c>
      <c r="E96" s="189">
        <v>1</v>
      </c>
      <c r="F96" s="152"/>
      <c r="G96" s="27">
        <f>G95/E96</f>
        <v>447189.87999999995</v>
      </c>
      <c r="H96" s="187"/>
      <c r="I96" s="27"/>
      <c r="J96" s="27">
        <f>J95/E96</f>
        <v>3141229.4000000004</v>
      </c>
    </row>
    <row r="98" spans="1:1" s="12" customFormat="1" ht="14.25" customHeight="1" x14ac:dyDescent="0.2">
      <c r="A98" s="4" t="s">
        <v>322</v>
      </c>
    </row>
    <row r="99" spans="1:1" s="12" customFormat="1" ht="14.25" customHeight="1" x14ac:dyDescent="0.2">
      <c r="A99" s="165" t="s">
        <v>76</v>
      </c>
    </row>
    <row r="100" spans="1:1" s="12" customFormat="1" ht="14.25" customHeight="1" x14ac:dyDescent="0.2">
      <c r="A100" s="4"/>
    </row>
    <row r="101" spans="1:1" s="12" customFormat="1" ht="14.25" customHeight="1" x14ac:dyDescent="0.2">
      <c r="A101" s="4" t="s">
        <v>323</v>
      </c>
    </row>
    <row r="102" spans="1:1" s="12" customFormat="1" ht="14.25" customHeight="1" x14ac:dyDescent="0.2">
      <c r="A102" s="165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4:H54"/>
    <mergeCell ref="B12:H12"/>
    <mergeCell ref="B17:H17"/>
    <mergeCell ref="B19:H19"/>
    <mergeCell ref="B20:H20"/>
    <mergeCell ref="B32:H32"/>
    <mergeCell ref="B31:H31"/>
    <mergeCell ref="B53:H53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5"/>
  <sheetViews>
    <sheetView view="pageBreakPreview" topLeftCell="A16" workbookViewId="0">
      <selection activeCell="F33" sqref="F3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2" t="s">
        <v>324</v>
      </c>
      <c r="B1" s="242"/>
      <c r="C1" s="242"/>
      <c r="D1" s="242"/>
      <c r="E1" s="242"/>
      <c r="F1" s="242"/>
      <c r="G1" s="242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9" t="s">
        <v>325</v>
      </c>
      <c r="B3" s="199"/>
      <c r="C3" s="199"/>
      <c r="D3" s="199"/>
      <c r="E3" s="199"/>
      <c r="F3" s="199"/>
      <c r="G3" s="199"/>
    </row>
    <row r="4" spans="1:7" ht="25.5" customHeight="1" x14ac:dyDescent="0.25">
      <c r="A4" s="202" t="s">
        <v>47</v>
      </c>
      <c r="B4" s="202"/>
      <c r="C4" s="202"/>
      <c r="D4" s="202"/>
      <c r="E4" s="202"/>
      <c r="F4" s="202"/>
      <c r="G4" s="202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7" t="s">
        <v>13</v>
      </c>
      <c r="B6" s="247" t="s">
        <v>98</v>
      </c>
      <c r="C6" s="247" t="s">
        <v>250</v>
      </c>
      <c r="D6" s="247" t="s">
        <v>100</v>
      </c>
      <c r="E6" s="226" t="s">
        <v>293</v>
      </c>
      <c r="F6" s="247" t="s">
        <v>102</v>
      </c>
      <c r="G6" s="247"/>
    </row>
    <row r="7" spans="1:7" x14ac:dyDescent="0.25">
      <c r="A7" s="247"/>
      <c r="B7" s="247"/>
      <c r="C7" s="247"/>
      <c r="D7" s="247"/>
      <c r="E7" s="227"/>
      <c r="F7" s="2" t="s">
        <v>296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3" t="s">
        <v>326</v>
      </c>
      <c r="C9" s="244"/>
      <c r="D9" s="244"/>
      <c r="E9" s="244"/>
      <c r="F9" s="244"/>
      <c r="G9" s="245"/>
    </row>
    <row r="10" spans="1:7" ht="27" customHeight="1" x14ac:dyDescent="0.25">
      <c r="A10" s="2"/>
      <c r="B10" s="158"/>
      <c r="C10" s="8" t="s">
        <v>327</v>
      </c>
      <c r="D10" s="158"/>
      <c r="E10" s="166"/>
      <c r="F10" s="152"/>
      <c r="G10" s="27">
        <v>0</v>
      </c>
    </row>
    <row r="11" spans="1:7" x14ac:dyDescent="0.25">
      <c r="A11" s="2"/>
      <c r="B11" s="234" t="s">
        <v>328</v>
      </c>
      <c r="C11" s="234"/>
      <c r="D11" s="234"/>
      <c r="E11" s="246"/>
      <c r="F11" s="236"/>
      <c r="G11" s="236"/>
    </row>
    <row r="12" spans="1:7" s="114" customFormat="1" ht="15.75" customHeight="1" x14ac:dyDescent="0.25">
      <c r="A12" s="2">
        <v>1</v>
      </c>
      <c r="B12" s="8" t="str">
        <f>'Прил.5 Расчет СМР и ОБ'!B33</f>
        <v>61.3.05.04-0002</v>
      </c>
      <c r="C12" s="8" t="str">
        <f>'Прил.5 Расчет СМР и ОБ'!C33</f>
        <v>Сервер HP ProLiant DL360</v>
      </c>
      <c r="D12" s="2" t="str">
        <f>'Прил.5 Расчет СМР и ОБ'!D33</f>
        <v>компл</v>
      </c>
      <c r="E12" s="157">
        <f>'Прил.5 Расчет СМР и ОБ'!E33</f>
        <v>1</v>
      </c>
      <c r="F12" s="152">
        <f>'Прил.5 Расчет СМР и ОБ'!F33</f>
        <v>167692.96</v>
      </c>
      <c r="G12" s="27">
        <f t="shared" ref="G12:G27" si="0">ROUND(E12*F12,2)</f>
        <v>167692.96</v>
      </c>
    </row>
    <row r="13" spans="1:7" s="114" customFormat="1" ht="25.5" customHeight="1" x14ac:dyDescent="0.25">
      <c r="A13" s="2">
        <v>2</v>
      </c>
      <c r="B13" s="8" t="str">
        <f>'Прил.5 Расчет СМР и ОБ'!B34</f>
        <v>62.4.02.01-0047</v>
      </c>
      <c r="C13" s="8" t="str">
        <f>'Прил.5 Расчет СМР и ОБ'!C34</f>
        <v>Источник бесперебойного питания: APC SMART-UPS RT 4000VA RM/230</v>
      </c>
      <c r="D13" s="2" t="str">
        <f>'Прил.5 Расчет СМР и ОБ'!D34</f>
        <v>шт</v>
      </c>
      <c r="E13" s="157">
        <f>'Прил.5 Расчет СМР и ОБ'!E34</f>
        <v>3</v>
      </c>
      <c r="F13" s="152">
        <f>'Прил.5 Расчет СМР и ОБ'!F34</f>
        <v>16999.43</v>
      </c>
      <c r="G13" s="27">
        <f t="shared" si="0"/>
        <v>50998.29</v>
      </c>
    </row>
    <row r="14" spans="1:7" s="114" customFormat="1" ht="38.25" customHeight="1" x14ac:dyDescent="0.25">
      <c r="A14" s="2">
        <v>3</v>
      </c>
      <c r="B14" s="8" t="str">
        <f>'Прил.5 Расчет СМР и ОБ'!B35</f>
        <v>61.3.01.02-0031</v>
      </c>
      <c r="C14" s="8" t="str">
        <f>'Прил.5 Расчет СМР и ОБ'!C35</f>
        <v>Видеорегистратор 8-ми канальный DVR-630-08A200 с комплектом расширения хранилища на 2 ТБ DVR XS200-A</v>
      </c>
      <c r="D14" s="2" t="str">
        <f>'Прил.5 Расчет СМР и ОБ'!D35</f>
        <v>компл</v>
      </c>
      <c r="E14" s="157">
        <f>'Прил.5 Расчет СМР и ОБ'!E35</f>
        <v>1</v>
      </c>
      <c r="F14" s="152">
        <f>'Прил.5 Расчет СМР и ОБ'!F35</f>
        <v>43171.35</v>
      </c>
      <c r="G14" s="27">
        <f t="shared" si="0"/>
        <v>43171.35</v>
      </c>
    </row>
    <row r="15" spans="1:7" s="114" customFormat="1" ht="25.5" customHeight="1" x14ac:dyDescent="0.25">
      <c r="A15" s="2">
        <v>4</v>
      </c>
      <c r="B15" s="8" t="str">
        <f>'Прил.5 Расчет СМР и ОБ'!B36</f>
        <v>61.2.07.05-0067</v>
      </c>
      <c r="C15" s="8" t="str">
        <f>'Прил.5 Расчет СМР и ОБ'!C36</f>
        <v>Модуль центральный ECB с Ethernet интерфейсом</v>
      </c>
      <c r="D15" s="2" t="str">
        <f>'Прил.5 Расчет СМР и ОБ'!D36</f>
        <v>шт</v>
      </c>
      <c r="E15" s="157">
        <f>'Прил.5 Расчет СМР и ОБ'!E36</f>
        <v>1</v>
      </c>
      <c r="F15" s="152">
        <f>'Прил.5 Расчет СМР и ОБ'!F36</f>
        <v>37158.83</v>
      </c>
      <c r="G15" s="27">
        <f t="shared" si="0"/>
        <v>37158.83</v>
      </c>
    </row>
    <row r="16" spans="1:7" s="114" customFormat="1" ht="38.25" customHeight="1" x14ac:dyDescent="0.25">
      <c r="A16" s="2">
        <v>5</v>
      </c>
      <c r="B16" s="8" t="str">
        <f>'Прил.5 Расчет СМР и ОБ'!B37</f>
        <v>62.4.02.01-0048</v>
      </c>
      <c r="C16" s="8" t="str">
        <f>'Прил.5 Расчет СМР и ОБ'!C37</f>
        <v>Источники бесперебойного питания, полная выходная мощность 15 кВА, номинальное входное напряжение 230 В</v>
      </c>
      <c r="D16" s="2" t="str">
        <f>'Прил.5 Расчет СМР и ОБ'!D37</f>
        <v>шт</v>
      </c>
      <c r="E16" s="157">
        <f>'Прил.5 Расчет СМР и ОБ'!E37</f>
        <v>1</v>
      </c>
      <c r="F16" s="152">
        <f>'Прил.5 Расчет СМР и ОБ'!F37</f>
        <v>35055.620000000003</v>
      </c>
      <c r="G16" s="27">
        <f t="shared" si="0"/>
        <v>35055.620000000003</v>
      </c>
    </row>
    <row r="17" spans="1:7" s="114" customFormat="1" ht="25.5" customHeight="1" x14ac:dyDescent="0.25">
      <c r="A17" s="2">
        <v>6</v>
      </c>
      <c r="B17" s="8" t="str">
        <f>'Прил.5 Расчет СМР и ОБ'!B38</f>
        <v>61.2.07.05-0050</v>
      </c>
      <c r="C17" s="8" t="str">
        <f>'Прил.5 Расчет СМР и ОБ'!C38</f>
        <v>Модуль расширения внешний IPO 500 EXP MOD PHONE 30</v>
      </c>
      <c r="D17" s="2" t="str">
        <f>'Прил.5 Расчет СМР и ОБ'!D38</f>
        <v>щт</v>
      </c>
      <c r="E17" s="157">
        <f>'Прил.5 Расчет СМР и ОБ'!E38</f>
        <v>1</v>
      </c>
      <c r="F17" s="152">
        <f>'Прил.5 Расчет СМР и ОБ'!F38</f>
        <v>11831</v>
      </c>
      <c r="G17" s="27">
        <f t="shared" si="0"/>
        <v>11831</v>
      </c>
    </row>
    <row r="18" spans="1:7" s="114" customFormat="1" ht="25.5" customHeight="1" x14ac:dyDescent="0.25">
      <c r="A18" s="2">
        <v>7</v>
      </c>
      <c r="B18" s="8" t="str">
        <f>'Прил.5 Расчет СМР и ОБ'!B39</f>
        <v>61.2.07.05-0050</v>
      </c>
      <c r="C18" s="8" t="str">
        <f>'Прил.5 Расчет СМР и ОБ'!C39</f>
        <v>Модуль расширения внешний IPO 500 EXP MOD PHONE 30</v>
      </c>
      <c r="D18" s="2" t="str">
        <f>'Прил.5 Расчет СМР и ОБ'!D39</f>
        <v>шт</v>
      </c>
      <c r="E18" s="157">
        <f>'Прил.5 Расчет СМР и ОБ'!E39</f>
        <v>1</v>
      </c>
      <c r="F18" s="152">
        <f>'Прил.5 Расчет СМР и ОБ'!F39</f>
        <v>11831</v>
      </c>
      <c r="G18" s="27">
        <f t="shared" si="0"/>
        <v>11831</v>
      </c>
    </row>
    <row r="19" spans="1:7" s="114" customFormat="1" ht="25.5" customHeight="1" x14ac:dyDescent="0.25">
      <c r="A19" s="2">
        <v>8</v>
      </c>
      <c r="B19" s="8" t="str">
        <f>'Прил.5 Расчет СМР и ОБ'!B40</f>
        <v>61.2.07.05-0050</v>
      </c>
      <c r="C19" s="8" t="str">
        <f>'Прил.5 Расчет СМР и ОБ'!C40</f>
        <v>Модуль расширения внешний IPO 500 EXP MOD PHONE 30</v>
      </c>
      <c r="D19" s="2" t="str">
        <f>'Прил.5 Расчет СМР и ОБ'!D40</f>
        <v>шт</v>
      </c>
      <c r="E19" s="157">
        <f>'Прил.5 Расчет СМР и ОБ'!E40</f>
        <v>1</v>
      </c>
      <c r="F19" s="152">
        <f>'Прил.5 Расчет СМР и ОБ'!F40</f>
        <v>11831</v>
      </c>
      <c r="G19" s="27">
        <f t="shared" si="0"/>
        <v>11831</v>
      </c>
    </row>
    <row r="20" spans="1:7" s="114" customFormat="1" ht="25.5" customHeight="1" x14ac:dyDescent="0.25">
      <c r="A20" s="2">
        <v>9</v>
      </c>
      <c r="B20" s="8" t="str">
        <f>'Прил.5 Расчет СМР и ОБ'!B42</f>
        <v>61.2.07.05-0050</v>
      </c>
      <c r="C20" s="8" t="str">
        <f>'Прил.5 Расчет СМР и ОБ'!C42</f>
        <v>Модуль расширения внешний IPO 500 EXP MOD PHONE 30</v>
      </c>
      <c r="D20" s="2" t="str">
        <f>'Прил.5 Расчет СМР и ОБ'!D42</f>
        <v>шт</v>
      </c>
      <c r="E20" s="157">
        <f>'Прил.5 Расчет СМР и ОБ'!E42</f>
        <v>1</v>
      </c>
      <c r="F20" s="152">
        <f>'Прил.5 Расчет СМР и ОБ'!F42</f>
        <v>11831</v>
      </c>
      <c r="G20" s="27">
        <f t="shared" si="0"/>
        <v>11831</v>
      </c>
    </row>
    <row r="21" spans="1:7" s="114" customFormat="1" ht="25.5" customHeight="1" x14ac:dyDescent="0.25">
      <c r="A21" s="2">
        <v>10</v>
      </c>
      <c r="B21" s="8" t="str">
        <f>'Прил.5 Расчет СМР и ОБ'!B43</f>
        <v>61.3.05.02-0002</v>
      </c>
      <c r="C21" s="8" t="str">
        <f>'Прил.5 Расчет СМР и ОБ'!C43</f>
        <v>Монитор ЖК UML 202-90, диагональ 20 дюймов, расширение 1600x1200 пикселов</v>
      </c>
      <c r="D21" s="2" t="str">
        <f>'Прил.5 Расчет СМР и ОБ'!D43</f>
        <v>шт</v>
      </c>
      <c r="E21" s="157">
        <f>'Прил.5 Расчет СМР и ОБ'!E43</f>
        <v>1</v>
      </c>
      <c r="F21" s="152">
        <f>'Прил.5 Расчет СМР и ОБ'!F43</f>
        <v>11279.02</v>
      </c>
      <c r="G21" s="27">
        <f t="shared" si="0"/>
        <v>11279.02</v>
      </c>
    </row>
    <row r="22" spans="1:7" s="114" customFormat="1" ht="25.5" customHeight="1" x14ac:dyDescent="0.25">
      <c r="A22" s="2">
        <v>11</v>
      </c>
      <c r="B22" s="8" t="str">
        <f>'Прил.5 Расчет СМР и ОБ'!B44</f>
        <v>61.1.04.08-0002</v>
      </c>
      <c r="C22" s="8" t="str">
        <f>'Прил.5 Расчет СМР и ОБ'!C44</f>
        <v>Шкаф телекоммуникационный, размер 800х800х2080 мм</v>
      </c>
      <c r="D22" s="2" t="str">
        <f>'Прил.5 Расчет СМР и ОБ'!D44</f>
        <v>шт</v>
      </c>
      <c r="E22" s="157">
        <f>'Прил.5 Расчет СМР и ОБ'!E44</f>
        <v>1</v>
      </c>
      <c r="F22" s="152">
        <f>'Прил.5 Расчет СМР и ОБ'!F44</f>
        <v>9392.75</v>
      </c>
      <c r="G22" s="27">
        <f t="shared" si="0"/>
        <v>9392.75</v>
      </c>
    </row>
    <row r="23" spans="1:7" s="114" customFormat="1" ht="38.25" customHeight="1" x14ac:dyDescent="0.25">
      <c r="A23" s="2">
        <v>12</v>
      </c>
      <c r="B23" s="8" t="str">
        <f>'Прил.5 Расчет СМР и ОБ'!B45</f>
        <v>61.1.04.08-0002</v>
      </c>
      <c r="C23" s="8" t="str">
        <f>'Прил.5 Расчет СМР и ОБ'!C45</f>
        <v>Шкаф телекоммуникационный марки TFL-428080-GMMM-GY размером 800х800х2080 мм</v>
      </c>
      <c r="D23" s="2" t="str">
        <f>'Прил.5 Расчет СМР и ОБ'!D45</f>
        <v>шт.</v>
      </c>
      <c r="E23" s="157">
        <f>'Прил.5 Расчет СМР и ОБ'!E45</f>
        <v>1</v>
      </c>
      <c r="F23" s="152">
        <f>'Прил.5 Расчет СМР и ОБ'!F45</f>
        <v>9392.75</v>
      </c>
      <c r="G23" s="27">
        <f t="shared" si="0"/>
        <v>9392.75</v>
      </c>
    </row>
    <row r="24" spans="1:7" s="114" customFormat="1" ht="38.25" customHeight="1" x14ac:dyDescent="0.25">
      <c r="A24" s="2">
        <v>13</v>
      </c>
      <c r="B24" s="8" t="str">
        <f>'Прил.5 Расчет СМР и ОБ'!B46</f>
        <v>61.2.07.04-0007</v>
      </c>
      <c r="C24" s="8" t="str">
        <f>'Прил.5 Расчет СМР и ОБ'!C46</f>
        <v>Контроллер сектора охраны с выносной панелью индикации и управления ВПИУ-16</v>
      </c>
      <c r="D24" s="2" t="str">
        <f>'Прил.5 Расчет СМР и ОБ'!D46</f>
        <v>компл</v>
      </c>
      <c r="E24" s="157">
        <f>'Прил.5 Расчет СМР и ОБ'!E46</f>
        <v>1</v>
      </c>
      <c r="F24" s="152">
        <f>'Прил.5 Расчет СМР и ОБ'!F46</f>
        <v>9372.9599999999991</v>
      </c>
      <c r="G24" s="27">
        <f t="shared" si="0"/>
        <v>9372.9599999999991</v>
      </c>
    </row>
    <row r="25" spans="1:7" s="114" customFormat="1" ht="25.5" customHeight="1" x14ac:dyDescent="0.25">
      <c r="A25" s="2">
        <v>14</v>
      </c>
      <c r="B25" s="8" t="str">
        <f>'Прил.5 Расчет СМР и ОБ'!B47</f>
        <v>61.2.07.05-0056</v>
      </c>
      <c r="C25" s="8" t="str">
        <f>'Прил.5 Расчет СМР и ОБ'!C47</f>
        <v>Модуль ресурсов IP-телефонии IPO 500 MC VCM на 64 канала</v>
      </c>
      <c r="D25" s="2" t="str">
        <f>'Прил.5 Расчет СМР и ОБ'!D47</f>
        <v>шт</v>
      </c>
      <c r="E25" s="157">
        <f>'Прил.5 Расчет СМР и ОБ'!E47</f>
        <v>2</v>
      </c>
      <c r="F25" s="152">
        <f>'Прил.5 Расчет СМР и ОБ'!F47</f>
        <v>3850.19</v>
      </c>
      <c r="G25" s="27">
        <f t="shared" si="0"/>
        <v>7700.38</v>
      </c>
    </row>
    <row r="26" spans="1:7" s="114" customFormat="1" ht="38.25" customHeight="1" x14ac:dyDescent="0.25">
      <c r="A26" s="2">
        <v>15</v>
      </c>
      <c r="B26" s="8" t="str">
        <f>'Прил.5 Расчет СМР и ОБ'!B48</f>
        <v>61.2.07.05-0011</v>
      </c>
      <c r="C26" s="8" t="str">
        <f>'Прил.5 Расчет СМР и ОБ'!C48</f>
        <v>Модуль-CD для PAM-60/120/240/360 Inter-M, PAM-CDM для использования в системах оповещения</v>
      </c>
      <c r="D26" s="2" t="str">
        <f>'Прил.5 Расчет СМР и ОБ'!D48</f>
        <v>шт</v>
      </c>
      <c r="E26" s="157">
        <f>'Прил.5 Расчет СМР и ОБ'!E48</f>
        <v>2</v>
      </c>
      <c r="F26" s="152">
        <f>'Прил.5 Расчет СМР и ОБ'!F48</f>
        <v>1983.71</v>
      </c>
      <c r="G26" s="27">
        <f t="shared" si="0"/>
        <v>3967.42</v>
      </c>
    </row>
    <row r="27" spans="1:7" s="114" customFormat="1" ht="51" customHeight="1" x14ac:dyDescent="0.25">
      <c r="A27" s="2">
        <v>16</v>
      </c>
      <c r="B27" s="8" t="str">
        <f>'Прил.5 Расчет СМР и ОБ'!B49</f>
        <v>61.3.05.01-0001</v>
      </c>
      <c r="C27" s="8" t="str">
        <f>'Прил.5 Расчет СМР и ОБ'!C49</f>
        <v>Диск жесткий серверный типа HDD, объем памяти 2000 Гб, буферная память 64 Мб, внешняя скорость передачи данных 300 Мб/с</v>
      </c>
      <c r="D27" s="2" t="str">
        <f>'Прил.5 Расчет СМР и ОБ'!D49</f>
        <v>шт</v>
      </c>
      <c r="E27" s="157">
        <f>'Прил.5 Расчет СМР и ОБ'!E49</f>
        <v>1</v>
      </c>
      <c r="F27" s="152">
        <f>'Прил.5 Расчет СМР и ОБ'!F49</f>
        <v>925.45</v>
      </c>
      <c r="G27" s="27">
        <f t="shared" si="0"/>
        <v>925.45</v>
      </c>
    </row>
    <row r="28" spans="1:7" ht="25.5" customHeight="1" x14ac:dyDescent="0.25">
      <c r="A28" s="2"/>
      <c r="B28" s="8"/>
      <c r="C28" s="8" t="s">
        <v>329</v>
      </c>
      <c r="D28" s="8"/>
      <c r="E28" s="41"/>
      <c r="F28" s="152"/>
      <c r="G28" s="27">
        <f>SUM(G12:G27)</f>
        <v>433431.78</v>
      </c>
    </row>
    <row r="29" spans="1:7" ht="19.5" customHeight="1" x14ac:dyDescent="0.25">
      <c r="A29" s="2"/>
      <c r="B29" s="8"/>
      <c r="C29" s="8" t="s">
        <v>330</v>
      </c>
      <c r="D29" s="8"/>
      <c r="E29" s="41"/>
      <c r="F29" s="152"/>
      <c r="G29" s="27">
        <f>G10+G28</f>
        <v>433431.78</v>
      </c>
    </row>
    <row r="30" spans="1:7" x14ac:dyDescent="0.25">
      <c r="A30" s="25"/>
      <c r="B30" s="167"/>
      <c r="C30" s="25"/>
      <c r="D30" s="25"/>
      <c r="E30" s="25"/>
      <c r="F30" s="25"/>
      <c r="G30" s="25"/>
    </row>
    <row r="31" spans="1:7" x14ac:dyDescent="0.25">
      <c r="A31" s="4" t="s">
        <v>322</v>
      </c>
      <c r="B31" s="12"/>
      <c r="C31" s="12"/>
      <c r="D31" s="25"/>
      <c r="E31" s="25"/>
      <c r="F31" s="25"/>
      <c r="G31" s="25"/>
    </row>
    <row r="32" spans="1:7" x14ac:dyDescent="0.25">
      <c r="A32" s="165" t="s">
        <v>76</v>
      </c>
      <c r="B32" s="12"/>
      <c r="C32" s="12"/>
      <c r="D32" s="25"/>
      <c r="E32" s="25"/>
      <c r="F32" s="25"/>
      <c r="G32" s="25"/>
    </row>
    <row r="33" spans="1:7" x14ac:dyDescent="0.25">
      <c r="A33" s="4"/>
      <c r="B33" s="12"/>
      <c r="C33" s="12"/>
      <c r="D33" s="25"/>
      <c r="E33" s="25"/>
      <c r="F33" s="25"/>
      <c r="G33" s="25"/>
    </row>
    <row r="34" spans="1:7" x14ac:dyDescent="0.25">
      <c r="A34" s="4" t="s">
        <v>323</v>
      </c>
      <c r="B34" s="12"/>
      <c r="C34" s="12"/>
      <c r="D34" s="25"/>
      <c r="E34" s="25"/>
      <c r="F34" s="25"/>
      <c r="G34" s="25"/>
    </row>
    <row r="35" spans="1:7" x14ac:dyDescent="0.25">
      <c r="A35" s="165" t="s">
        <v>78</v>
      </c>
      <c r="B35" s="12"/>
      <c r="C35" s="12"/>
      <c r="D35" s="25"/>
      <c r="E35" s="25"/>
      <c r="F35" s="25"/>
      <c r="G35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2023-11-26T06:14:49Z</cp:lastPrinted>
  <dcterms:created xsi:type="dcterms:W3CDTF">2020-09-30T08:50:27Z</dcterms:created>
  <dcterms:modified xsi:type="dcterms:W3CDTF">2023-11-26T06:15:03Z</dcterms:modified>
  <cp:category/>
</cp:coreProperties>
</file>