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5">'Прил. 3'!$A$1:$H$87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ОБ'!$A$1:$J$103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 l="1"/>
  <c r="D23" i="4" s="1"/>
  <c r="D24" i="4" s="1"/>
  <c r="Q23" i="17"/>
  <c r="H22" i="17"/>
  <c r="G22" i="17"/>
  <c r="M21" i="17"/>
  <c r="L21" i="17"/>
  <c r="K21" i="17"/>
  <c r="N21" i="17" s="1"/>
  <c r="J21" i="17"/>
  <c r="I21" i="17"/>
  <c r="H21" i="17"/>
  <c r="G21" i="17"/>
  <c r="P20" i="17"/>
  <c r="O20" i="17"/>
  <c r="N20" i="17"/>
  <c r="P19" i="17"/>
  <c r="O19" i="17"/>
  <c r="N19" i="17"/>
  <c r="P18" i="17"/>
  <c r="O18" i="17"/>
  <c r="N18" i="17"/>
  <c r="F18" i="17"/>
  <c r="M17" i="17"/>
  <c r="L17" i="17"/>
  <c r="K17" i="17"/>
  <c r="N17" i="17" s="1"/>
  <c r="I17" i="17"/>
  <c r="H17" i="17"/>
  <c r="G17" i="17"/>
  <c r="P16" i="17"/>
  <c r="O16" i="17"/>
  <c r="N16" i="17"/>
  <c r="P15" i="17"/>
  <c r="O15" i="17"/>
  <c r="N15" i="17"/>
  <c r="R15" i="17" s="1"/>
  <c r="P14" i="17"/>
  <c r="O14" i="17"/>
  <c r="N14" i="17"/>
  <c r="F14" i="17"/>
  <c r="M13" i="17"/>
  <c r="L13" i="17"/>
  <c r="K13" i="17"/>
  <c r="N13" i="17" s="1"/>
  <c r="I13" i="17"/>
  <c r="H13" i="17"/>
  <c r="G13" i="17"/>
  <c r="F13" i="17" s="1"/>
  <c r="P12" i="17"/>
  <c r="O12" i="17"/>
  <c r="N12" i="17"/>
  <c r="F12" i="17"/>
  <c r="M11" i="17"/>
  <c r="P11" i="17" s="1"/>
  <c r="L11" i="17"/>
  <c r="K11" i="17"/>
  <c r="N11" i="17" s="1"/>
  <c r="I11" i="17"/>
  <c r="H11" i="17"/>
  <c r="G11" i="17"/>
  <c r="F11" i="17" s="1"/>
  <c r="M10" i="17"/>
  <c r="K10" i="17"/>
  <c r="I10" i="17"/>
  <c r="I9" i="17" s="1"/>
  <c r="H10" i="17"/>
  <c r="G10" i="17"/>
  <c r="F10" i="17" s="1"/>
  <c r="M9" i="17"/>
  <c r="K9" i="17"/>
  <c r="O15" i="16"/>
  <c r="N15" i="16"/>
  <c r="M15" i="16"/>
  <c r="J15" i="16" s="1"/>
  <c r="L15" i="16"/>
  <c r="K15" i="16"/>
  <c r="D15" i="16"/>
  <c r="M14" i="16"/>
  <c r="L14" i="16"/>
  <c r="K14" i="16"/>
  <c r="J14" i="16"/>
  <c r="H14" i="16"/>
  <c r="N14" i="16" s="1"/>
  <c r="O14" i="16" s="1"/>
  <c r="D14" i="16"/>
  <c r="N13" i="16"/>
  <c r="O13" i="16" s="1"/>
  <c r="M13" i="16"/>
  <c r="L13" i="16"/>
  <c r="K13" i="16"/>
  <c r="J13" i="16" s="1"/>
  <c r="D13" i="16"/>
  <c r="O12" i="16"/>
  <c r="J12" i="16"/>
  <c r="D12" i="16"/>
  <c r="N11" i="16"/>
  <c r="O11" i="16" s="1"/>
  <c r="M11" i="16"/>
  <c r="L11" i="16"/>
  <c r="K11" i="16"/>
  <c r="J11" i="16" s="1"/>
  <c r="D11" i="16"/>
  <c r="M10" i="16"/>
  <c r="I10" i="16"/>
  <c r="H10" i="16"/>
  <c r="N10" i="16" s="1"/>
  <c r="F10" i="16"/>
  <c r="L10" i="16" s="1"/>
  <c r="E10" i="16"/>
  <c r="K10" i="16" s="1"/>
  <c r="J10" i="16" s="1"/>
  <c r="N9" i="16"/>
  <c r="M9" i="16"/>
  <c r="K9" i="16"/>
  <c r="H9" i="16"/>
  <c r="F9" i="16"/>
  <c r="D9" i="16" s="1"/>
  <c r="E9" i="16"/>
  <c r="G19" i="15"/>
  <c r="G20" i="15" s="1"/>
  <c r="G8" i="15"/>
  <c r="F8" i="15"/>
  <c r="H12" i="15" s="1"/>
  <c r="E8" i="15"/>
  <c r="H16" i="15" s="1"/>
  <c r="I16" i="15" s="1"/>
  <c r="A3" i="15"/>
  <c r="E13" i="14"/>
  <c r="E8" i="14"/>
  <c r="E8" i="13"/>
  <c r="E13" i="13" s="1"/>
  <c r="I15" i="8" s="1"/>
  <c r="E8" i="12"/>
  <c r="E13" i="12" s="1"/>
  <c r="I14" i="8" s="1"/>
  <c r="D5" i="10"/>
  <c r="F27" i="9"/>
  <c r="G27" i="9" s="1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G21" i="9"/>
  <c r="F21" i="9"/>
  <c r="E21" i="9"/>
  <c r="D21" i="9"/>
  <c r="C21" i="9"/>
  <c r="B21" i="9"/>
  <c r="F20" i="9"/>
  <c r="E20" i="9"/>
  <c r="G20" i="9" s="1"/>
  <c r="D20" i="9"/>
  <c r="C20" i="9"/>
  <c r="B20" i="9"/>
  <c r="F19" i="9"/>
  <c r="G19" i="9" s="1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G13" i="9"/>
  <c r="F13" i="9"/>
  <c r="E13" i="9"/>
  <c r="D13" i="9"/>
  <c r="C13" i="9"/>
  <c r="B13" i="9"/>
  <c r="F12" i="9"/>
  <c r="E12" i="9"/>
  <c r="G12" i="9" s="1"/>
  <c r="G28" i="9" s="1"/>
  <c r="D12" i="9"/>
  <c r="C12" i="9"/>
  <c r="B12" i="9"/>
  <c r="G94" i="8"/>
  <c r="G93" i="8"/>
  <c r="J89" i="8"/>
  <c r="I89" i="8"/>
  <c r="G89" i="8"/>
  <c r="I88" i="8"/>
  <c r="J88" i="8" s="1"/>
  <c r="G88" i="8"/>
  <c r="J87" i="8"/>
  <c r="I87" i="8"/>
  <c r="G87" i="8"/>
  <c r="I86" i="8"/>
  <c r="J86" i="8" s="1"/>
  <c r="G86" i="8"/>
  <c r="J85" i="8"/>
  <c r="I85" i="8"/>
  <c r="G85" i="8"/>
  <c r="I84" i="8"/>
  <c r="J84" i="8" s="1"/>
  <c r="G84" i="8"/>
  <c r="J83" i="8"/>
  <c r="I83" i="8"/>
  <c r="G83" i="8"/>
  <c r="I82" i="8"/>
  <c r="J82" i="8" s="1"/>
  <c r="G82" i="8"/>
  <c r="J81" i="8"/>
  <c r="I81" i="8"/>
  <c r="G81" i="8"/>
  <c r="I80" i="8"/>
  <c r="J80" i="8" s="1"/>
  <c r="G80" i="8"/>
  <c r="J79" i="8"/>
  <c r="I79" i="8"/>
  <c r="G79" i="8"/>
  <c r="I78" i="8"/>
  <c r="J78" i="8" s="1"/>
  <c r="G78" i="8"/>
  <c r="J77" i="8"/>
  <c r="I77" i="8"/>
  <c r="G77" i="8"/>
  <c r="I76" i="8"/>
  <c r="J76" i="8" s="1"/>
  <c r="G76" i="8"/>
  <c r="J75" i="8"/>
  <c r="I75" i="8"/>
  <c r="G75" i="8"/>
  <c r="I74" i="8"/>
  <c r="J74" i="8" s="1"/>
  <c r="G74" i="8"/>
  <c r="J73" i="8"/>
  <c r="I73" i="8"/>
  <c r="G73" i="8"/>
  <c r="I72" i="8"/>
  <c r="J72" i="8" s="1"/>
  <c r="G72" i="8"/>
  <c r="J71" i="8"/>
  <c r="I71" i="8"/>
  <c r="G71" i="8"/>
  <c r="I70" i="8"/>
  <c r="J70" i="8" s="1"/>
  <c r="G70" i="8"/>
  <c r="J69" i="8"/>
  <c r="I69" i="8"/>
  <c r="G69" i="8"/>
  <c r="I68" i="8"/>
  <c r="J68" i="8" s="1"/>
  <c r="G68" i="8"/>
  <c r="J67" i="8"/>
  <c r="I67" i="8"/>
  <c r="G67" i="8"/>
  <c r="I66" i="8"/>
  <c r="J66" i="8" s="1"/>
  <c r="G66" i="8"/>
  <c r="J65" i="8"/>
  <c r="I65" i="8"/>
  <c r="G65" i="8"/>
  <c r="I64" i="8"/>
  <c r="J64" i="8" s="1"/>
  <c r="G64" i="8"/>
  <c r="J63" i="8"/>
  <c r="I63" i="8"/>
  <c r="G63" i="8"/>
  <c r="I62" i="8"/>
  <c r="J62" i="8" s="1"/>
  <c r="G62" i="8"/>
  <c r="J61" i="8"/>
  <c r="I61" i="8"/>
  <c r="G61" i="8"/>
  <c r="I60" i="8"/>
  <c r="J60" i="8" s="1"/>
  <c r="G60" i="8"/>
  <c r="J59" i="8"/>
  <c r="I59" i="8"/>
  <c r="G59" i="8"/>
  <c r="I58" i="8"/>
  <c r="J58" i="8" s="1"/>
  <c r="J90" i="8" s="1"/>
  <c r="C17" i="7" s="1"/>
  <c r="G58" i="8"/>
  <c r="G90" i="8" s="1"/>
  <c r="J57" i="8"/>
  <c r="C16" i="7" s="1"/>
  <c r="G57" i="8"/>
  <c r="J56" i="8"/>
  <c r="I56" i="8"/>
  <c r="G56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I46" i="8"/>
  <c r="J46" i="8" s="1"/>
  <c r="G46" i="8"/>
  <c r="J45" i="8"/>
  <c r="I45" i="8"/>
  <c r="G45" i="8"/>
  <c r="I44" i="8"/>
  <c r="J44" i="8" s="1"/>
  <c r="G44" i="8"/>
  <c r="I43" i="8"/>
  <c r="J43" i="8" s="1"/>
  <c r="G43" i="8"/>
  <c r="G51" i="8" s="1"/>
  <c r="J41" i="8"/>
  <c r="I41" i="8"/>
  <c r="G41" i="8"/>
  <c r="I40" i="8"/>
  <c r="J40" i="8" s="1"/>
  <c r="G40" i="8"/>
  <c r="I39" i="8"/>
  <c r="J39" i="8" s="1"/>
  <c r="G39" i="8"/>
  <c r="I38" i="8"/>
  <c r="J38" i="8" s="1"/>
  <c r="G38" i="8"/>
  <c r="J37" i="8"/>
  <c r="I37" i="8"/>
  <c r="G37" i="8"/>
  <c r="I36" i="8"/>
  <c r="J36" i="8" s="1"/>
  <c r="G36" i="8"/>
  <c r="I35" i="8"/>
  <c r="J35" i="8" s="1"/>
  <c r="G35" i="8"/>
  <c r="I34" i="8"/>
  <c r="J34" i="8" s="1"/>
  <c r="G34" i="8"/>
  <c r="G42" i="8" s="1"/>
  <c r="I29" i="8"/>
  <c r="J29" i="8" s="1"/>
  <c r="G29" i="8"/>
  <c r="I28" i="8"/>
  <c r="J28" i="8" s="1"/>
  <c r="G28" i="8"/>
  <c r="I27" i="8"/>
  <c r="J27" i="8" s="1"/>
  <c r="G27" i="8"/>
  <c r="J26" i="8"/>
  <c r="I26" i="8"/>
  <c r="G26" i="8"/>
  <c r="I24" i="8"/>
  <c r="J24" i="8" s="1"/>
  <c r="G24" i="8"/>
  <c r="I23" i="8"/>
  <c r="J23" i="8" s="1"/>
  <c r="J25" i="8" s="1"/>
  <c r="C12" i="7" s="1"/>
  <c r="G23" i="8"/>
  <c r="J22" i="8"/>
  <c r="I22" i="8"/>
  <c r="G22" i="8"/>
  <c r="E19" i="8"/>
  <c r="I16" i="8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29" i="6"/>
  <c r="H28" i="6"/>
  <c r="H27" i="6"/>
  <c r="H26" i="6"/>
  <c r="H25" i="6"/>
  <c r="H24" i="6"/>
  <c r="H23" i="6"/>
  <c r="H20" i="6"/>
  <c r="G19" i="8" s="1"/>
  <c r="F20" i="6"/>
  <c r="H19" i="6"/>
  <c r="H18" i="6"/>
  <c r="H17" i="6"/>
  <c r="H16" i="6"/>
  <c r="H15" i="6"/>
  <c r="G16" i="8" s="1"/>
  <c r="H14" i="6"/>
  <c r="G15" i="8" s="1"/>
  <c r="H13" i="6"/>
  <c r="H12" i="6"/>
  <c r="H11" i="6"/>
  <c r="F10" i="6"/>
  <c r="F13" i="5"/>
  <c r="F14" i="5" s="1"/>
  <c r="H13" i="5"/>
  <c r="H14" i="5" s="1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H22" i="6" l="1"/>
  <c r="H47" i="6"/>
  <c r="H30" i="6"/>
  <c r="H10" i="6"/>
  <c r="G14" i="8" s="1"/>
  <c r="E14" i="8" s="1"/>
  <c r="H39" i="8"/>
  <c r="E15" i="8"/>
  <c r="J15" i="8" s="1"/>
  <c r="O9" i="16"/>
  <c r="O16" i="16" s="1"/>
  <c r="H66" i="8"/>
  <c r="H87" i="8"/>
  <c r="H60" i="8"/>
  <c r="C18" i="7"/>
  <c r="H51" i="8"/>
  <c r="O10" i="16"/>
  <c r="H74" i="8"/>
  <c r="H35" i="8"/>
  <c r="H75" i="8"/>
  <c r="G52" i="8"/>
  <c r="J14" i="5"/>
  <c r="H48" i="8"/>
  <c r="J51" i="8"/>
  <c r="J52" i="8" s="1"/>
  <c r="C25" i="7" s="1"/>
  <c r="H37" i="8"/>
  <c r="H45" i="8"/>
  <c r="E16" i="8"/>
  <c r="J16" i="8" s="1"/>
  <c r="H49" i="8"/>
  <c r="G6" i="3"/>
  <c r="D6" i="3" s="1"/>
  <c r="G8" i="3"/>
  <c r="D8" i="3" s="1"/>
  <c r="G7" i="3"/>
  <c r="D7" i="3" s="1"/>
  <c r="G5" i="3"/>
  <c r="H64" i="8"/>
  <c r="I12" i="15"/>
  <c r="G53" i="8"/>
  <c r="J53" i="8" s="1"/>
  <c r="C26" i="7" s="1"/>
  <c r="G29" i="9"/>
  <c r="J42" i="8"/>
  <c r="H44" i="8"/>
  <c r="J30" i="8"/>
  <c r="H46" i="8"/>
  <c r="G91" i="8"/>
  <c r="H90" i="8" s="1"/>
  <c r="H71" i="8"/>
  <c r="H58" i="8"/>
  <c r="L9" i="16"/>
  <c r="J9" i="16" s="1"/>
  <c r="G9" i="17"/>
  <c r="F21" i="17"/>
  <c r="J91" i="8"/>
  <c r="D10" i="16"/>
  <c r="N10" i="17"/>
  <c r="F17" i="17"/>
  <c r="F19" i="8"/>
  <c r="I19" i="8" s="1"/>
  <c r="J19" i="8" s="1"/>
  <c r="C15" i="7" s="1"/>
  <c r="G25" i="8"/>
  <c r="E11" i="15"/>
  <c r="I11" i="15" s="1"/>
  <c r="F9" i="15"/>
  <c r="P10" i="17"/>
  <c r="G30" i="8"/>
  <c r="O10" i="17"/>
  <c r="O21" i="17"/>
  <c r="R21" i="17" s="1"/>
  <c r="P13" i="17"/>
  <c r="J13" i="5"/>
  <c r="P21" i="17"/>
  <c r="E9" i="15"/>
  <c r="O13" i="17"/>
  <c r="O17" i="17"/>
  <c r="P22" i="17"/>
  <c r="R19" i="17"/>
  <c r="I8" i="15"/>
  <c r="O11" i="17"/>
  <c r="R11" i="17" s="1"/>
  <c r="N22" i="17"/>
  <c r="R13" i="17"/>
  <c r="R17" i="17"/>
  <c r="P17" i="17"/>
  <c r="H9" i="17"/>
  <c r="F9" i="17" s="1"/>
  <c r="F22" i="17"/>
  <c r="O22" i="17"/>
  <c r="G17" i="8" l="1"/>
  <c r="J31" i="8"/>
  <c r="C13" i="7"/>
  <c r="H76" i="8"/>
  <c r="H80" i="8"/>
  <c r="H86" i="8"/>
  <c r="G31" i="8"/>
  <c r="G95" i="8" s="1"/>
  <c r="G96" i="8" s="1"/>
  <c r="G97" i="8" s="1"/>
  <c r="H30" i="8"/>
  <c r="H79" i="8"/>
  <c r="H25" i="8"/>
  <c r="H67" i="8"/>
  <c r="H72" i="8"/>
  <c r="H68" i="8"/>
  <c r="H70" i="8"/>
  <c r="H63" i="8"/>
  <c r="D94" i="8"/>
  <c r="G92" i="8"/>
  <c r="H62" i="8"/>
  <c r="D5" i="3"/>
  <c r="G9" i="3"/>
  <c r="E19" i="15"/>
  <c r="E20" i="15" s="1"/>
  <c r="H57" i="8"/>
  <c r="H56" i="8"/>
  <c r="H14" i="8"/>
  <c r="E17" i="8"/>
  <c r="H89" i="8"/>
  <c r="H85" i="8"/>
  <c r="H81" i="8"/>
  <c r="H77" i="8"/>
  <c r="H73" i="8"/>
  <c r="H69" i="8"/>
  <c r="H65" i="8"/>
  <c r="H61" i="8"/>
  <c r="H91" i="8"/>
  <c r="H82" i="8"/>
  <c r="H17" i="15"/>
  <c r="I17" i="15" s="1"/>
  <c r="I9" i="15"/>
  <c r="H47" i="8"/>
  <c r="H34" i="8"/>
  <c r="H40" i="8"/>
  <c r="H36" i="8"/>
  <c r="H43" i="8"/>
  <c r="H38" i="8"/>
  <c r="H84" i="8"/>
  <c r="H78" i="8"/>
  <c r="H42" i="8"/>
  <c r="H52" i="8" s="1"/>
  <c r="J14" i="8"/>
  <c r="J17" i="8" s="1"/>
  <c r="H59" i="8"/>
  <c r="H83" i="8"/>
  <c r="H50" i="8"/>
  <c r="H88" i="8"/>
  <c r="H41" i="8"/>
  <c r="O9" i="17"/>
  <c r="O23" i="17" s="1"/>
  <c r="N9" i="17"/>
  <c r="P9" i="17"/>
  <c r="P23" i="17" s="1"/>
  <c r="D93" i="8" l="1"/>
  <c r="C23" i="7" s="1"/>
  <c r="H16" i="8"/>
  <c r="H15" i="8"/>
  <c r="J92" i="8"/>
  <c r="C11" i="7"/>
  <c r="J14" i="15"/>
  <c r="D14" i="15" s="1"/>
  <c r="H14" i="15" s="1"/>
  <c r="J94" i="8"/>
  <c r="C21" i="7"/>
  <c r="C20" i="7" s="1"/>
  <c r="J93" i="8"/>
  <c r="J95" i="8" s="1"/>
  <c r="J96" i="8" s="1"/>
  <c r="J97" i="8" s="1"/>
  <c r="H28" i="8"/>
  <c r="H23" i="8"/>
  <c r="H27" i="8"/>
  <c r="H26" i="8"/>
  <c r="H24" i="8"/>
  <c r="H29" i="8"/>
  <c r="H22" i="8"/>
  <c r="C14" i="7"/>
  <c r="N23" i="17"/>
  <c r="R23" i="17" s="1"/>
  <c r="R9" i="17"/>
  <c r="I14" i="15" l="1"/>
  <c r="I19" i="15" s="1"/>
  <c r="H19" i="15"/>
  <c r="H20" i="15" s="1"/>
  <c r="C22" i="7"/>
  <c r="C19" i="7"/>
  <c r="C24" i="7" s="1"/>
  <c r="D14" i="7" s="1"/>
  <c r="C27" i="7" l="1"/>
  <c r="C29" i="7"/>
  <c r="C30" i="7" s="1"/>
  <c r="D24" i="7"/>
  <c r="D12" i="7"/>
  <c r="D17" i="7"/>
  <c r="D16" i="7"/>
  <c r="D15" i="7"/>
  <c r="D18" i="7"/>
  <c r="D13" i="7"/>
  <c r="D22" i="7"/>
  <c r="D11" i="7"/>
  <c r="D20" i="7"/>
  <c r="I20" i="15"/>
  <c r="I21" i="15" s="1"/>
  <c r="C36" i="7" l="1"/>
  <c r="C37" i="7"/>
  <c r="C38" i="7" l="1"/>
  <c r="C39" i="7" l="1"/>
  <c r="E39" i="7" l="1"/>
  <c r="C40" i="7"/>
  <c r="E35" i="7" l="1"/>
  <c r="E32" i="7"/>
  <c r="E31" i="7"/>
  <c r="C41" i="7"/>
  <c r="D11" i="10" s="1"/>
  <c r="E34" i="7"/>
  <c r="E33" i="7"/>
  <c r="E40" i="7"/>
  <c r="E16" i="7"/>
  <c r="E12" i="7"/>
  <c r="E17" i="7"/>
  <c r="E15" i="7"/>
  <c r="E26" i="7"/>
  <c r="E25" i="7"/>
  <c r="E18" i="7"/>
  <c r="E13" i="7"/>
  <c r="E20" i="7"/>
  <c r="E11" i="7"/>
  <c r="E14" i="7"/>
  <c r="E24" i="7"/>
  <c r="E22" i="7"/>
  <c r="E30" i="7"/>
  <c r="E29" i="7"/>
  <c r="E27" i="7"/>
  <c r="E37" i="7"/>
  <c r="E36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<sst xmlns="http://schemas.openxmlformats.org/spreadsheetml/2006/main" count="1011" uniqueCount="497">
  <si>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</si>
  <si>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</si>
  <si>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</si>
  <si>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</si>
  <si>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</si>
  <si>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</si>
  <si>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</si>
  <si>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</si>
  <si>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</si>
  <si>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</si>
  <si>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</si>
  <si>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</si>
  <si>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</si>
  <si>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</si>
  <si>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</si>
  <si>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</si>
  <si>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</si>
  <si>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</si>
  <si>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</si>
  <si>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</si>
  <si>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</si>
  <si>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</si>
  <si>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</si>
  <si>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</si>
  <si>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</si>
  <si>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</si>
  <si>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</si>
  <si>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</si>
  <si>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</si>
  <si>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</si>
  <si>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</si>
  <si>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</si>
  <si>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</si>
  <si>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</si>
  <si>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</si>
  <si>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</si>
  <si>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</si>
  <si>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</si>
  <si>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</si>
  <si>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</si>
  <si>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</si>
  <si>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</si>
  <si>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</si>
  <si>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</si>
  <si>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</si>
  <si>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</si>
  <si>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</si>
  <si>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</si>
  <si>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</si>
  <si>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</si>
  <si>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</si>
  <si>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</si>
  <si>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</si>
  <si>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</si>
  <si>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</si>
  <si>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</si>
  <si>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</si>
  <si>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</si>
  <si>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</si>
  <si>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</si>
  <si>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</si>
  <si>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</si>
  <si>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</si>
  <si>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</si>
  <si>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</si>
  <si>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</si>
  <si>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</si>
  <si>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</si>
  <si>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</si>
  <si>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</si>
  <si>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</si>
  <si>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</si>
  <si>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</si>
  <si>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</si>
  <si>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</si>
  <si>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</si>
  <si>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</si>
  <si>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</si>
  <si>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</si>
  <si>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</si>
  <si>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</si>
  <si>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</si>
  <si>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</si>
  <si>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</si>
  <si>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</si>
  <si>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</si>
  <si>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</si>
  <si>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</si>
  <si>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</si>
  <si>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</si>
  <si>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</si>
  <si>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</si>
  <si>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</si>
  <si>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</si>
  <si>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</si>
  <si>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</si>
  <si>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</si>
  <si>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</si>
  <si>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</si>
  <si>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</si>
  <si>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</si>
  <si>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</si>
  <si>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</si>
  <si>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</si>
  <si>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</si>
  <si>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</si>
  <si>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</si>
  <si>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</si>
  <si>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</si>
  <si>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</si>
  <si>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</si>
  <si>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</si>
  <si>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</si>
  <si>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</si>
  <si>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</si>
  <si>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</si>
  <si>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</si>
  <si>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</si>
  <si>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</si>
  <si>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</si>
  <si>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</si>
  <si>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</si>
  <si>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</si>
  <si>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</si>
  <si>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</si>
  <si>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</si>
  <si>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</si>
  <si>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</si>
  <si>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</si>
  <si>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</si>
  <si>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</si>
  <si>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</si>
  <si>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</si>
  <si>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</si>
  <si>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</si>
  <si>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</si>
  <si>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</si>
  <si>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</si>
  <si>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</si>
  <si>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</si>
  <si>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</si>
  <si>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</si>
  <si>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</si>
  <si>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</si>
  <si>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</si>
  <si>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</si>
  <si>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</si>
  <si>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</si>
  <si>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</si>
  <si>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</si>
  <si>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</si>
  <si>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</si>
  <si>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</si>
  <si>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</si>
  <si>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</si>
  <si>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</si>
  <si>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</si>
  <si>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</si>
  <si>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</si>
  <si>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</si>
  <si>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</si>
  <si>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</si>
  <si>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</si>
  <si>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</si>
  <si>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</si>
  <si>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</si>
  <si>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</si>
  <si>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</si>
  <si>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</si>
  <si>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</si>
  <si>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</si>
  <si>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</si>
  <si>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</si>
  <si>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</si>
  <si>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</si>
  <si>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</si>
  <si>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</si>
  <si>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</si>
  <si>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</si>
  <si>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</si>
  <si>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</si>
  <si>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</si>
  <si>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</si>
  <si>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</si>
  <si>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</si>
  <si>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</si>
  <si>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</si>
  <si>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</si>
  <si>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</si>
  <si>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</si>
  <si>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</si>
  <si>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</si>
  <si>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</si>
  <si>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</si>
  <si>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</si>
  <si>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</si>
  <si>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</si>
  <si>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</si>
  <si>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</si>
  <si>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</si>
  <si>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</si>
  <si>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</si>
  <si>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</si>
  <si>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</si>
  <si>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</si>
  <si>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</si>
  <si>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</si>
  <si>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</si>
  <si>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</si>
  <si>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</si>
  <si>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</si>
  <si>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</si>
  <si>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</si>
  <si>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</si>
  <si>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</si>
  <si>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</si>
  <si>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</si>
  <si>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</si>
  <si>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</si>
  <si>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</si>
  <si>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</si>
  <si>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</si>
  <si>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</si>
  <si>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</si>
  <si>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</si>
  <si>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</si>
  <si>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</si>
  <si>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</si>
  <si>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</si>
  <si>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</si>
  <si>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</si>
  <si>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</si>
  <si>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</si>
  <si>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</si>
  <si>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</si>
  <si>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</si>
  <si>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</si>
  <si>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</si>
  <si>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</si>
  <si>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</si>
  <si>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</si>
  <si>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</si>
  <si>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</si>
  <si>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</si>
  <si>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</si>
  <si>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</si>
  <si>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</si>
  <si>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</si>
  <si>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</si>
  <si>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</si>
  <si>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</si>
  <si>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</si>
  <si>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</si>
  <si>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</si>
  <si>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</si>
  <si>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</si>
  <si>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</si>
  <si>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</si>
  <si>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</si>
  <si>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</si>
  <si>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</si>
  <si>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</si>
  <si>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</si>
  <si>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</si>
  <si>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</si>
  <si>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</si>
  <si>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</si>
  <si>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</si>
  <si>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</si>
  <si>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</si>
  <si>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</si>
  <si>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</si>
  <si>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</si>
  <si>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</si>
  <si>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</si>
  <si>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</si>
  <si>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</si>
  <si>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</si>
  <si>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</si>
  <si>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</si>
  <si>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</si>
  <si>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</si>
  <si>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</si>
  <si>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</si>
  <si>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</si>
  <si>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</si>
  <si>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</si>
  <si>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</si>
  <si>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</si>
  <si>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</si>
  <si>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</si>
  <si>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</si>
  <si>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</si>
  <si>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</si>
  <si>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</si>
  <si>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</si>
  <si>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</si>
  <si>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</si>
  <si>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</si>
  <si>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</si>
  <si>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</si>
  <si>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</si>
  <si>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</si>
  <si>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</si>
  <si>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</si>
  <si>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</si>
  <si>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</si>
  <si>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</si>
  <si>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</si>
  <si>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</si>
  <si>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</si>
  <si>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</si>
  <si>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</si>
  <si>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</si>
  <si>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</si>
  <si>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</si>
  <si>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</si>
  <si>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</si>
  <si>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</si>
  <si>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</si>
  <si>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</si>
  <si>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</si>
  <si>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</si>
  <si>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</si>
  <si>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</si>
  <si>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</si>
  <si>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</si>
  <si>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</si>
  <si>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</si>
  <si>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</si>
  <si>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</si>
  <si>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</si>
  <si>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</si>
  <si>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</si>
  <si>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</si>
  <si>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</si>
  <si>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</si>
  <si>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</si>
  <si>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</si>
  <si>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</si>
  <si>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</si>
  <si>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</si>
  <si>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</si>
  <si>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</si>
  <si>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</si>
  <si>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</si>
  <si>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</si>
  <si>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</si>
  <si>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</si>
  <si>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</si>
  <si>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</si>
  <si>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</si>
  <si>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</si>
  <si>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</si>
  <si>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</si>
  <si>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</si>
  <si>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</si>
  <si>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</si>
  <si>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</si>
  <si>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</si>
  <si>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</si>
  <si>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</si>
  <si>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</si>
  <si>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</si>
  <si>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</si>
  <si>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</si>
  <si>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</si>
  <si>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</si>
  <si>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</si>
  <si>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</si>
  <si>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</si>
  <si>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</si>
  <si>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</si>
  <si>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</si>
  <si>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</si>
  <si>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</si>
  <si>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</si>
  <si>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</si>
  <si>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</si>
  <si>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</si>
  <si>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</si>
  <si>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</si>
  <si>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</si>
  <si>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</si>
  <si>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</si>
  <si>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</si>
  <si>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</si>
  <si>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</si>
  <si>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</si>
  <si>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</si>
  <si>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</si>
  <si>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</si>
  <si>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</si>
  <si>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</si>
  <si>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</si>
  <si>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</si>
  <si>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</si>
  <si>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</si>
  <si>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</si>
  <si>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</si>
  <si>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</si>
  <si>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</si>
  <si>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</si>
  <si>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</si>
  <si>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</si>
  <si>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</si>
  <si>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</si>
  <si>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</si>
  <si>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</si>
  <si>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</si>
  <si>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</si>
  <si>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</si>
  <si>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</si>
  <si>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</si>
  <si>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</si>
  <si>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</si>
  <si>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</si>
  <si>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</si>
  <si>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</si>
  <si>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</si>
  <si>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</si>
  <si>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</si>
  <si>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</si>
  <si>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</si>
  <si>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</si>
  <si>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</si>
  <si>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</si>
  <si>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</si>
  <si>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</si>
  <si>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</si>
  <si>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</si>
  <si>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</si>
  <si>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</si>
  <si>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</si>
  <si>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</si>
  <si>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</si>
  <si>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</si>
  <si>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</si>
  <si>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</si>
  <si>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</si>
  <si>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</si>
  <si>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</si>
  <si>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</si>
  <si>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</si>
  <si>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</si>
  <si>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</si>
  <si>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</si>
  <si>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</si>
  <si>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</si>
  <si>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</si>
  <si>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</si>
  <si>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</si>
  <si>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</si>
  <si>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</si>
  <si>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</si>
  <si>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</si>
  <si>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</si>
  <si>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</si>
  <si>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</si>
  <si>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</si>
  <si>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</si>
  <si>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</si>
  <si>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</si>
  <si>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</si>
  <si>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</si>
  <si>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</si>
  <si>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</si>
  <si>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</si>
  <si>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</si>
  <si>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</si>
  <si>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</si>
  <si>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</si>
  <si>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</si>
  <si>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</si>
  <si>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</si>
  <si>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</si>
  <si>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</si>
  <si>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</si>
  <si>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</si>
  <si>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</si>
  <si>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</si>
  <si>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</si>
  <si>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З1-01</t>
  </si>
  <si>
    <t>УНЦ постоянной части ПС 35 кВ</t>
  </si>
  <si>
    <t>Наименование разрабатываемого показателя УНЦ — Постоянная часть ПС, шкаф ЦК системы видеонаблюдения ПС 35 кВ</t>
  </si>
  <si>
    <t>Наименование разрабатываемого показателя УНЦ —  Постоянная часть ПС, шкаф ЦК системы видеонаблюдения ПС 35 кВ</t>
  </si>
  <si>
    <t>Наименование разрабатываемого показателя УНЦ - Постоянная часть ПС, шкаф ЦК системы видеонаблюдения ПС 35 кВ</t>
  </si>
  <si>
    <t>Постоянная часть ПС, шкаф ЦК системы видеонаблюдения ПС 35 кВ</t>
  </si>
  <si>
    <t>ПС 35 кВ Свеза Новатор</t>
  </si>
  <si>
    <t>Вологодская область</t>
  </si>
  <si>
    <t>IIВ</t>
  </si>
  <si>
    <t>З1_ПС_шкаф.ЦК.видеонаблюдения_35_кВ</t>
  </si>
  <si>
    <t>Шкаф ЦК системы видеонаблюдения ПС 35 кВ</t>
  </si>
  <si>
    <t>Всего по объекту в сопоставимом уровне цен 2 кв. 2019 г:</t>
  </si>
  <si>
    <t>Сопоставимый уровень цен: 2 квартал 2019 г</t>
  </si>
  <si>
    <t>2 квартал 2019 г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</si>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</sst>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0.00000000"/>
    <numFmt numFmtId="172" formatCode="0.000000"/>
  </numFmts>
  <fonts count="3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171" fontId="16" fillId="0" borderId="1" xfId="0" applyNumberFormat="1" applyFont="1" applyBorder="1" applyAlignment="1">
      <alignment vertical="top"/>
    </xf>
    <xf numFmtId="172" fontId="16" fillId="0" borderId="1" xfId="0" applyNumberFormat="1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8" t="s">
        <v>0</v>
      </c>
      <c r="B2" s="328"/>
      <c r="C2" s="328"/>
    </row>
    <row r="3" spans="1:3" x14ac:dyDescent="0.25">
      <c r="A3" s="1"/>
      <c r="B3" s="1"/>
      <c r="C3" s="1"/>
    </row>
    <row r="4" spans="1:3" x14ac:dyDescent="0.25">
      <c r="A4" s="329" t="s">
        <v>1</v>
      </c>
      <c r="B4" s="329"/>
      <c r="C4" s="3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30" t="s">
        <v>3</v>
      </c>
      <c r="C6" s="330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11" sqref="C11"/>
    </sheetView>
  </sheetViews>
  <sheetFormatPr defaultRowHeight="15" x14ac:dyDescent="0.25"/>
  <cols>
    <col min="1" max="1" width="12.7109375" style="314" customWidth="1"/>
    <col min="2" max="2" width="16.42578125" style="314" customWidth="1"/>
    <col min="3" max="3" width="37.140625" style="314" customWidth="1"/>
    <col min="4" max="4" width="49" style="314" customWidth="1"/>
    <col min="5" max="5" width="9.140625" style="314" customWidth="1"/>
  </cols>
  <sheetData>
    <row r="1" spans="1:4" ht="15.75" customHeight="1" x14ac:dyDescent="0.25">
      <c r="A1" s="313"/>
      <c r="B1" s="313"/>
      <c r="C1" s="313"/>
      <c r="D1" s="313" t="s">
        <v>318</v>
      </c>
    </row>
    <row r="2" spans="1:4" ht="15.75" customHeight="1" x14ac:dyDescent="0.25">
      <c r="A2" s="313"/>
      <c r="B2" s="313"/>
      <c r="C2" s="313"/>
      <c r="D2" s="313"/>
    </row>
    <row r="3" spans="1:4" ht="15.75" customHeight="1" x14ac:dyDescent="0.25">
      <c r="A3" s="313"/>
      <c r="B3" s="315" t="s">
        <v>319</v>
      </c>
      <c r="C3" s="313"/>
      <c r="D3" s="313"/>
    </row>
    <row r="4" spans="1:4" ht="15.75" customHeight="1" x14ac:dyDescent="0.25">
      <c r="A4" s="313"/>
      <c r="B4" s="313"/>
      <c r="C4" s="313"/>
      <c r="D4" s="313"/>
    </row>
    <row r="5" spans="1:4" ht="31.5" customHeight="1" x14ac:dyDescent="0.25">
      <c r="A5" s="377" t="s">
        <v>320</v>
      </c>
      <c r="B5" s="377"/>
      <c r="C5" s="377"/>
      <c r="D5" s="316" t="str">
        <f>'Прил.5 Расчет СМР и ОБ'!D6:J6</f>
        <v>Постоянная часть ПС, шкаф ЦК системы видеонаблюдения ПС 35 кВ</v>
      </c>
    </row>
    <row r="6" spans="1:4" ht="15.75" customHeight="1" x14ac:dyDescent="0.25">
      <c r="A6" s="313" t="s">
        <v>480</v>
      </c>
      <c r="B6" s="313"/>
      <c r="C6" s="313"/>
      <c r="D6" s="313"/>
    </row>
    <row r="7" spans="1:4" ht="15.75" customHeight="1" x14ac:dyDescent="0.25">
      <c r="A7" s="313"/>
      <c r="B7" s="313"/>
      <c r="C7" s="313"/>
      <c r="D7" s="313"/>
    </row>
    <row r="8" spans="1:4" x14ac:dyDescent="0.25">
      <c r="A8" s="341" t="s">
        <v>5</v>
      </c>
      <c r="B8" s="341" t="s">
        <v>6</v>
      </c>
      <c r="C8" s="341" t="s">
        <v>321</v>
      </c>
      <c r="D8" s="341" t="s">
        <v>322</v>
      </c>
    </row>
    <row r="9" spans="1:4" x14ac:dyDescent="0.25">
      <c r="A9" s="341"/>
      <c r="B9" s="341"/>
      <c r="C9" s="341"/>
      <c r="D9" s="341"/>
    </row>
    <row r="10" spans="1:4" ht="15.75" customHeight="1" x14ac:dyDescent="0.25">
      <c r="A10" s="317">
        <v>1</v>
      </c>
      <c r="B10" s="317">
        <v>2</v>
      </c>
      <c r="C10" s="317">
        <v>3</v>
      </c>
      <c r="D10" s="317">
        <v>4</v>
      </c>
    </row>
    <row r="11" spans="1:4" ht="63" customHeight="1" x14ac:dyDescent="0.25">
      <c r="A11" s="325" t="s">
        <v>482</v>
      </c>
      <c r="B11" s="325" t="s">
        <v>483</v>
      </c>
      <c r="C11" s="318" t="s">
        <v>491</v>
      </c>
      <c r="D11" s="319">
        <f>'Прил.4 РМ'!C41/1000</f>
        <v>3493.2781800000002</v>
      </c>
    </row>
    <row r="13" spans="1:4" x14ac:dyDescent="0.25">
      <c r="A13" s="320" t="s">
        <v>323</v>
      </c>
      <c r="B13" s="321"/>
      <c r="C13" s="321"/>
      <c r="D13" s="322"/>
    </row>
    <row r="14" spans="1:4" x14ac:dyDescent="0.25">
      <c r="A14" s="323" t="s">
        <v>68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69</v>
      </c>
      <c r="B16" s="321"/>
      <c r="C16" s="321"/>
      <c r="D16" s="322"/>
    </row>
    <row r="17" spans="1:4" x14ac:dyDescent="0.25">
      <c r="A17" s="323" t="s">
        <v>70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5" t="s">
        <v>324</v>
      </c>
      <c r="C4" s="335"/>
      <c r="D4" s="335"/>
    </row>
    <row r="5" spans="2:5" ht="18.75" customHeight="1" x14ac:dyDescent="0.25">
      <c r="B5" s="252"/>
    </row>
    <row r="6" spans="2:5" ht="15.75" customHeight="1" x14ac:dyDescent="0.25">
      <c r="B6" s="336" t="s">
        <v>325</v>
      </c>
      <c r="C6" s="336"/>
      <c r="D6" s="336"/>
    </row>
    <row r="7" spans="2:5" x14ac:dyDescent="0.25">
      <c r="B7" s="378"/>
      <c r="C7" s="378"/>
      <c r="D7" s="378"/>
      <c r="E7" s="378"/>
    </row>
    <row r="8" spans="2:5" x14ac:dyDescent="0.25">
      <c r="B8" s="302"/>
      <c r="C8" s="302"/>
      <c r="D8" s="302"/>
      <c r="E8" s="302"/>
    </row>
    <row r="9" spans="2:5" ht="47.25" customHeight="1" x14ac:dyDescent="0.25">
      <c r="B9" s="287" t="s">
        <v>326</v>
      </c>
      <c r="C9" s="287" t="s">
        <v>327</v>
      </c>
      <c r="D9" s="287" t="s">
        <v>328</v>
      </c>
    </row>
    <row r="10" spans="2:5" ht="15.75" customHeight="1" x14ac:dyDescent="0.25">
      <c r="B10" s="287">
        <v>1</v>
      </c>
      <c r="C10" s="287">
        <v>2</v>
      </c>
      <c r="D10" s="287">
        <v>3</v>
      </c>
    </row>
    <row r="11" spans="2:5" ht="45" customHeight="1" x14ac:dyDescent="0.25">
      <c r="B11" s="287" t="s">
        <v>329</v>
      </c>
      <c r="C11" s="287" t="s">
        <v>330</v>
      </c>
      <c r="D11" s="287">
        <v>44.29</v>
      </c>
    </row>
    <row r="12" spans="2:5" ht="29.25" customHeight="1" x14ac:dyDescent="0.25">
      <c r="B12" s="287" t="s">
        <v>331</v>
      </c>
      <c r="C12" s="287" t="s">
        <v>330</v>
      </c>
      <c r="D12" s="287">
        <v>13.47</v>
      </c>
    </row>
    <row r="13" spans="2:5" ht="29.25" customHeight="1" x14ac:dyDescent="0.25">
      <c r="B13" s="287" t="s">
        <v>332</v>
      </c>
      <c r="C13" s="287" t="s">
        <v>330</v>
      </c>
      <c r="D13" s="287">
        <v>8.0399999999999991</v>
      </c>
    </row>
    <row r="14" spans="2:5" ht="30.75" customHeight="1" x14ac:dyDescent="0.25">
      <c r="B14" s="287" t="s">
        <v>333</v>
      </c>
      <c r="C14" s="169" t="s">
        <v>334</v>
      </c>
      <c r="D14" s="287">
        <v>6.26</v>
      </c>
    </row>
    <row r="15" spans="2:5" ht="89.25" customHeight="1" x14ac:dyDescent="0.25">
      <c r="B15" s="287" t="s">
        <v>335</v>
      </c>
      <c r="C15" s="287" t="s">
        <v>336</v>
      </c>
      <c r="D15" s="253">
        <v>3.9E-2</v>
      </c>
    </row>
    <row r="16" spans="2:5" ht="78.75" customHeight="1" x14ac:dyDescent="0.25">
      <c r="B16" s="287" t="s">
        <v>337</v>
      </c>
      <c r="C16" s="287" t="s">
        <v>338</v>
      </c>
      <c r="D16" s="253">
        <v>2.1000000000000001E-2</v>
      </c>
    </row>
    <row r="17" spans="2:4" ht="34.5" customHeight="1" x14ac:dyDescent="0.25">
      <c r="B17" s="287"/>
      <c r="C17" s="287"/>
      <c r="D17" s="287"/>
    </row>
    <row r="18" spans="2:4" ht="31.5" customHeight="1" x14ac:dyDescent="0.25">
      <c r="B18" s="287" t="s">
        <v>339</v>
      </c>
      <c r="C18" s="287" t="s">
        <v>340</v>
      </c>
      <c r="D18" s="253">
        <v>2.1399999999999999E-2</v>
      </c>
    </row>
    <row r="19" spans="2:4" ht="31.5" customHeight="1" x14ac:dyDescent="0.25">
      <c r="B19" s="287" t="s">
        <v>269</v>
      </c>
      <c r="C19" s="287" t="s">
        <v>341</v>
      </c>
      <c r="D19" s="253">
        <v>2E-3</v>
      </c>
    </row>
    <row r="20" spans="2:4" ht="24" customHeight="1" x14ac:dyDescent="0.25">
      <c r="B20" s="287" t="s">
        <v>271</v>
      </c>
      <c r="C20" s="287" t="s">
        <v>342</v>
      </c>
      <c r="D20" s="253">
        <v>0.03</v>
      </c>
    </row>
    <row r="21" spans="2:4" ht="18.75" customHeight="1" x14ac:dyDescent="0.25">
      <c r="B21" s="254"/>
    </row>
    <row r="22" spans="2:4" ht="18.75" customHeight="1" x14ac:dyDescent="0.25">
      <c r="B22" s="254"/>
    </row>
    <row r="23" spans="2:4" ht="18.75" customHeight="1" x14ac:dyDescent="0.25">
      <c r="B23" s="254"/>
    </row>
    <row r="24" spans="2:4" ht="18.75" customHeight="1" x14ac:dyDescent="0.25">
      <c r="B24" s="254"/>
    </row>
    <row r="27" spans="2:4" x14ac:dyDescent="0.25">
      <c r="B27" s="4" t="s">
        <v>343</v>
      </c>
      <c r="C27" s="14"/>
    </row>
    <row r="28" spans="2:4" x14ac:dyDescent="0.25">
      <c r="B28" s="243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310</v>
      </c>
      <c r="C30" s="14"/>
    </row>
    <row r="31" spans="2:4" x14ac:dyDescent="0.25">
      <c r="B31" s="243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1" sqref="E11"/>
    </sheetView>
  </sheetViews>
  <sheetFormatPr defaultRowHeight="15" x14ac:dyDescent="0.25"/>
  <cols>
    <col min="1" max="1" width="9.140625" style="255" customWidth="1"/>
    <col min="2" max="2" width="44.85546875" style="255" customWidth="1"/>
    <col min="3" max="3" width="13" style="255" customWidth="1"/>
    <col min="4" max="4" width="22.85546875" style="255" customWidth="1"/>
    <col min="5" max="5" width="21.5703125" style="255" customWidth="1"/>
    <col min="6" max="6" width="43.85546875" style="255" customWidth="1"/>
    <col min="7" max="7" width="9.140625" style="255" customWidth="1"/>
  </cols>
  <sheetData>
    <row r="2" spans="1:7" ht="17.25" customHeight="1" x14ac:dyDescent="0.25">
      <c r="A2" s="336" t="s">
        <v>344</v>
      </c>
      <c r="B2" s="336"/>
      <c r="C2" s="336"/>
      <c r="D2" s="336"/>
      <c r="E2" s="336"/>
      <c r="F2" s="336"/>
    </row>
    <row r="4" spans="1:7" ht="18" customHeight="1" x14ac:dyDescent="0.25">
      <c r="A4" s="256" t="s">
        <v>345</v>
      </c>
      <c r="B4" s="257"/>
      <c r="C4" s="257"/>
      <c r="D4" s="257"/>
      <c r="E4" s="257"/>
      <c r="F4" s="257"/>
      <c r="G4" s="257"/>
    </row>
    <row r="5" spans="1:7" ht="15.75" customHeight="1" x14ac:dyDescent="0.25">
      <c r="A5" s="258" t="s">
        <v>13</v>
      </c>
      <c r="B5" s="258" t="s">
        <v>346</v>
      </c>
      <c r="C5" s="258" t="s">
        <v>347</v>
      </c>
      <c r="D5" s="258" t="s">
        <v>348</v>
      </c>
      <c r="E5" s="258" t="s">
        <v>349</v>
      </c>
      <c r="F5" s="258" t="s">
        <v>350</v>
      </c>
      <c r="G5" s="257"/>
    </row>
    <row r="6" spans="1:7" ht="15.75" customHeight="1" x14ac:dyDescent="0.25">
      <c r="A6" s="258">
        <v>1</v>
      </c>
      <c r="B6" s="258">
        <v>2</v>
      </c>
      <c r="C6" s="258">
        <v>3</v>
      </c>
      <c r="D6" s="258">
        <v>4</v>
      </c>
      <c r="E6" s="258">
        <v>5</v>
      </c>
      <c r="F6" s="258">
        <v>6</v>
      </c>
      <c r="G6" s="257"/>
    </row>
    <row r="7" spans="1:7" ht="110.25" customHeight="1" x14ac:dyDescent="0.25">
      <c r="A7" s="259" t="s">
        <v>351</v>
      </c>
      <c r="B7" s="260" t="s">
        <v>352</v>
      </c>
      <c r="C7" s="261" t="s">
        <v>353</v>
      </c>
      <c r="D7" s="261" t="s">
        <v>354</v>
      </c>
      <c r="E7" s="262">
        <v>47872.94</v>
      </c>
      <c r="F7" s="260" t="s">
        <v>355</v>
      </c>
      <c r="G7" s="257"/>
    </row>
    <row r="8" spans="1:7" ht="31.5" customHeight="1" x14ac:dyDescent="0.25">
      <c r="A8" s="259" t="s">
        <v>356</v>
      </c>
      <c r="B8" s="260" t="s">
        <v>357</v>
      </c>
      <c r="C8" s="261" t="s">
        <v>358</v>
      </c>
      <c r="D8" s="261" t="s">
        <v>359</v>
      </c>
      <c r="E8" s="262">
        <f>1973/12</f>
        <v>164.41666666666666</v>
      </c>
      <c r="F8" s="263" t="s">
        <v>360</v>
      </c>
      <c r="G8" s="264"/>
    </row>
    <row r="9" spans="1:7" ht="15.75" customHeight="1" x14ac:dyDescent="0.25">
      <c r="A9" s="259" t="s">
        <v>361</v>
      </c>
      <c r="B9" s="260" t="s">
        <v>362</v>
      </c>
      <c r="C9" s="261" t="s">
        <v>363</v>
      </c>
      <c r="D9" s="261" t="s">
        <v>354</v>
      </c>
      <c r="E9" s="262">
        <v>1</v>
      </c>
      <c r="F9" s="263"/>
      <c r="G9" s="265"/>
    </row>
    <row r="10" spans="1:7" ht="15.75" customHeight="1" x14ac:dyDescent="0.25">
      <c r="A10" s="259" t="s">
        <v>364</v>
      </c>
      <c r="B10" s="260" t="s">
        <v>365</v>
      </c>
      <c r="C10" s="261"/>
      <c r="D10" s="261"/>
      <c r="E10" s="303">
        <v>3.8</v>
      </c>
      <c r="F10" s="263" t="s">
        <v>366</v>
      </c>
      <c r="G10" s="265"/>
    </row>
    <row r="11" spans="1:7" ht="78.75" customHeight="1" x14ac:dyDescent="0.25">
      <c r="A11" s="259" t="s">
        <v>367</v>
      </c>
      <c r="B11" s="260" t="s">
        <v>368</v>
      </c>
      <c r="C11" s="261" t="s">
        <v>369</v>
      </c>
      <c r="D11" s="261" t="s">
        <v>354</v>
      </c>
      <c r="E11" s="304">
        <v>1.3080000000000001</v>
      </c>
      <c r="F11" s="260" t="s">
        <v>370</v>
      </c>
      <c r="G11" s="257"/>
    </row>
    <row r="12" spans="1:7" ht="78.75" customHeight="1" x14ac:dyDescent="0.25">
      <c r="A12" s="259" t="s">
        <v>371</v>
      </c>
      <c r="B12" s="266" t="s">
        <v>372</v>
      </c>
      <c r="C12" s="261" t="s">
        <v>373</v>
      </c>
      <c r="D12" s="261" t="s">
        <v>354</v>
      </c>
      <c r="E12" s="267">
        <v>1.139</v>
      </c>
      <c r="F12" s="268" t="s">
        <v>374</v>
      </c>
      <c r="G12" s="265" t="s">
        <v>375</v>
      </c>
    </row>
    <row r="13" spans="1:7" ht="63" customHeight="1" x14ac:dyDescent="0.25">
      <c r="A13" s="259" t="s">
        <v>376</v>
      </c>
      <c r="B13" s="269" t="s">
        <v>377</v>
      </c>
      <c r="C13" s="261" t="s">
        <v>378</v>
      </c>
      <c r="D13" s="261" t="s">
        <v>379</v>
      </c>
      <c r="E13" s="270">
        <f>((E7*E9/E8)*E11)*E12</f>
        <v>433.78619657747601</v>
      </c>
      <c r="F13" s="260" t="s">
        <v>380</v>
      </c>
      <c r="G13" s="25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6" t="s">
        <v>381</v>
      </c>
      <c r="B2" s="336"/>
      <c r="C2" s="336"/>
      <c r="D2" s="336"/>
      <c r="E2" s="336"/>
      <c r="F2" s="336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345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346</v>
      </c>
      <c r="C5" s="273" t="s">
        <v>347</v>
      </c>
      <c r="D5" s="273" t="s">
        <v>348</v>
      </c>
      <c r="E5" s="273" t="s">
        <v>349</v>
      </c>
      <c r="F5" s="273" t="s">
        <v>350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351</v>
      </c>
      <c r="B7" s="275" t="s">
        <v>352</v>
      </c>
      <c r="C7" s="276" t="s">
        <v>353</v>
      </c>
      <c r="D7" s="276" t="s">
        <v>354</v>
      </c>
      <c r="E7" s="277">
        <v>43361</v>
      </c>
      <c r="F7" s="275" t="s">
        <v>355</v>
      </c>
    </row>
    <row r="8" spans="1:7" ht="30" customHeight="1" x14ac:dyDescent="0.25">
      <c r="A8" s="274" t="s">
        <v>356</v>
      </c>
      <c r="B8" s="275" t="s">
        <v>357</v>
      </c>
      <c r="C8" s="276" t="s">
        <v>358</v>
      </c>
      <c r="D8" s="276" t="s">
        <v>359</v>
      </c>
      <c r="E8" s="277">
        <f>1973/12</f>
        <v>164.41666666666666</v>
      </c>
      <c r="F8" s="275" t="s">
        <v>360</v>
      </c>
      <c r="G8" s="278"/>
    </row>
    <row r="9" spans="1:7" ht="15.75" customHeight="1" x14ac:dyDescent="0.25">
      <c r="A9" s="274" t="s">
        <v>361</v>
      </c>
      <c r="B9" s="275" t="s">
        <v>362</v>
      </c>
      <c r="C9" s="276" t="s">
        <v>363</v>
      </c>
      <c r="D9" s="276" t="s">
        <v>354</v>
      </c>
      <c r="E9" s="277">
        <v>1</v>
      </c>
      <c r="F9" s="275"/>
      <c r="G9" s="279"/>
    </row>
    <row r="10" spans="1:7" ht="15.75" customHeight="1" x14ac:dyDescent="0.25">
      <c r="A10" s="274" t="s">
        <v>364</v>
      </c>
      <c r="B10" s="275" t="s">
        <v>105</v>
      </c>
      <c r="C10" s="276"/>
      <c r="D10" s="276"/>
      <c r="E10" s="280">
        <v>1</v>
      </c>
      <c r="F10" s="275" t="s">
        <v>366</v>
      </c>
      <c r="G10" s="279"/>
    </row>
    <row r="11" spans="1:7" ht="78.75" customHeight="1" x14ac:dyDescent="0.25">
      <c r="A11" s="274" t="s">
        <v>367</v>
      </c>
      <c r="B11" s="275" t="s">
        <v>368</v>
      </c>
      <c r="C11" s="276" t="s">
        <v>369</v>
      </c>
      <c r="D11" s="276" t="s">
        <v>354</v>
      </c>
      <c r="E11" s="281">
        <v>2.15</v>
      </c>
      <c r="F11" s="275" t="s">
        <v>382</v>
      </c>
    </row>
    <row r="12" spans="1:7" ht="78.75" customHeight="1" x14ac:dyDescent="0.25">
      <c r="A12" s="274" t="s">
        <v>371</v>
      </c>
      <c r="B12" s="282" t="s">
        <v>372</v>
      </c>
      <c r="C12" s="276" t="s">
        <v>373</v>
      </c>
      <c r="D12" s="276" t="s">
        <v>354</v>
      </c>
      <c r="E12" s="283">
        <v>1.139</v>
      </c>
      <c r="F12" s="284" t="s">
        <v>374</v>
      </c>
      <c r="G12" s="279" t="s">
        <v>375</v>
      </c>
    </row>
    <row r="13" spans="1:7" ht="63" customHeight="1" x14ac:dyDescent="0.25">
      <c r="A13" s="274" t="s">
        <v>376</v>
      </c>
      <c r="B13" s="285" t="s">
        <v>383</v>
      </c>
      <c r="C13" s="276" t="s">
        <v>378</v>
      </c>
      <c r="D13" s="276" t="s">
        <v>379</v>
      </c>
      <c r="E13" s="286">
        <f>((E7*E9/E8)*E11)*E12</f>
        <v>645.82616229092753</v>
      </c>
      <c r="F13" s="275" t="s">
        <v>380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6" t="s">
        <v>381</v>
      </c>
      <c r="B2" s="336"/>
      <c r="C2" s="336"/>
      <c r="D2" s="336"/>
      <c r="E2" s="336"/>
      <c r="F2" s="336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345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346</v>
      </c>
      <c r="C5" s="273" t="s">
        <v>347</v>
      </c>
      <c r="D5" s="273" t="s">
        <v>348</v>
      </c>
      <c r="E5" s="273" t="s">
        <v>349</v>
      </c>
      <c r="F5" s="273" t="s">
        <v>350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351</v>
      </c>
      <c r="B7" s="275" t="s">
        <v>352</v>
      </c>
      <c r="C7" s="276" t="s">
        <v>353</v>
      </c>
      <c r="D7" s="276" t="s">
        <v>354</v>
      </c>
      <c r="E7" s="277">
        <v>43361</v>
      </c>
      <c r="F7" s="275" t="s">
        <v>355</v>
      </c>
    </row>
    <row r="8" spans="1:7" ht="30" customHeight="1" x14ac:dyDescent="0.25">
      <c r="A8" s="274" t="s">
        <v>356</v>
      </c>
      <c r="B8" s="275" t="s">
        <v>357</v>
      </c>
      <c r="C8" s="276" t="s">
        <v>358</v>
      </c>
      <c r="D8" s="276" t="s">
        <v>359</v>
      </c>
      <c r="E8" s="277">
        <f>1973/12</f>
        <v>164.41666666666666</v>
      </c>
      <c r="F8" s="275" t="s">
        <v>360</v>
      </c>
      <c r="G8" s="278"/>
    </row>
    <row r="9" spans="1:7" ht="15.75" customHeight="1" x14ac:dyDescent="0.25">
      <c r="A9" s="274" t="s">
        <v>361</v>
      </c>
      <c r="B9" s="275" t="s">
        <v>362</v>
      </c>
      <c r="C9" s="276" t="s">
        <v>363</v>
      </c>
      <c r="D9" s="276" t="s">
        <v>354</v>
      </c>
      <c r="E9" s="277">
        <v>1</v>
      </c>
      <c r="F9" s="275"/>
      <c r="G9" s="279"/>
    </row>
    <row r="10" spans="1:7" ht="15.75" customHeight="1" x14ac:dyDescent="0.25">
      <c r="A10" s="274" t="s">
        <v>364</v>
      </c>
      <c r="B10" s="275" t="s">
        <v>107</v>
      </c>
      <c r="C10" s="276"/>
      <c r="D10" s="276"/>
      <c r="E10" s="280">
        <v>2</v>
      </c>
      <c r="F10" s="275" t="s">
        <v>366</v>
      </c>
      <c r="G10" s="279"/>
    </row>
    <row r="11" spans="1:7" ht="78.75" customHeight="1" x14ac:dyDescent="0.25">
      <c r="A11" s="274" t="s">
        <v>367</v>
      </c>
      <c r="B11" s="275" t="s">
        <v>368</v>
      </c>
      <c r="C11" s="276" t="s">
        <v>369</v>
      </c>
      <c r="D11" s="276" t="s">
        <v>354</v>
      </c>
      <c r="E11" s="281">
        <v>1.96</v>
      </c>
      <c r="F11" s="275" t="s">
        <v>382</v>
      </c>
    </row>
    <row r="12" spans="1:7" ht="78.75" customHeight="1" x14ac:dyDescent="0.25">
      <c r="A12" s="274" t="s">
        <v>371</v>
      </c>
      <c r="B12" s="282" t="s">
        <v>372</v>
      </c>
      <c r="C12" s="276" t="s">
        <v>373</v>
      </c>
      <c r="D12" s="276" t="s">
        <v>354</v>
      </c>
      <c r="E12" s="283">
        <v>1.139</v>
      </c>
      <c r="F12" s="284" t="s">
        <v>374</v>
      </c>
      <c r="G12" s="279" t="s">
        <v>375</v>
      </c>
    </row>
    <row r="13" spans="1:7" ht="63" customHeight="1" x14ac:dyDescent="0.25">
      <c r="A13" s="274" t="s">
        <v>376</v>
      </c>
      <c r="B13" s="285" t="s">
        <v>383</v>
      </c>
      <c r="C13" s="276" t="s">
        <v>378</v>
      </c>
      <c r="D13" s="276" t="s">
        <v>379</v>
      </c>
      <c r="E13" s="286">
        <f>((E7*E9/E8)*E11)*E12</f>
        <v>588.75315260010143</v>
      </c>
      <c r="F13" s="275" t="s">
        <v>380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9" t="s">
        <v>384</v>
      </c>
      <c r="B1" s="379"/>
      <c r="C1" s="379"/>
      <c r="D1" s="379"/>
      <c r="E1" s="379"/>
      <c r="F1" s="379"/>
      <c r="G1" s="379"/>
      <c r="H1" s="379"/>
      <c r="I1" s="379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1" t="e">
        <f>#REF!</f>
        <v>#REF!</v>
      </c>
      <c r="B3" s="331"/>
      <c r="C3" s="331"/>
      <c r="D3" s="331"/>
      <c r="E3" s="331"/>
      <c r="F3" s="331"/>
      <c r="G3" s="331"/>
      <c r="H3" s="331"/>
      <c r="I3" s="331"/>
    </row>
    <row r="4" spans="1:13" s="4" customFormat="1" ht="15.75" customHeight="1" x14ac:dyDescent="0.2">
      <c r="A4" s="380"/>
      <c r="B4" s="380"/>
      <c r="C4" s="380"/>
      <c r="D4" s="380"/>
      <c r="E4" s="380"/>
      <c r="F4" s="380"/>
      <c r="G4" s="380"/>
      <c r="H4" s="380"/>
      <c r="I4" s="380"/>
    </row>
    <row r="5" spans="1:13" s="32" customFormat="1" ht="36.6" customHeight="1" x14ac:dyDescent="0.35">
      <c r="A5" s="381" t="s">
        <v>13</v>
      </c>
      <c r="B5" s="381" t="s">
        <v>385</v>
      </c>
      <c r="C5" s="381" t="s">
        <v>386</v>
      </c>
      <c r="D5" s="381" t="s">
        <v>387</v>
      </c>
      <c r="E5" s="376" t="s">
        <v>388</v>
      </c>
      <c r="F5" s="376"/>
      <c r="G5" s="376"/>
      <c r="H5" s="376"/>
      <c r="I5" s="376"/>
    </row>
    <row r="6" spans="1:13" s="27" customFormat="1" ht="31.5" customHeight="1" x14ac:dyDescent="0.2">
      <c r="A6" s="381"/>
      <c r="B6" s="381"/>
      <c r="C6" s="381"/>
      <c r="D6" s="381"/>
      <c r="E6" s="33" t="s">
        <v>76</v>
      </c>
      <c r="F6" s="33" t="s">
        <v>77</v>
      </c>
      <c r="G6" s="33" t="s">
        <v>43</v>
      </c>
      <c r="H6" s="33" t="s">
        <v>389</v>
      </c>
      <c r="I6" s="33" t="s">
        <v>390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259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391</v>
      </c>
      <c r="C9" s="9" t="s">
        <v>392</v>
      </c>
      <c r="D9" s="153">
        <v>3.9E-2</v>
      </c>
      <c r="E9" s="29">
        <f>E8*D9</f>
        <v>0.15541851000000001</v>
      </c>
      <c r="F9" s="29">
        <f>F8*D9</f>
        <v>0.12299157000000001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393</v>
      </c>
      <c r="C11" s="9" t="s">
        <v>337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96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394</v>
      </c>
      <c r="C12" s="9" t="s">
        <v>395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396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340</v>
      </c>
      <c r="C14" s="9" t="s">
        <v>397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2.3006417510043939</v>
      </c>
      <c r="I14" s="29">
        <f>H14</f>
        <v>2.3006417510043939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398</v>
      </c>
      <c r="C16" s="9" t="s">
        <v>399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400</v>
      </c>
    </row>
    <row r="17" spans="1:10" s="27" customFormat="1" ht="81.75" customHeight="1" x14ac:dyDescent="0.2">
      <c r="A17" s="34">
        <v>7</v>
      </c>
      <c r="B17" s="9" t="s">
        <v>398</v>
      </c>
      <c r="C17" s="137" t="s">
        <v>401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402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7.7710448710043938</v>
      </c>
      <c r="I19" s="29">
        <f>SUM(I8:I18)</f>
        <v>109.80726562971439</v>
      </c>
    </row>
    <row r="20" spans="1:10" s="27" customFormat="1" ht="51" customHeight="1" x14ac:dyDescent="0.2">
      <c r="A20" s="34">
        <v>9</v>
      </c>
      <c r="B20" s="136" t="s">
        <v>403</v>
      </c>
      <c r="C20" s="9" t="s">
        <v>271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0.23313134613013181</v>
      </c>
      <c r="I20" s="29">
        <f>I19*3%</f>
        <v>3.2942179688914317</v>
      </c>
    </row>
    <row r="21" spans="1:10" s="30" customFormat="1" ht="13.15" customHeight="1" x14ac:dyDescent="0.2">
      <c r="A21" s="34">
        <v>10</v>
      </c>
      <c r="B21" s="9"/>
      <c r="C21" s="9" t="s">
        <v>404</v>
      </c>
      <c r="D21" s="43"/>
      <c r="E21" s="29"/>
      <c r="F21" s="29"/>
      <c r="G21" s="29"/>
      <c r="H21" s="29"/>
      <c r="I21" s="29">
        <f>I19+I20</f>
        <v>113.10148359860582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405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406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407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408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3" t="s">
        <v>409</v>
      </c>
      <c r="O2" s="383"/>
    </row>
    <row r="3" spans="1:16" x14ac:dyDescent="0.25">
      <c r="A3" s="384" t="s">
        <v>410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</row>
    <row r="5" spans="1:16" s="50" customFormat="1" ht="37.5" customHeight="1" x14ac:dyDescent="0.25">
      <c r="A5" s="385" t="s">
        <v>411</v>
      </c>
      <c r="B5" s="388" t="s">
        <v>412</v>
      </c>
      <c r="C5" s="391" t="s">
        <v>413</v>
      </c>
      <c r="D5" s="394" t="s">
        <v>414</v>
      </c>
      <c r="E5" s="395"/>
      <c r="F5" s="395"/>
      <c r="G5" s="395"/>
      <c r="H5" s="395"/>
      <c r="I5" s="394" t="s">
        <v>415</v>
      </c>
      <c r="J5" s="395"/>
      <c r="K5" s="395"/>
      <c r="L5" s="395"/>
      <c r="M5" s="395"/>
      <c r="N5" s="395"/>
      <c r="O5" s="53" t="s">
        <v>416</v>
      </c>
    </row>
    <row r="6" spans="1:16" s="56" customFormat="1" ht="150" customHeight="1" x14ac:dyDescent="0.25">
      <c r="A6" s="386"/>
      <c r="B6" s="389"/>
      <c r="C6" s="392"/>
      <c r="D6" s="391" t="s">
        <v>417</v>
      </c>
      <c r="E6" s="396" t="s">
        <v>418</v>
      </c>
      <c r="F6" s="397"/>
      <c r="G6" s="398"/>
      <c r="H6" s="54" t="s">
        <v>419</v>
      </c>
      <c r="I6" s="399" t="s">
        <v>420</v>
      </c>
      <c r="J6" s="399" t="s">
        <v>417</v>
      </c>
      <c r="K6" s="400" t="s">
        <v>418</v>
      </c>
      <c r="L6" s="400"/>
      <c r="M6" s="400"/>
      <c r="N6" s="54" t="s">
        <v>419</v>
      </c>
      <c r="O6" s="55" t="s">
        <v>421</v>
      </c>
    </row>
    <row r="7" spans="1:16" s="56" customFormat="1" ht="30.75" customHeight="1" x14ac:dyDescent="0.25">
      <c r="A7" s="387"/>
      <c r="B7" s="390"/>
      <c r="C7" s="393"/>
      <c r="D7" s="393"/>
      <c r="E7" s="53" t="s">
        <v>76</v>
      </c>
      <c r="F7" s="53" t="s">
        <v>77</v>
      </c>
      <c r="G7" s="53" t="s">
        <v>43</v>
      </c>
      <c r="H7" s="57" t="s">
        <v>422</v>
      </c>
      <c r="I7" s="399"/>
      <c r="J7" s="399"/>
      <c r="K7" s="53" t="s">
        <v>76</v>
      </c>
      <c r="L7" s="53" t="s">
        <v>77</v>
      </c>
      <c r="M7" s="53" t="s">
        <v>43</v>
      </c>
      <c r="N7" s="57" t="s">
        <v>422</v>
      </c>
      <c r="O7" s="53" t="s">
        <v>423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5" t="s">
        <v>424</v>
      </c>
      <c r="C9" s="59" t="s">
        <v>425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242.76170000000002</v>
      </c>
      <c r="G9" s="61">
        <v>0</v>
      </c>
      <c r="H9" s="60">
        <f>(713.49*0.8)/1000</f>
        <v>0.57079200000000008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1478.4187530000002</v>
      </c>
      <c r="M9" s="61">
        <f>G9*H24</f>
        <v>0</v>
      </c>
      <c r="N9" s="60">
        <f>H9*H25</f>
        <v>6.48990504</v>
      </c>
      <c r="O9" s="62">
        <f t="shared" ref="O9:O15" si="2">N9/(L9+M9)</f>
        <v>4.3897610381569609E-3</v>
      </c>
    </row>
    <row r="10" spans="1:16" s="56" customFormat="1" ht="54.75" customHeight="1" x14ac:dyDescent="0.25">
      <c r="A10" s="57">
        <v>2</v>
      </c>
      <c r="B10" s="387"/>
      <c r="C10" s="63" t="s">
        <v>426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1.225379872165199E-3</v>
      </c>
      <c r="P10" s="64"/>
    </row>
    <row r="11" spans="1:16" s="56" customFormat="1" ht="24.6" customHeight="1" x14ac:dyDescent="0.25">
      <c r="A11" s="58">
        <v>3</v>
      </c>
      <c r="B11" s="385" t="s">
        <v>427</v>
      </c>
      <c r="C11" s="63" t="s">
        <v>428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129121.52160000001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154.48610000000002</v>
      </c>
      <c r="O11" s="62">
        <f t="shared" si="2"/>
        <v>4.1066716562919176E-3</v>
      </c>
    </row>
    <row r="12" spans="1:16" s="56" customFormat="1" ht="31.9" customHeight="1" x14ac:dyDescent="0.25">
      <c r="A12" s="57">
        <v>4</v>
      </c>
      <c r="B12" s="387"/>
      <c r="C12" s="63" t="s">
        <v>429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2.3140164284093331E-3</v>
      </c>
    </row>
    <row r="13" spans="1:16" s="56" customFormat="1" ht="60" customHeight="1" x14ac:dyDescent="0.25">
      <c r="A13" s="58">
        <v>5</v>
      </c>
      <c r="B13" s="385" t="s">
        <v>430</v>
      </c>
      <c r="C13" s="59" t="s">
        <v>431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267889.86340000003</v>
      </c>
      <c r="K13" s="61">
        <f>E13*L22</f>
        <v>79488.050400000007</v>
      </c>
      <c r="L13" s="61">
        <f>F13*L22</f>
        <v>167241.27900000001</v>
      </c>
      <c r="M13" s="61">
        <f>G13*L24</f>
        <v>21160.534000000003</v>
      </c>
      <c r="N13" s="60">
        <f>H13*L25</f>
        <v>231.46549999999999</v>
      </c>
      <c r="O13" s="62">
        <f t="shared" si="2"/>
        <v>1.228573633736741E-3</v>
      </c>
    </row>
    <row r="14" spans="1:16" s="56" customFormat="1" ht="39.6" customHeight="1" x14ac:dyDescent="0.25">
      <c r="A14" s="57">
        <v>6</v>
      </c>
      <c r="B14" s="387"/>
      <c r="C14" s="63" t="s">
        <v>432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23240.095500000003</v>
      </c>
      <c r="N14" s="60">
        <f>H14*M25</f>
        <v>1423.7858999999999</v>
      </c>
      <c r="O14" s="62">
        <f t="shared" si="2"/>
        <v>5.6024083795152453E-3</v>
      </c>
    </row>
    <row r="15" spans="1:16" s="56" customFormat="1" ht="46.15" customHeight="1" x14ac:dyDescent="0.25">
      <c r="A15" s="58">
        <v>7</v>
      </c>
      <c r="B15" s="65" t="s">
        <v>433</v>
      </c>
      <c r="C15" s="63" t="s">
        <v>434</v>
      </c>
      <c r="D15" s="60">
        <f t="shared" si="0"/>
        <v>981651.63000000012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201852.46120000002</v>
      </c>
      <c r="N15" s="60">
        <f>H15*N25</f>
        <v>1185.7186999999999</v>
      </c>
      <c r="O15" s="62">
        <f t="shared" si="2"/>
        <v>3.5280316227560241E-4</v>
      </c>
    </row>
    <row r="16" spans="1:16" s="56" customFormat="1" ht="24" customHeight="1" x14ac:dyDescent="0.25">
      <c r="A16" s="66"/>
      <c r="B16" s="66"/>
      <c r="C16" s="67" t="s">
        <v>435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2.7456591672215713E-3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436</v>
      </c>
    </row>
    <row r="19" spans="1:15" ht="30.75" customHeight="1" x14ac:dyDescent="0.25">
      <c r="L19" s="75"/>
    </row>
    <row r="20" spans="1:15" ht="15" customHeight="1" outlineLevel="1" x14ac:dyDescent="0.25">
      <c r="G20" s="382" t="s">
        <v>437</v>
      </c>
      <c r="H20" s="382"/>
      <c r="I20" s="382"/>
      <c r="J20" s="382"/>
      <c r="K20" s="382"/>
      <c r="L20" s="382"/>
      <c r="M20" s="382"/>
      <c r="N20" s="382"/>
      <c r="O20" s="52"/>
    </row>
    <row r="21" spans="1:15" ht="15.75" customHeight="1" outlineLevel="1" x14ac:dyDescent="0.25">
      <c r="G21" s="76"/>
      <c r="H21" s="76" t="s">
        <v>438</v>
      </c>
      <c r="I21" s="76" t="s">
        <v>439</v>
      </c>
      <c r="J21" s="77" t="s">
        <v>440</v>
      </c>
      <c r="K21" s="78" t="s">
        <v>441</v>
      </c>
      <c r="L21" s="76" t="s">
        <v>442</v>
      </c>
      <c r="M21" s="76" t="s">
        <v>443</v>
      </c>
      <c r="N21" s="77" t="s">
        <v>444</v>
      </c>
      <c r="O21" s="79"/>
    </row>
    <row r="22" spans="1:15" ht="15.75" customHeight="1" outlineLevel="1" x14ac:dyDescent="0.25">
      <c r="G22" s="402" t="s">
        <v>445</v>
      </c>
      <c r="H22" s="401">
        <v>6.09</v>
      </c>
      <c r="I22" s="403">
        <v>6.44</v>
      </c>
      <c r="J22" s="401">
        <v>5.77</v>
      </c>
      <c r="K22" s="403">
        <v>5.77</v>
      </c>
      <c r="L22" s="401">
        <v>5.23</v>
      </c>
      <c r="M22" s="401">
        <v>5.77</v>
      </c>
      <c r="N22" s="80">
        <v>6.29</v>
      </c>
      <c r="O22" s="51" t="s">
        <v>446</v>
      </c>
    </row>
    <row r="23" spans="1:15" ht="15.75" customHeight="1" outlineLevel="1" x14ac:dyDescent="0.25">
      <c r="G23" s="402"/>
      <c r="H23" s="401"/>
      <c r="I23" s="403"/>
      <c r="J23" s="401"/>
      <c r="K23" s="403"/>
      <c r="L23" s="401"/>
      <c r="M23" s="401"/>
      <c r="N23" s="80">
        <v>6.56</v>
      </c>
      <c r="O23" s="51" t="s">
        <v>447</v>
      </c>
    </row>
    <row r="24" spans="1:15" ht="15.75" customHeight="1" outlineLevel="1" x14ac:dyDescent="0.25">
      <c r="G24" s="81" t="s">
        <v>448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422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449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450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389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9" t="s">
        <v>451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</row>
    <row r="4" spans="1:18" ht="36.75" customHeight="1" x14ac:dyDescent="0.25">
      <c r="A4" s="385" t="s">
        <v>411</v>
      </c>
      <c r="B4" s="388" t="s">
        <v>412</v>
      </c>
      <c r="C4" s="391" t="s">
        <v>452</v>
      </c>
      <c r="D4" s="391" t="s">
        <v>453</v>
      </c>
      <c r="E4" s="394" t="s">
        <v>454</v>
      </c>
      <c r="F4" s="395"/>
      <c r="G4" s="395"/>
      <c r="H4" s="395"/>
      <c r="I4" s="395"/>
      <c r="J4" s="395"/>
      <c r="K4" s="395"/>
      <c r="L4" s="395"/>
      <c r="M4" s="395"/>
      <c r="N4" s="420" t="s">
        <v>455</v>
      </c>
      <c r="O4" s="421"/>
      <c r="P4" s="421"/>
      <c r="Q4" s="421"/>
      <c r="R4" s="422"/>
    </row>
    <row r="5" spans="1:18" ht="60" customHeight="1" x14ac:dyDescent="0.25">
      <c r="A5" s="386"/>
      <c r="B5" s="389"/>
      <c r="C5" s="392"/>
      <c r="D5" s="392"/>
      <c r="E5" s="399" t="s">
        <v>456</v>
      </c>
      <c r="F5" s="399" t="s">
        <v>457</v>
      </c>
      <c r="G5" s="396" t="s">
        <v>418</v>
      </c>
      <c r="H5" s="397"/>
      <c r="I5" s="397"/>
      <c r="J5" s="398"/>
      <c r="K5" s="399" t="s">
        <v>458</v>
      </c>
      <c r="L5" s="399"/>
      <c r="M5" s="399"/>
      <c r="N5" s="89" t="s">
        <v>459</v>
      </c>
      <c r="O5" s="89" t="s">
        <v>460</v>
      </c>
      <c r="P5" s="90" t="s">
        <v>461</v>
      </c>
      <c r="Q5" s="91" t="s">
        <v>462</v>
      </c>
      <c r="R5" s="90" t="s">
        <v>463</v>
      </c>
    </row>
    <row r="6" spans="1:18" ht="49.5" customHeight="1" x14ac:dyDescent="0.25">
      <c r="A6" s="387"/>
      <c r="B6" s="390"/>
      <c r="C6" s="393"/>
      <c r="D6" s="393"/>
      <c r="E6" s="399"/>
      <c r="F6" s="399"/>
      <c r="G6" s="53" t="s">
        <v>76</v>
      </c>
      <c r="H6" s="53" t="s">
        <v>77</v>
      </c>
      <c r="I6" s="92" t="s">
        <v>43</v>
      </c>
      <c r="J6" s="92" t="s">
        <v>389</v>
      </c>
      <c r="K6" s="53" t="s">
        <v>459</v>
      </c>
      <c r="L6" s="53" t="s">
        <v>460</v>
      </c>
      <c r="M6" s="53" t="s">
        <v>461</v>
      </c>
      <c r="N6" s="92" t="s">
        <v>464</v>
      </c>
      <c r="O6" s="92" t="s">
        <v>465</v>
      </c>
      <c r="P6" s="92" t="s">
        <v>466</v>
      </c>
      <c r="Q6" s="93" t="s">
        <v>467</v>
      </c>
      <c r="R6" s="94" t="s">
        <v>468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5">
        <v>1</v>
      </c>
      <c r="B9" s="385" t="s">
        <v>469</v>
      </c>
      <c r="C9" s="412" t="s">
        <v>425</v>
      </c>
      <c r="D9" s="99" t="s">
        <v>470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87"/>
      <c r="B10" s="386"/>
      <c r="C10" s="413"/>
      <c r="D10" s="99" t="s">
        <v>471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85">
        <v>2</v>
      </c>
      <c r="B11" s="386"/>
      <c r="C11" s="412" t="s">
        <v>472</v>
      </c>
      <c r="D11" s="104" t="s">
        <v>470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87"/>
      <c r="B12" s="387"/>
      <c r="C12" s="413"/>
      <c r="D12" s="104" t="s">
        <v>471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85">
        <v>3</v>
      </c>
      <c r="B13" s="385" t="s">
        <v>427</v>
      </c>
      <c r="C13" s="415" t="s">
        <v>428</v>
      </c>
      <c r="D13" s="99" t="s">
        <v>473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87"/>
      <c r="B14" s="386"/>
      <c r="C14" s="416"/>
      <c r="D14" s="99" t="s">
        <v>471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85">
        <v>4</v>
      </c>
      <c r="B15" s="386"/>
      <c r="C15" s="417" t="s">
        <v>429</v>
      </c>
      <c r="D15" s="105" t="s">
        <v>473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87"/>
      <c r="B16" s="387"/>
      <c r="C16" s="418"/>
      <c r="D16" s="105" t="s">
        <v>471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85">
        <v>5</v>
      </c>
      <c r="B17" s="400" t="s">
        <v>430</v>
      </c>
      <c r="C17" s="412" t="s">
        <v>474</v>
      </c>
      <c r="D17" s="99" t="s">
        <v>475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87"/>
      <c r="B18" s="400"/>
      <c r="C18" s="413"/>
      <c r="D18" s="99" t="s">
        <v>471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85">
        <v>6</v>
      </c>
      <c r="B19" s="400"/>
      <c r="C19" s="412" t="s">
        <v>432</v>
      </c>
      <c r="D19" s="105" t="s">
        <v>473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87"/>
      <c r="B20" s="400"/>
      <c r="C20" s="413"/>
      <c r="D20" s="105" t="s">
        <v>471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85">
        <v>7</v>
      </c>
      <c r="B21" s="385" t="s">
        <v>433</v>
      </c>
      <c r="C21" s="412" t="s">
        <v>434</v>
      </c>
      <c r="D21" s="105" t="s">
        <v>476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87"/>
      <c r="B22" s="387"/>
      <c r="C22" s="413"/>
      <c r="D22" s="106" t="s">
        <v>471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477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4" t="s">
        <v>478</v>
      </c>
      <c r="E26" s="414"/>
      <c r="F26" s="414"/>
      <c r="G26" s="414"/>
      <c r="H26" s="414"/>
      <c r="I26" s="414"/>
      <c r="J26" s="414"/>
      <c r="K26" s="414"/>
      <c r="L26" s="121"/>
      <c r="R26" s="122"/>
    </row>
    <row r="27" spans="1:18" outlineLevel="1" x14ac:dyDescent="0.25">
      <c r="D27" s="123"/>
      <c r="E27" s="123" t="s">
        <v>438</v>
      </c>
      <c r="F27" s="123" t="s">
        <v>439</v>
      </c>
      <c r="G27" s="123" t="s">
        <v>440</v>
      </c>
      <c r="H27" s="124" t="s">
        <v>441</v>
      </c>
      <c r="I27" s="124" t="s">
        <v>442</v>
      </c>
      <c r="J27" s="124" t="s">
        <v>443</v>
      </c>
      <c r="K27" s="111" t="s">
        <v>444</v>
      </c>
      <c r="L27" s="52"/>
    </row>
    <row r="28" spans="1:18" outlineLevel="1" x14ac:dyDescent="0.25">
      <c r="D28" s="408" t="s">
        <v>445</v>
      </c>
      <c r="E28" s="406">
        <v>6.09</v>
      </c>
      <c r="F28" s="410">
        <v>6.63</v>
      </c>
      <c r="G28" s="406">
        <v>5.77</v>
      </c>
      <c r="H28" s="404">
        <v>5.77</v>
      </c>
      <c r="I28" s="404">
        <v>6.35</v>
      </c>
      <c r="J28" s="406">
        <v>5.77</v>
      </c>
      <c r="K28" s="125">
        <v>6.29</v>
      </c>
      <c r="L28" s="87" t="s">
        <v>446</v>
      </c>
      <c r="M28" s="52"/>
    </row>
    <row r="29" spans="1:18" outlineLevel="1" x14ac:dyDescent="0.25">
      <c r="D29" s="409"/>
      <c r="E29" s="407"/>
      <c r="F29" s="411"/>
      <c r="G29" s="407"/>
      <c r="H29" s="405"/>
      <c r="I29" s="405"/>
      <c r="J29" s="407"/>
      <c r="K29" s="125">
        <v>6.56</v>
      </c>
      <c r="L29" s="87" t="s">
        <v>447</v>
      </c>
      <c r="M29" s="52"/>
    </row>
    <row r="30" spans="1:18" outlineLevel="1" x14ac:dyDescent="0.25">
      <c r="D30" s="126" t="s">
        <v>448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8" t="s">
        <v>422</v>
      </c>
      <c r="E31" s="406">
        <v>11.37</v>
      </c>
      <c r="F31" s="410">
        <v>13.56</v>
      </c>
      <c r="G31" s="406">
        <v>15.91</v>
      </c>
      <c r="H31" s="404">
        <v>15.91</v>
      </c>
      <c r="I31" s="404">
        <v>14.03</v>
      </c>
      <c r="J31" s="406">
        <v>15.91</v>
      </c>
      <c r="K31" s="125">
        <v>8.2899999999999991</v>
      </c>
      <c r="L31" s="87" t="s">
        <v>446</v>
      </c>
      <c r="R31" s="116"/>
    </row>
    <row r="32" spans="1:18" s="87" customFormat="1" outlineLevel="1" x14ac:dyDescent="0.25">
      <c r="D32" s="409"/>
      <c r="E32" s="407"/>
      <c r="F32" s="411"/>
      <c r="G32" s="407"/>
      <c r="H32" s="405"/>
      <c r="I32" s="405"/>
      <c r="J32" s="407"/>
      <c r="K32" s="125">
        <v>11.84</v>
      </c>
      <c r="L32" s="87" t="s">
        <v>447</v>
      </c>
      <c r="R32" s="116"/>
    </row>
    <row r="33" spans="4:18" s="87" customFormat="1" ht="15" customHeight="1" outlineLevel="1" x14ac:dyDescent="0.25">
      <c r="D33" s="129" t="s">
        <v>449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479</v>
      </c>
      <c r="R33" s="116"/>
    </row>
    <row r="34" spans="4:18" s="87" customFormat="1" outlineLevel="1" x14ac:dyDescent="0.25">
      <c r="D34" s="129" t="s">
        <v>450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479</v>
      </c>
      <c r="R34" s="116"/>
    </row>
    <row r="35" spans="4:18" s="87" customFormat="1" outlineLevel="1" x14ac:dyDescent="0.25">
      <c r="D35" s="126" t="s">
        <v>389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8" t="s">
        <v>10</v>
      </c>
      <c r="B2" s="328"/>
      <c r="C2" s="328"/>
      <c r="D2" s="32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1"/>
    </row>
    <row r="5" spans="1:4" x14ac:dyDescent="0.25">
      <c r="A5" s="6"/>
      <c r="B5" s="1"/>
      <c r="C5" s="1"/>
    </row>
    <row r="6" spans="1:4" x14ac:dyDescent="0.25">
      <c r="A6" s="328" t="s">
        <v>12</v>
      </c>
      <c r="B6" s="328"/>
      <c r="C6" s="328"/>
      <c r="D6" s="32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2" t="s">
        <v>5</v>
      </c>
      <c r="B15" s="333" t="s">
        <v>15</v>
      </c>
      <c r="C15" s="333"/>
      <c r="D15" s="333"/>
    </row>
    <row r="16" spans="1:4" x14ac:dyDescent="0.25">
      <c r="A16" s="332"/>
      <c r="B16" s="332" t="s">
        <v>17</v>
      </c>
      <c r="C16" s="333" t="s">
        <v>28</v>
      </c>
      <c r="D16" s="333"/>
    </row>
    <row r="17" spans="1:4" ht="39" customHeight="1" x14ac:dyDescent="0.25">
      <c r="A17" s="332"/>
      <c r="B17" s="332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4" t="s">
        <v>29</v>
      </c>
      <c r="B2" s="334"/>
      <c r="C2" s="334"/>
      <c r="D2" s="334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view="pageBreakPreview" zoomScale="70" zoomScaleNormal="55" workbookViewId="0">
      <selection activeCell="F25" sqref="F25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35" t="s">
        <v>45</v>
      </c>
      <c r="C3" s="335"/>
      <c r="D3" s="335"/>
    </row>
    <row r="4" spans="2:4" x14ac:dyDescent="0.25">
      <c r="B4" s="336" t="s">
        <v>46</v>
      </c>
      <c r="C4" s="336"/>
      <c r="D4" s="336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5.25" customHeight="1" x14ac:dyDescent="0.25">
      <c r="B7" s="337" t="s">
        <v>484</v>
      </c>
      <c r="C7" s="338"/>
      <c r="D7" s="338"/>
    </row>
    <row r="8" spans="2:4" ht="31.5" customHeight="1" x14ac:dyDescent="0.25">
      <c r="B8" s="338" t="s">
        <v>494</v>
      </c>
      <c r="C8" s="338"/>
      <c r="D8" s="338"/>
    </row>
    <row r="9" spans="2:4" x14ac:dyDescent="0.25">
      <c r="B9" s="338" t="s">
        <v>480</v>
      </c>
      <c r="C9" s="338"/>
      <c r="D9" s="338"/>
    </row>
    <row r="10" spans="2:4" x14ac:dyDescent="0.25">
      <c r="B10" s="166"/>
    </row>
    <row r="11" spans="2:4" x14ac:dyDescent="0.25">
      <c r="B11" s="287" t="s">
        <v>33</v>
      </c>
      <c r="C11" s="287" t="s">
        <v>47</v>
      </c>
      <c r="D11" s="167" t="s">
        <v>48</v>
      </c>
    </row>
    <row r="12" spans="2:4" ht="157.5" customHeight="1" x14ac:dyDescent="0.25">
      <c r="B12" s="287">
        <v>1</v>
      </c>
      <c r="C12" s="167" t="s">
        <v>49</v>
      </c>
      <c r="D12" s="324" t="s">
        <v>488</v>
      </c>
    </row>
    <row r="13" spans="2:4" ht="31.5" customHeight="1" x14ac:dyDescent="0.25">
      <c r="B13" s="287">
        <v>2</v>
      </c>
      <c r="C13" s="167" t="s">
        <v>50</v>
      </c>
      <c r="D13" s="324" t="s">
        <v>489</v>
      </c>
    </row>
    <row r="14" spans="2:4" x14ac:dyDescent="0.25">
      <c r="B14" s="287">
        <v>3</v>
      </c>
      <c r="C14" s="167" t="s">
        <v>51</v>
      </c>
      <c r="D14" s="324" t="s">
        <v>490</v>
      </c>
    </row>
    <row r="15" spans="2:4" x14ac:dyDescent="0.25">
      <c r="B15" s="287">
        <v>4</v>
      </c>
      <c r="C15" s="167" t="s">
        <v>52</v>
      </c>
      <c r="D15" s="324">
        <v>1</v>
      </c>
    </row>
    <row r="16" spans="2:4" ht="94.5" customHeight="1" x14ac:dyDescent="0.25">
      <c r="B16" s="287">
        <v>5</v>
      </c>
      <c r="C16" s="169" t="s">
        <v>53</v>
      </c>
      <c r="D16" s="167"/>
    </row>
    <row r="17" spans="2:6" ht="78.75" customHeight="1" x14ac:dyDescent="0.25">
      <c r="B17" s="287">
        <v>6</v>
      </c>
      <c r="C17" s="169" t="s">
        <v>54</v>
      </c>
      <c r="D17" s="170">
        <f>D18+D19</f>
        <v>2070.4966788000002</v>
      </c>
    </row>
    <row r="18" spans="2:6" x14ac:dyDescent="0.25">
      <c r="B18" s="171" t="s">
        <v>55</v>
      </c>
      <c r="C18" s="167" t="s">
        <v>56</v>
      </c>
      <c r="D18" s="170">
        <f>'Прил.2 Расч стоим'!F12</f>
        <v>72.376173000000009</v>
      </c>
    </row>
    <row r="19" spans="2:6" ht="15.75" customHeight="1" x14ac:dyDescent="0.25">
      <c r="B19" s="171" t="s">
        <v>57</v>
      </c>
      <c r="C19" s="167" t="s">
        <v>58</v>
      </c>
      <c r="D19" s="170">
        <f>'Прил.2 Расч стоим'!H12</f>
        <v>1998.1205058</v>
      </c>
    </row>
    <row r="20" spans="2:6" ht="16.5" customHeight="1" x14ac:dyDescent="0.25">
      <c r="B20" s="171" t="s">
        <v>59</v>
      </c>
      <c r="C20" s="167" t="s">
        <v>60</v>
      </c>
      <c r="D20" s="170"/>
      <c r="F20" s="172"/>
    </row>
    <row r="21" spans="2:6" ht="35.25" customHeight="1" x14ac:dyDescent="0.25">
      <c r="B21" s="171" t="s">
        <v>61</v>
      </c>
      <c r="C21" s="173" t="s">
        <v>62</v>
      </c>
      <c r="D21" s="170"/>
    </row>
    <row r="22" spans="2:6" x14ac:dyDescent="0.25">
      <c r="B22" s="287">
        <v>7</v>
      </c>
      <c r="C22" s="173" t="s">
        <v>63</v>
      </c>
      <c r="D22" s="309" t="s">
        <v>495</v>
      </c>
    </row>
    <row r="23" spans="2:6" ht="123" customHeight="1" x14ac:dyDescent="0.25">
      <c r="B23" s="287">
        <v>8</v>
      </c>
      <c r="C23" s="174" t="s">
        <v>64</v>
      </c>
      <c r="D23" s="170">
        <f>D17</f>
        <v>2070.4966788000002</v>
      </c>
    </row>
    <row r="24" spans="2:6" ht="60.75" customHeight="1" x14ac:dyDescent="0.25">
      <c r="B24" s="287">
        <v>9</v>
      </c>
      <c r="C24" s="169" t="s">
        <v>65</v>
      </c>
      <c r="D24" s="170">
        <f>D23/D15</f>
        <v>2070.4966788000002</v>
      </c>
    </row>
    <row r="25" spans="2:6" ht="118.5" customHeight="1" x14ac:dyDescent="0.25">
      <c r="B25" s="287">
        <v>10</v>
      </c>
      <c r="C25" s="167" t="s">
        <v>66</v>
      </c>
      <c r="D25" s="167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4" t="s">
        <v>67</v>
      </c>
    </row>
    <row r="29" spans="2:6" x14ac:dyDescent="0.25">
      <c r="B29" s="177" t="s">
        <v>68</v>
      </c>
    </row>
    <row r="31" spans="2:6" x14ac:dyDescent="0.25">
      <c r="B31" s="164" t="s">
        <v>69</v>
      </c>
    </row>
    <row r="32" spans="2:6" x14ac:dyDescent="0.25">
      <c r="B32" s="177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tabSelected="1" view="pageBreakPreview" zoomScale="70" zoomScaleNormal="70" workbookViewId="0">
      <selection activeCell="F11" sqref="F11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35" t="s">
        <v>71</v>
      </c>
      <c r="C3" s="335"/>
      <c r="D3" s="335"/>
      <c r="E3" s="335"/>
      <c r="F3" s="335"/>
      <c r="G3" s="335"/>
      <c r="H3" s="335"/>
      <c r="I3" s="335"/>
      <c r="J3" s="335"/>
      <c r="K3" s="177"/>
    </row>
    <row r="4" spans="2:12" x14ac:dyDescent="0.25">
      <c r="B4" s="336" t="s">
        <v>72</v>
      </c>
      <c r="C4" s="336"/>
      <c r="D4" s="336"/>
      <c r="E4" s="336"/>
      <c r="F4" s="336"/>
      <c r="G4" s="336"/>
      <c r="H4" s="336"/>
      <c r="I4" s="336"/>
      <c r="J4" s="336"/>
      <c r="K4" s="336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15.75" customHeight="1" x14ac:dyDescent="0.25">
      <c r="B6" s="340" t="s">
        <v>485</v>
      </c>
      <c r="C6" s="340"/>
      <c r="D6" s="340"/>
      <c r="E6" s="340"/>
      <c r="F6" s="340"/>
      <c r="G6" s="340"/>
      <c r="H6" s="340"/>
      <c r="I6" s="340"/>
      <c r="J6" s="340"/>
      <c r="K6" s="177"/>
      <c r="L6" s="178"/>
    </row>
    <row r="7" spans="2:12" x14ac:dyDescent="0.25">
      <c r="B7" s="338" t="s">
        <v>480</v>
      </c>
      <c r="C7" s="338"/>
      <c r="D7" s="338"/>
      <c r="E7" s="338"/>
      <c r="F7" s="338"/>
      <c r="G7" s="338"/>
      <c r="H7" s="338"/>
      <c r="I7" s="338"/>
      <c r="J7" s="338"/>
      <c r="K7" s="338"/>
      <c r="L7" s="178"/>
    </row>
    <row r="8" spans="2:12" x14ac:dyDescent="0.25">
      <c r="B8" s="166"/>
    </row>
    <row r="9" spans="2:12" ht="15.75" customHeight="1" x14ac:dyDescent="0.25">
      <c r="B9" s="341" t="s">
        <v>33</v>
      </c>
      <c r="C9" s="341" t="s">
        <v>73</v>
      </c>
      <c r="D9" s="341" t="s">
        <v>48</v>
      </c>
      <c r="E9" s="341"/>
      <c r="F9" s="341"/>
      <c r="G9" s="341"/>
      <c r="H9" s="341"/>
      <c r="I9" s="341"/>
      <c r="J9" s="341"/>
    </row>
    <row r="10" spans="2:12" ht="15.75" customHeight="1" x14ac:dyDescent="0.25">
      <c r="B10" s="341"/>
      <c r="C10" s="341"/>
      <c r="D10" s="341" t="s">
        <v>74</v>
      </c>
      <c r="E10" s="341" t="s">
        <v>75</v>
      </c>
      <c r="F10" s="341" t="s">
        <v>496</v>
      </c>
      <c r="G10" s="341"/>
      <c r="H10" s="341"/>
      <c r="I10" s="341"/>
      <c r="J10" s="341"/>
    </row>
    <row r="11" spans="2:12" ht="31.5" customHeight="1" x14ac:dyDescent="0.25">
      <c r="B11" s="341"/>
      <c r="C11" s="341"/>
      <c r="D11" s="341"/>
      <c r="E11" s="341"/>
      <c r="F11" s="287" t="s">
        <v>76</v>
      </c>
      <c r="G11" s="287" t="s">
        <v>77</v>
      </c>
      <c r="H11" s="287" t="s">
        <v>43</v>
      </c>
      <c r="I11" s="287" t="s">
        <v>78</v>
      </c>
      <c r="J11" s="287" t="s">
        <v>79</v>
      </c>
    </row>
    <row r="12" spans="2:12" ht="47.25" customHeight="1" x14ac:dyDescent="0.25">
      <c r="B12" s="271"/>
      <c r="C12" s="307" t="s">
        <v>492</v>
      </c>
      <c r="D12" s="308"/>
      <c r="E12" s="168"/>
      <c r="F12" s="342">
        <v>72.376173000000009</v>
      </c>
      <c r="G12" s="343"/>
      <c r="H12" s="179">
        <v>1998.1205058</v>
      </c>
      <c r="I12" s="180"/>
      <c r="J12" s="181"/>
    </row>
    <row r="13" spans="2:12" ht="15.75" customHeight="1" x14ac:dyDescent="0.25">
      <c r="B13" s="339" t="s">
        <v>80</v>
      </c>
      <c r="C13" s="339"/>
      <c r="D13" s="339"/>
      <c r="E13" s="339"/>
      <c r="F13" s="344">
        <f>SUM(F12:F12)</f>
        <v>72.376173000000009</v>
      </c>
      <c r="G13" s="345"/>
      <c r="H13" s="182">
        <f>SUM(H12:H12)</f>
        <v>1998.1205058</v>
      </c>
      <c r="I13" s="183"/>
      <c r="J13" s="184">
        <f>SUM(F13:I13)</f>
        <v>2070.4966788000002</v>
      </c>
    </row>
    <row r="14" spans="2:12" ht="28.5" customHeight="1" x14ac:dyDescent="0.25">
      <c r="B14" s="339" t="s">
        <v>493</v>
      </c>
      <c r="C14" s="339"/>
      <c r="D14" s="339"/>
      <c r="E14" s="339"/>
      <c r="F14" s="344">
        <f>F13</f>
        <v>72.376173000000009</v>
      </c>
      <c r="G14" s="345"/>
      <c r="H14" s="182">
        <f>H13</f>
        <v>1998.1205058</v>
      </c>
      <c r="I14" s="183"/>
      <c r="J14" s="184">
        <f>SUM(F14:I14)</f>
        <v>2070.4966788000002</v>
      </c>
    </row>
    <row r="15" spans="2:12" x14ac:dyDescent="0.25">
      <c r="B15" s="166"/>
    </row>
    <row r="18" spans="2:3" x14ac:dyDescent="0.25">
      <c r="B18" s="185" t="s">
        <v>81</v>
      </c>
      <c r="C18" s="164" t="s">
        <v>82</v>
      </c>
    </row>
    <row r="22" spans="2:3" x14ac:dyDescent="0.25">
      <c r="B22" s="164" t="s">
        <v>67</v>
      </c>
    </row>
    <row r="23" spans="2:3" x14ac:dyDescent="0.25">
      <c r="B23" s="177" t="s">
        <v>68</v>
      </c>
    </row>
    <row r="25" spans="2:3" x14ac:dyDescent="0.25">
      <c r="B25" s="164" t="s">
        <v>69</v>
      </c>
    </row>
    <row r="26" spans="2:3" x14ac:dyDescent="0.25">
      <c r="B26" s="177" t="s">
        <v>70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7"/>
  <sheetViews>
    <sheetView view="pageBreakPreview" topLeftCell="A19" zoomScaleSheetLayoutView="100" workbookViewId="0">
      <selection activeCell="N14" sqref="N14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6" customWidth="1"/>
    <col min="6" max="6" width="20.7109375" style="164" customWidth="1"/>
    <col min="7" max="7" width="16.140625" style="164" customWidth="1"/>
    <col min="8" max="8" width="16.7109375" style="164" customWidth="1"/>
  </cols>
  <sheetData>
    <row r="2" spans="1:9" x14ac:dyDescent="0.25">
      <c r="A2" s="335" t="s">
        <v>83</v>
      </c>
      <c r="B2" s="335"/>
      <c r="C2" s="335"/>
      <c r="D2" s="335"/>
      <c r="E2" s="335"/>
      <c r="F2" s="335"/>
      <c r="G2" s="335"/>
      <c r="H2" s="335"/>
    </row>
    <row r="3" spans="1:9" x14ac:dyDescent="0.25">
      <c r="A3" s="336" t="s">
        <v>84</v>
      </c>
      <c r="B3" s="336"/>
      <c r="C3" s="336"/>
      <c r="D3" s="336"/>
      <c r="E3" s="336"/>
      <c r="F3" s="336"/>
      <c r="G3" s="336"/>
      <c r="H3" s="336"/>
    </row>
    <row r="4" spans="1:9" x14ac:dyDescent="0.25">
      <c r="A4" s="166"/>
    </row>
    <row r="5" spans="1:9" x14ac:dyDescent="0.25">
      <c r="A5" s="340" t="s">
        <v>486</v>
      </c>
      <c r="B5" s="340"/>
      <c r="C5" s="340"/>
      <c r="D5" s="340"/>
      <c r="E5" s="340"/>
      <c r="F5" s="340"/>
      <c r="G5" s="340"/>
      <c r="H5" s="340"/>
    </row>
    <row r="6" spans="1:9" x14ac:dyDescent="0.25">
      <c r="A6" s="187"/>
      <c r="B6" s="187"/>
      <c r="C6" s="187"/>
      <c r="D6" s="187"/>
      <c r="E6" s="165"/>
      <c r="F6" s="187"/>
      <c r="G6" s="187"/>
      <c r="H6" s="187"/>
    </row>
    <row r="7" spans="1:9" ht="38.25" customHeight="1" x14ac:dyDescent="0.25">
      <c r="A7" s="341" t="s">
        <v>85</v>
      </c>
      <c r="B7" s="341" t="s">
        <v>86</v>
      </c>
      <c r="C7" s="341" t="s">
        <v>87</v>
      </c>
      <c r="D7" s="341" t="s">
        <v>88</v>
      </c>
      <c r="E7" s="341" t="s">
        <v>89</v>
      </c>
      <c r="F7" s="341" t="s">
        <v>90</v>
      </c>
      <c r="G7" s="341" t="s">
        <v>91</v>
      </c>
      <c r="H7" s="341"/>
    </row>
    <row r="8" spans="1:9" ht="40.5" customHeight="1" x14ac:dyDescent="0.25">
      <c r="A8" s="341"/>
      <c r="B8" s="341"/>
      <c r="C8" s="341"/>
      <c r="D8" s="341"/>
      <c r="E8" s="341"/>
      <c r="F8" s="341"/>
      <c r="G8" s="287" t="s">
        <v>92</v>
      </c>
      <c r="H8" s="287" t="s">
        <v>93</v>
      </c>
    </row>
    <row r="9" spans="1:9" x14ac:dyDescent="0.25">
      <c r="A9" s="188">
        <v>1</v>
      </c>
      <c r="B9" s="188"/>
      <c r="C9" s="188">
        <v>2</v>
      </c>
      <c r="D9" s="188" t="s">
        <v>94</v>
      </c>
      <c r="E9" s="188">
        <v>4</v>
      </c>
      <c r="F9" s="188">
        <v>5</v>
      </c>
      <c r="G9" s="188">
        <v>6</v>
      </c>
      <c r="H9" s="188">
        <v>7</v>
      </c>
    </row>
    <row r="10" spans="1:9" s="190" customFormat="1" x14ac:dyDescent="0.25">
      <c r="A10" s="346" t="s">
        <v>95</v>
      </c>
      <c r="B10" s="347"/>
      <c r="C10" s="348"/>
      <c r="D10" s="348"/>
      <c r="E10" s="347"/>
      <c r="F10" s="189">
        <f>SUM(F11:F19)</f>
        <v>344.65381931178388</v>
      </c>
      <c r="G10" s="189"/>
      <c r="H10" s="189">
        <f>SUM(H11:H19)</f>
        <v>3425.65</v>
      </c>
      <c r="I10" s="164"/>
    </row>
    <row r="11" spans="1:9" x14ac:dyDescent="0.25">
      <c r="A11" s="191">
        <v>1</v>
      </c>
      <c r="B11" s="192" t="s">
        <v>96</v>
      </c>
      <c r="C11" s="306" t="s">
        <v>97</v>
      </c>
      <c r="D11" s="193" t="s">
        <v>98</v>
      </c>
      <c r="E11" s="194" t="s">
        <v>99</v>
      </c>
      <c r="F11" s="327">
        <v>123.12654383971034</v>
      </c>
      <c r="G11" s="195">
        <v>9.4</v>
      </c>
      <c r="H11" s="195">
        <f t="shared" ref="H11:H19" si="0">ROUND(F11*G11,2)</f>
        <v>1157.3900000000001</v>
      </c>
    </row>
    <row r="12" spans="1:9" x14ac:dyDescent="0.25">
      <c r="A12" s="191">
        <v>2</v>
      </c>
      <c r="B12" s="192" t="s">
        <v>96</v>
      </c>
      <c r="C12" s="306" t="s">
        <v>100</v>
      </c>
      <c r="D12" s="193" t="s">
        <v>101</v>
      </c>
      <c r="E12" s="194" t="s">
        <v>99</v>
      </c>
      <c r="F12" s="327">
        <v>103.10441574958772</v>
      </c>
      <c r="G12" s="195">
        <v>9.6199999999999992</v>
      </c>
      <c r="H12" s="195">
        <f t="shared" si="0"/>
        <v>991.86</v>
      </c>
    </row>
    <row r="13" spans="1:9" x14ac:dyDescent="0.25">
      <c r="A13" s="191">
        <v>3</v>
      </c>
      <c r="B13" s="192" t="s">
        <v>96</v>
      </c>
      <c r="C13" s="306" t="s">
        <v>102</v>
      </c>
      <c r="D13" s="193" t="s">
        <v>103</v>
      </c>
      <c r="E13" s="194" t="s">
        <v>99</v>
      </c>
      <c r="F13" s="327">
        <v>59.071807912654755</v>
      </c>
      <c r="G13" s="195">
        <v>8.5299999999999994</v>
      </c>
      <c r="H13" s="195">
        <f t="shared" si="0"/>
        <v>503.88</v>
      </c>
    </row>
    <row r="14" spans="1:9" x14ac:dyDescent="0.25">
      <c r="A14" s="191">
        <v>4</v>
      </c>
      <c r="B14" s="192" t="s">
        <v>96</v>
      </c>
      <c r="C14" s="306" t="s">
        <v>104</v>
      </c>
      <c r="D14" s="193" t="s">
        <v>105</v>
      </c>
      <c r="E14" s="194" t="s">
        <v>99</v>
      </c>
      <c r="F14" s="191">
        <v>16</v>
      </c>
      <c r="G14" s="195">
        <v>15.49</v>
      </c>
      <c r="H14" s="195">
        <f t="shared" si="0"/>
        <v>247.84</v>
      </c>
    </row>
    <row r="15" spans="1:9" x14ac:dyDescent="0.25">
      <c r="A15" s="191">
        <v>5</v>
      </c>
      <c r="B15" s="192" t="s">
        <v>96</v>
      </c>
      <c r="C15" s="306" t="s">
        <v>106</v>
      </c>
      <c r="D15" s="193" t="s">
        <v>107</v>
      </c>
      <c r="E15" s="194" t="s">
        <v>99</v>
      </c>
      <c r="F15" s="191">
        <v>16</v>
      </c>
      <c r="G15" s="195">
        <v>14.09</v>
      </c>
      <c r="H15" s="195">
        <f t="shared" si="0"/>
        <v>225.44</v>
      </c>
    </row>
    <row r="16" spans="1:9" x14ac:dyDescent="0.25">
      <c r="A16" s="191">
        <v>6</v>
      </c>
      <c r="B16" s="192" t="s">
        <v>96</v>
      </c>
      <c r="C16" s="306" t="s">
        <v>108</v>
      </c>
      <c r="D16" s="193" t="s">
        <v>109</v>
      </c>
      <c r="E16" s="194" t="s">
        <v>99</v>
      </c>
      <c r="F16" s="326">
        <v>8.7535370642290484</v>
      </c>
      <c r="G16" s="195">
        <v>12.92</v>
      </c>
      <c r="H16" s="195">
        <f t="shared" si="0"/>
        <v>113.1</v>
      </c>
    </row>
    <row r="17" spans="1:9" x14ac:dyDescent="0.25">
      <c r="A17" s="191">
        <v>7</v>
      </c>
      <c r="B17" s="192" t="s">
        <v>96</v>
      </c>
      <c r="C17" s="306" t="s">
        <v>110</v>
      </c>
      <c r="D17" s="193" t="s">
        <v>111</v>
      </c>
      <c r="E17" s="194" t="s">
        <v>99</v>
      </c>
      <c r="F17" s="326">
        <v>9.3037593939805898</v>
      </c>
      <c r="G17" s="195">
        <v>11.09</v>
      </c>
      <c r="H17" s="195">
        <f t="shared" si="0"/>
        <v>103.18</v>
      </c>
    </row>
    <row r="18" spans="1:9" x14ac:dyDescent="0.25">
      <c r="A18" s="191">
        <v>8</v>
      </c>
      <c r="B18" s="192" t="s">
        <v>96</v>
      </c>
      <c r="C18" s="306" t="s">
        <v>112</v>
      </c>
      <c r="D18" s="193" t="s">
        <v>113</v>
      </c>
      <c r="E18" s="194" t="s">
        <v>99</v>
      </c>
      <c r="F18" s="326">
        <v>7.2129145409247357</v>
      </c>
      <c r="G18" s="195">
        <v>8.64</v>
      </c>
      <c r="H18" s="195">
        <f t="shared" si="0"/>
        <v>62.32</v>
      </c>
    </row>
    <row r="19" spans="1:9" x14ac:dyDescent="0.25">
      <c r="A19" s="191">
        <v>9</v>
      </c>
      <c r="B19" s="192" t="s">
        <v>96</v>
      </c>
      <c r="C19" s="306" t="s">
        <v>114</v>
      </c>
      <c r="D19" s="193" t="s">
        <v>115</v>
      </c>
      <c r="E19" s="194" t="s">
        <v>99</v>
      </c>
      <c r="F19" s="326">
        <v>2.080840810696734</v>
      </c>
      <c r="G19" s="195">
        <v>9.92</v>
      </c>
      <c r="H19" s="195">
        <f t="shared" si="0"/>
        <v>20.64</v>
      </c>
    </row>
    <row r="20" spans="1:9" x14ac:dyDescent="0.25">
      <c r="A20" s="346" t="s">
        <v>116</v>
      </c>
      <c r="B20" s="347"/>
      <c r="C20" s="348"/>
      <c r="D20" s="348"/>
      <c r="E20" s="347"/>
      <c r="F20" s="288">
        <f>F21</f>
        <v>7.33</v>
      </c>
      <c r="G20" s="189"/>
      <c r="H20" s="189">
        <f>H21</f>
        <v>77.03</v>
      </c>
    </row>
    <row r="21" spans="1:9" x14ac:dyDescent="0.25">
      <c r="A21" s="191">
        <v>10</v>
      </c>
      <c r="B21" s="191" t="s">
        <v>96</v>
      </c>
      <c r="C21" s="193">
        <v>2</v>
      </c>
      <c r="D21" s="193" t="s">
        <v>116</v>
      </c>
      <c r="E21" s="194" t="s">
        <v>99</v>
      </c>
      <c r="F21" s="191">
        <v>7.33</v>
      </c>
      <c r="G21" s="195"/>
      <c r="H21" s="195">
        <v>77.03</v>
      </c>
    </row>
    <row r="22" spans="1:9" s="190" customFormat="1" x14ac:dyDescent="0.25">
      <c r="A22" s="346" t="s">
        <v>117</v>
      </c>
      <c r="B22" s="347"/>
      <c r="C22" s="348"/>
      <c r="D22" s="348"/>
      <c r="E22" s="347"/>
      <c r="F22" s="288"/>
      <c r="G22" s="189"/>
      <c r="H22" s="189">
        <f>SUM(H23:H29)</f>
        <v>897.87</v>
      </c>
      <c r="I22" s="164"/>
    </row>
    <row r="23" spans="1:9" x14ac:dyDescent="0.25">
      <c r="A23" s="191">
        <v>11</v>
      </c>
      <c r="B23" s="191" t="s">
        <v>96</v>
      </c>
      <c r="C23" s="193" t="s">
        <v>118</v>
      </c>
      <c r="D23" s="193" t="s">
        <v>119</v>
      </c>
      <c r="E23" s="194" t="s">
        <v>120</v>
      </c>
      <c r="F23" s="191">
        <v>5.98</v>
      </c>
      <c r="G23" s="195">
        <v>89.99</v>
      </c>
      <c r="H23" s="195">
        <f t="shared" ref="H23:H29" si="1">ROUND(F23*G23,2)</f>
        <v>538.14</v>
      </c>
    </row>
    <row r="24" spans="1:9" s="190" customFormat="1" ht="31.5" customHeight="1" x14ac:dyDescent="0.25">
      <c r="A24" s="191">
        <v>12</v>
      </c>
      <c r="B24" s="191" t="s">
        <v>96</v>
      </c>
      <c r="C24" s="193" t="s">
        <v>121</v>
      </c>
      <c r="D24" s="193" t="s">
        <v>122</v>
      </c>
      <c r="E24" s="194" t="s">
        <v>120</v>
      </c>
      <c r="F24" s="191">
        <v>19.760000000000002</v>
      </c>
      <c r="G24" s="195">
        <v>8.1</v>
      </c>
      <c r="H24" s="195">
        <f t="shared" si="1"/>
        <v>160.06</v>
      </c>
      <c r="I24" s="164"/>
    </row>
    <row r="25" spans="1:9" s="190" customFormat="1" ht="31.5" customHeight="1" x14ac:dyDescent="0.25">
      <c r="A25" s="191">
        <v>13</v>
      </c>
      <c r="B25" s="191" t="s">
        <v>96</v>
      </c>
      <c r="C25" s="193" t="s">
        <v>123</v>
      </c>
      <c r="D25" s="193" t="s">
        <v>124</v>
      </c>
      <c r="E25" s="194" t="s">
        <v>120</v>
      </c>
      <c r="F25" s="191">
        <v>0.64</v>
      </c>
      <c r="G25" s="195">
        <v>115.4</v>
      </c>
      <c r="H25" s="195">
        <f t="shared" si="1"/>
        <v>73.86</v>
      </c>
      <c r="I25" s="164"/>
    </row>
    <row r="26" spans="1:9" s="190" customFormat="1" ht="31.5" customHeight="1" x14ac:dyDescent="0.25">
      <c r="A26" s="191">
        <v>14</v>
      </c>
      <c r="B26" s="191" t="s">
        <v>96</v>
      </c>
      <c r="C26" s="193" t="s">
        <v>125</v>
      </c>
      <c r="D26" s="193" t="s">
        <v>126</v>
      </c>
      <c r="E26" s="194" t="s">
        <v>120</v>
      </c>
      <c r="F26" s="191">
        <v>0.71</v>
      </c>
      <c r="G26" s="195">
        <v>65.709999999999994</v>
      </c>
      <c r="H26" s="195">
        <f t="shared" si="1"/>
        <v>46.65</v>
      </c>
      <c r="I26" s="164"/>
    </row>
    <row r="27" spans="1:9" s="190" customFormat="1" ht="31.5" customHeight="1" x14ac:dyDescent="0.25">
      <c r="A27" s="191">
        <v>15</v>
      </c>
      <c r="B27" s="191" t="s">
        <v>96</v>
      </c>
      <c r="C27" s="193" t="s">
        <v>127</v>
      </c>
      <c r="D27" s="193" t="s">
        <v>128</v>
      </c>
      <c r="E27" s="194" t="s">
        <v>120</v>
      </c>
      <c r="F27" s="191">
        <v>3.68</v>
      </c>
      <c r="G27" s="195">
        <v>12.14</v>
      </c>
      <c r="H27" s="195">
        <f t="shared" si="1"/>
        <v>44.68</v>
      </c>
      <c r="I27" s="164"/>
    </row>
    <row r="28" spans="1:9" s="190" customFormat="1" x14ac:dyDescent="0.25">
      <c r="A28" s="191">
        <v>16</v>
      </c>
      <c r="B28" s="191" t="s">
        <v>96</v>
      </c>
      <c r="C28" s="193" t="s">
        <v>129</v>
      </c>
      <c r="D28" s="193" t="s">
        <v>130</v>
      </c>
      <c r="E28" s="194" t="s">
        <v>120</v>
      </c>
      <c r="F28" s="191">
        <v>2.59</v>
      </c>
      <c r="G28" s="195">
        <v>10.62</v>
      </c>
      <c r="H28" s="195">
        <f t="shared" si="1"/>
        <v>27.51</v>
      </c>
      <c r="I28" s="164"/>
    </row>
    <row r="29" spans="1:9" s="190" customFormat="1" ht="31.5" customHeight="1" x14ac:dyDescent="0.25">
      <c r="A29" s="191">
        <v>17</v>
      </c>
      <c r="B29" s="191" t="s">
        <v>96</v>
      </c>
      <c r="C29" s="193" t="s">
        <v>131</v>
      </c>
      <c r="D29" s="193" t="s">
        <v>132</v>
      </c>
      <c r="E29" s="194" t="s">
        <v>120</v>
      </c>
      <c r="F29" s="191">
        <v>4.0999999999999996</v>
      </c>
      <c r="G29" s="195">
        <v>1.7</v>
      </c>
      <c r="H29" s="195">
        <f t="shared" si="1"/>
        <v>6.97</v>
      </c>
      <c r="I29" s="164"/>
    </row>
    <row r="30" spans="1:9" x14ac:dyDescent="0.25">
      <c r="A30" s="346" t="s">
        <v>43</v>
      </c>
      <c r="B30" s="347"/>
      <c r="C30" s="348"/>
      <c r="D30" s="348"/>
      <c r="E30" s="347"/>
      <c r="F30" s="288"/>
      <c r="G30" s="189"/>
      <c r="H30" s="189">
        <f>SUM(H31:H46)</f>
        <v>433431.78</v>
      </c>
    </row>
    <row r="31" spans="1:9" s="190" customFormat="1" x14ac:dyDescent="0.25">
      <c r="A31" s="191">
        <v>18</v>
      </c>
      <c r="B31" s="191" t="s">
        <v>96</v>
      </c>
      <c r="C31" s="193" t="s">
        <v>133</v>
      </c>
      <c r="D31" s="193" t="s">
        <v>134</v>
      </c>
      <c r="E31" s="194" t="s">
        <v>135</v>
      </c>
      <c r="F31" s="191">
        <v>1</v>
      </c>
      <c r="G31" s="195">
        <v>167692.96</v>
      </c>
      <c r="H31" s="195">
        <f t="shared" ref="H31:H46" si="2">ROUND(F31*G31,2)</f>
        <v>167692.96</v>
      </c>
      <c r="I31" s="164"/>
    </row>
    <row r="32" spans="1:9" s="190" customFormat="1" ht="31.5" customHeight="1" x14ac:dyDescent="0.25">
      <c r="A32" s="191">
        <v>19</v>
      </c>
      <c r="B32" s="191" t="s">
        <v>96</v>
      </c>
      <c r="C32" s="193" t="s">
        <v>136</v>
      </c>
      <c r="D32" s="193" t="s">
        <v>137</v>
      </c>
      <c r="E32" s="194" t="s">
        <v>138</v>
      </c>
      <c r="F32" s="191">
        <v>3</v>
      </c>
      <c r="G32" s="195">
        <v>16999.43</v>
      </c>
      <c r="H32" s="195">
        <f t="shared" si="2"/>
        <v>50998.29</v>
      </c>
      <c r="I32" s="164"/>
    </row>
    <row r="33" spans="1:9" s="190" customFormat="1" ht="47.25" customHeight="1" x14ac:dyDescent="0.25">
      <c r="A33" s="191">
        <v>20</v>
      </c>
      <c r="B33" s="191" t="s">
        <v>96</v>
      </c>
      <c r="C33" s="193" t="s">
        <v>139</v>
      </c>
      <c r="D33" s="193" t="s">
        <v>140</v>
      </c>
      <c r="E33" s="194" t="s">
        <v>135</v>
      </c>
      <c r="F33" s="191">
        <v>1</v>
      </c>
      <c r="G33" s="195">
        <v>43171.35</v>
      </c>
      <c r="H33" s="195">
        <f t="shared" si="2"/>
        <v>43171.35</v>
      </c>
      <c r="I33" s="164"/>
    </row>
    <row r="34" spans="1:9" s="190" customFormat="1" ht="31.5" customHeight="1" x14ac:dyDescent="0.25">
      <c r="A34" s="191">
        <v>21</v>
      </c>
      <c r="B34" s="191" t="s">
        <v>96</v>
      </c>
      <c r="C34" s="193" t="s">
        <v>141</v>
      </c>
      <c r="D34" s="193" t="s">
        <v>142</v>
      </c>
      <c r="E34" s="194" t="s">
        <v>138</v>
      </c>
      <c r="F34" s="191">
        <v>1</v>
      </c>
      <c r="G34" s="195">
        <v>37158.83</v>
      </c>
      <c r="H34" s="195">
        <f t="shared" si="2"/>
        <v>37158.83</v>
      </c>
      <c r="I34" s="164"/>
    </row>
    <row r="35" spans="1:9" s="190" customFormat="1" ht="47.25" customHeight="1" x14ac:dyDescent="0.25">
      <c r="A35" s="191">
        <v>22</v>
      </c>
      <c r="B35" s="191" t="s">
        <v>96</v>
      </c>
      <c r="C35" s="193" t="s">
        <v>143</v>
      </c>
      <c r="D35" s="193" t="s">
        <v>144</v>
      </c>
      <c r="E35" s="194" t="s">
        <v>138</v>
      </c>
      <c r="F35" s="191">
        <v>1</v>
      </c>
      <c r="G35" s="195">
        <v>35055.620000000003</v>
      </c>
      <c r="H35" s="195">
        <f t="shared" si="2"/>
        <v>35055.620000000003</v>
      </c>
      <c r="I35" s="164"/>
    </row>
    <row r="36" spans="1:9" s="190" customFormat="1" ht="31.5" customHeight="1" x14ac:dyDescent="0.25">
      <c r="A36" s="191">
        <v>23</v>
      </c>
      <c r="B36" s="191" t="s">
        <v>96</v>
      </c>
      <c r="C36" s="193" t="s">
        <v>145</v>
      </c>
      <c r="D36" s="193" t="s">
        <v>146</v>
      </c>
      <c r="E36" s="194" t="s">
        <v>147</v>
      </c>
      <c r="F36" s="191">
        <v>1</v>
      </c>
      <c r="G36" s="195">
        <v>11831</v>
      </c>
      <c r="H36" s="195">
        <f t="shared" si="2"/>
        <v>11831</v>
      </c>
      <c r="I36" s="164"/>
    </row>
    <row r="37" spans="1:9" s="190" customFormat="1" ht="31.5" customHeight="1" x14ac:dyDescent="0.25">
      <c r="A37" s="191">
        <v>24</v>
      </c>
      <c r="B37" s="191" t="s">
        <v>96</v>
      </c>
      <c r="C37" s="193" t="s">
        <v>145</v>
      </c>
      <c r="D37" s="193" t="s">
        <v>146</v>
      </c>
      <c r="E37" s="194" t="s">
        <v>138</v>
      </c>
      <c r="F37" s="191">
        <v>1</v>
      </c>
      <c r="G37" s="195">
        <v>11831</v>
      </c>
      <c r="H37" s="195">
        <f t="shared" si="2"/>
        <v>11831</v>
      </c>
      <c r="I37" s="164"/>
    </row>
    <row r="38" spans="1:9" s="190" customFormat="1" ht="31.5" customHeight="1" x14ac:dyDescent="0.25">
      <c r="A38" s="191">
        <v>25</v>
      </c>
      <c r="B38" s="191" t="s">
        <v>96</v>
      </c>
      <c r="C38" s="193" t="s">
        <v>145</v>
      </c>
      <c r="D38" s="193" t="s">
        <v>146</v>
      </c>
      <c r="E38" s="194" t="s">
        <v>138</v>
      </c>
      <c r="F38" s="191">
        <v>1</v>
      </c>
      <c r="G38" s="195">
        <v>11831</v>
      </c>
      <c r="H38" s="195">
        <f t="shared" si="2"/>
        <v>11831</v>
      </c>
      <c r="I38" s="164"/>
    </row>
    <row r="39" spans="1:9" s="190" customFormat="1" ht="31.5" customHeight="1" x14ac:dyDescent="0.25">
      <c r="A39" s="191">
        <v>26</v>
      </c>
      <c r="B39" s="191" t="s">
        <v>96</v>
      </c>
      <c r="C39" s="193" t="s">
        <v>145</v>
      </c>
      <c r="D39" s="193" t="s">
        <v>146</v>
      </c>
      <c r="E39" s="194" t="s">
        <v>138</v>
      </c>
      <c r="F39" s="191">
        <v>1</v>
      </c>
      <c r="G39" s="195">
        <v>11831</v>
      </c>
      <c r="H39" s="195">
        <f t="shared" si="2"/>
        <v>11831</v>
      </c>
      <c r="I39" s="164"/>
    </row>
    <row r="40" spans="1:9" s="190" customFormat="1" ht="31.5" customHeight="1" x14ac:dyDescent="0.25">
      <c r="A40" s="191">
        <v>27</v>
      </c>
      <c r="B40" s="191" t="s">
        <v>96</v>
      </c>
      <c r="C40" s="193" t="s">
        <v>148</v>
      </c>
      <c r="D40" s="193" t="s">
        <v>149</v>
      </c>
      <c r="E40" s="194" t="s">
        <v>138</v>
      </c>
      <c r="F40" s="191">
        <v>1</v>
      </c>
      <c r="G40" s="195">
        <v>11279.02</v>
      </c>
      <c r="H40" s="195">
        <f t="shared" si="2"/>
        <v>11279.02</v>
      </c>
      <c r="I40" s="164"/>
    </row>
    <row r="41" spans="1:9" s="190" customFormat="1" ht="31.5" customHeight="1" x14ac:dyDescent="0.25">
      <c r="A41" s="191">
        <v>28</v>
      </c>
      <c r="B41" s="191" t="s">
        <v>96</v>
      </c>
      <c r="C41" s="193" t="s">
        <v>150</v>
      </c>
      <c r="D41" s="193" t="s">
        <v>151</v>
      </c>
      <c r="E41" s="194" t="s">
        <v>138</v>
      </c>
      <c r="F41" s="191">
        <v>1</v>
      </c>
      <c r="G41" s="195">
        <v>9392.75</v>
      </c>
      <c r="H41" s="195">
        <f t="shared" si="2"/>
        <v>9392.75</v>
      </c>
      <c r="I41" s="164"/>
    </row>
    <row r="42" spans="1:9" s="190" customFormat="1" ht="31.5" customHeight="1" x14ac:dyDescent="0.25">
      <c r="A42" s="191">
        <v>29</v>
      </c>
      <c r="B42" s="191" t="s">
        <v>96</v>
      </c>
      <c r="C42" s="193" t="s">
        <v>150</v>
      </c>
      <c r="D42" s="193" t="s">
        <v>152</v>
      </c>
      <c r="E42" s="194" t="s">
        <v>153</v>
      </c>
      <c r="F42" s="191">
        <v>1</v>
      </c>
      <c r="G42" s="195">
        <v>9392.75</v>
      </c>
      <c r="H42" s="195">
        <f t="shared" si="2"/>
        <v>9392.75</v>
      </c>
      <c r="I42" s="164"/>
    </row>
    <row r="43" spans="1:9" s="190" customFormat="1" ht="31.5" customHeight="1" x14ac:dyDescent="0.25">
      <c r="A43" s="191">
        <v>30</v>
      </c>
      <c r="B43" s="191" t="s">
        <v>96</v>
      </c>
      <c r="C43" s="193" t="s">
        <v>154</v>
      </c>
      <c r="D43" s="193" t="s">
        <v>155</v>
      </c>
      <c r="E43" s="194" t="s">
        <v>135</v>
      </c>
      <c r="F43" s="191">
        <v>1</v>
      </c>
      <c r="G43" s="195">
        <v>9372.9599999999991</v>
      </c>
      <c r="H43" s="195">
        <f t="shared" si="2"/>
        <v>9372.9599999999991</v>
      </c>
      <c r="I43" s="164"/>
    </row>
    <row r="44" spans="1:9" s="190" customFormat="1" ht="31.5" customHeight="1" x14ac:dyDescent="0.25">
      <c r="A44" s="191">
        <v>31</v>
      </c>
      <c r="B44" s="191" t="s">
        <v>96</v>
      </c>
      <c r="C44" s="193" t="s">
        <v>156</v>
      </c>
      <c r="D44" s="193" t="s">
        <v>157</v>
      </c>
      <c r="E44" s="194" t="s">
        <v>138</v>
      </c>
      <c r="F44" s="191">
        <v>2</v>
      </c>
      <c r="G44" s="195">
        <v>3850.19</v>
      </c>
      <c r="H44" s="195">
        <f t="shared" si="2"/>
        <v>7700.38</v>
      </c>
      <c r="I44" s="164"/>
    </row>
    <row r="45" spans="1:9" s="190" customFormat="1" ht="47.25" customHeight="1" x14ac:dyDescent="0.25">
      <c r="A45" s="191">
        <v>32</v>
      </c>
      <c r="B45" s="191" t="s">
        <v>96</v>
      </c>
      <c r="C45" s="193" t="s">
        <v>158</v>
      </c>
      <c r="D45" s="193" t="s">
        <v>159</v>
      </c>
      <c r="E45" s="194" t="s">
        <v>138</v>
      </c>
      <c r="F45" s="191">
        <v>2</v>
      </c>
      <c r="G45" s="195">
        <v>1983.71</v>
      </c>
      <c r="H45" s="195">
        <f t="shared" si="2"/>
        <v>3967.42</v>
      </c>
      <c r="I45" s="164"/>
    </row>
    <row r="46" spans="1:9" s="190" customFormat="1" ht="47.25" customHeight="1" x14ac:dyDescent="0.25">
      <c r="A46" s="191">
        <v>33</v>
      </c>
      <c r="B46" s="191" t="s">
        <v>96</v>
      </c>
      <c r="C46" s="193" t="s">
        <v>160</v>
      </c>
      <c r="D46" s="193" t="s">
        <v>161</v>
      </c>
      <c r="E46" s="194" t="s">
        <v>138</v>
      </c>
      <c r="F46" s="191">
        <v>1</v>
      </c>
      <c r="G46" s="195">
        <v>925.45</v>
      </c>
      <c r="H46" s="195">
        <f t="shared" si="2"/>
        <v>925.45</v>
      </c>
      <c r="I46" s="164"/>
    </row>
    <row r="47" spans="1:9" x14ac:dyDescent="0.25">
      <c r="A47" s="346" t="s">
        <v>162</v>
      </c>
      <c r="B47" s="347"/>
      <c r="C47" s="348"/>
      <c r="D47" s="348"/>
      <c r="E47" s="347"/>
      <c r="F47" s="288"/>
      <c r="G47" s="189"/>
      <c r="H47" s="189">
        <f>SUM(H48:H80)</f>
        <v>4534.7800000000007</v>
      </c>
    </row>
    <row r="48" spans="1:9" x14ac:dyDescent="0.25">
      <c r="A48" s="191">
        <v>34</v>
      </c>
      <c r="B48" s="191" t="s">
        <v>96</v>
      </c>
      <c r="C48" s="193" t="s">
        <v>163</v>
      </c>
      <c r="D48" s="193" t="s">
        <v>164</v>
      </c>
      <c r="E48" s="194" t="s">
        <v>165</v>
      </c>
      <c r="F48" s="191">
        <v>0.40799999999999997</v>
      </c>
      <c r="G48" s="195">
        <v>8958.61</v>
      </c>
      <c r="H48" s="195">
        <f t="shared" ref="H48:H80" si="3">ROUND(F48*G48,2)</f>
        <v>3655.11</v>
      </c>
    </row>
    <row r="49" spans="1:8" x14ac:dyDescent="0.25">
      <c r="A49" s="191">
        <v>35</v>
      </c>
      <c r="B49" s="191" t="s">
        <v>96</v>
      </c>
      <c r="C49" s="193" t="s">
        <v>166</v>
      </c>
      <c r="D49" s="193" t="s">
        <v>167</v>
      </c>
      <c r="E49" s="194" t="s">
        <v>168</v>
      </c>
      <c r="F49" s="191">
        <v>55.8</v>
      </c>
      <c r="G49" s="195">
        <v>4.16</v>
      </c>
      <c r="H49" s="195">
        <f t="shared" si="3"/>
        <v>232.13</v>
      </c>
    </row>
    <row r="50" spans="1:8" x14ac:dyDescent="0.25">
      <c r="A50" s="191">
        <v>36</v>
      </c>
      <c r="B50" s="191" t="s">
        <v>96</v>
      </c>
      <c r="C50" s="193" t="s">
        <v>169</v>
      </c>
      <c r="D50" s="193" t="s">
        <v>170</v>
      </c>
      <c r="E50" s="194" t="s">
        <v>168</v>
      </c>
      <c r="F50" s="191">
        <v>12</v>
      </c>
      <c r="G50" s="195">
        <v>10.57</v>
      </c>
      <c r="H50" s="195">
        <f t="shared" si="3"/>
        <v>126.84</v>
      </c>
    </row>
    <row r="51" spans="1:8" x14ac:dyDescent="0.25">
      <c r="A51" s="191">
        <v>37</v>
      </c>
      <c r="B51" s="191" t="s">
        <v>96</v>
      </c>
      <c r="C51" s="193" t="s">
        <v>171</v>
      </c>
      <c r="D51" s="193" t="s">
        <v>172</v>
      </c>
      <c r="E51" s="194" t="s">
        <v>173</v>
      </c>
      <c r="F51" s="191">
        <v>1.8599999999999998E-2</v>
      </c>
      <c r="G51" s="195">
        <v>6720</v>
      </c>
      <c r="H51" s="195">
        <f t="shared" si="3"/>
        <v>124.99</v>
      </c>
    </row>
    <row r="52" spans="1:8" x14ac:dyDescent="0.25">
      <c r="A52" s="191">
        <v>38</v>
      </c>
      <c r="B52" s="191" t="s">
        <v>96</v>
      </c>
      <c r="C52" s="193" t="s">
        <v>174</v>
      </c>
      <c r="D52" s="193" t="s">
        <v>175</v>
      </c>
      <c r="E52" s="194" t="s">
        <v>168</v>
      </c>
      <c r="F52" s="191">
        <v>2.2000000000000002</v>
      </c>
      <c r="G52" s="195">
        <v>47.57</v>
      </c>
      <c r="H52" s="195">
        <f t="shared" si="3"/>
        <v>104.65</v>
      </c>
    </row>
    <row r="53" spans="1:8" ht="31.5" customHeight="1" x14ac:dyDescent="0.25">
      <c r="A53" s="191">
        <v>39</v>
      </c>
      <c r="B53" s="191" t="s">
        <v>96</v>
      </c>
      <c r="C53" s="193" t="s">
        <v>176</v>
      </c>
      <c r="D53" s="193" t="s">
        <v>177</v>
      </c>
      <c r="E53" s="194" t="s">
        <v>178</v>
      </c>
      <c r="F53" s="191">
        <v>1.6E-2</v>
      </c>
      <c r="G53" s="195">
        <v>4949.3999999999996</v>
      </c>
      <c r="H53" s="195">
        <f t="shared" si="3"/>
        <v>79.19</v>
      </c>
    </row>
    <row r="54" spans="1:8" ht="31.5" customHeight="1" x14ac:dyDescent="0.25">
      <c r="A54" s="191">
        <v>40</v>
      </c>
      <c r="B54" s="191" t="s">
        <v>96</v>
      </c>
      <c r="C54" s="193" t="s">
        <v>179</v>
      </c>
      <c r="D54" s="193" t="s">
        <v>180</v>
      </c>
      <c r="E54" s="194" t="s">
        <v>181</v>
      </c>
      <c r="F54" s="191">
        <v>68.28</v>
      </c>
      <c r="G54" s="195">
        <v>1</v>
      </c>
      <c r="H54" s="195">
        <f t="shared" si="3"/>
        <v>68.28</v>
      </c>
    </row>
    <row r="55" spans="1:8" x14ac:dyDescent="0.25">
      <c r="A55" s="191">
        <v>41</v>
      </c>
      <c r="B55" s="191" t="s">
        <v>96</v>
      </c>
      <c r="C55" s="193" t="s">
        <v>182</v>
      </c>
      <c r="D55" s="193" t="s">
        <v>183</v>
      </c>
      <c r="E55" s="194" t="s">
        <v>173</v>
      </c>
      <c r="F55" s="191">
        <v>2.32E-3</v>
      </c>
      <c r="G55" s="195">
        <v>12430</v>
      </c>
      <c r="H55" s="195">
        <f t="shared" si="3"/>
        <v>28.84</v>
      </c>
    </row>
    <row r="56" spans="1:8" x14ac:dyDescent="0.25">
      <c r="A56" s="191">
        <v>42</v>
      </c>
      <c r="B56" s="191" t="s">
        <v>96</v>
      </c>
      <c r="C56" s="193" t="s">
        <v>184</v>
      </c>
      <c r="D56" s="193" t="s">
        <v>185</v>
      </c>
      <c r="E56" s="194" t="s">
        <v>186</v>
      </c>
      <c r="F56" s="191">
        <v>0.1</v>
      </c>
      <c r="G56" s="195">
        <v>203</v>
      </c>
      <c r="H56" s="195">
        <f t="shared" si="3"/>
        <v>20.3</v>
      </c>
    </row>
    <row r="57" spans="1:8" ht="31.5" customHeight="1" x14ac:dyDescent="0.25">
      <c r="A57" s="191">
        <v>43</v>
      </c>
      <c r="B57" s="191" t="s">
        <v>96</v>
      </c>
      <c r="C57" s="193" t="s">
        <v>187</v>
      </c>
      <c r="D57" s="193" t="s">
        <v>188</v>
      </c>
      <c r="E57" s="194" t="s">
        <v>168</v>
      </c>
      <c r="F57" s="191">
        <v>0.31</v>
      </c>
      <c r="G57" s="195">
        <v>38.89</v>
      </c>
      <c r="H57" s="195">
        <f t="shared" si="3"/>
        <v>12.06</v>
      </c>
    </row>
    <row r="58" spans="1:8" x14ac:dyDescent="0.25">
      <c r="A58" s="191">
        <v>44</v>
      </c>
      <c r="B58" s="191" t="s">
        <v>96</v>
      </c>
      <c r="C58" s="193" t="s">
        <v>189</v>
      </c>
      <c r="D58" s="193" t="s">
        <v>190</v>
      </c>
      <c r="E58" s="194" t="s">
        <v>168</v>
      </c>
      <c r="F58" s="191">
        <v>0.4</v>
      </c>
      <c r="G58" s="195">
        <v>28.6</v>
      </c>
      <c r="H58" s="195">
        <f t="shared" si="3"/>
        <v>11.44</v>
      </c>
    </row>
    <row r="59" spans="1:8" x14ac:dyDescent="0.25">
      <c r="A59" s="191">
        <v>45</v>
      </c>
      <c r="B59" s="191" t="s">
        <v>96</v>
      </c>
      <c r="C59" s="193" t="s">
        <v>191</v>
      </c>
      <c r="D59" s="193" t="s">
        <v>192</v>
      </c>
      <c r="E59" s="194" t="s">
        <v>186</v>
      </c>
      <c r="F59" s="191">
        <v>0.1</v>
      </c>
      <c r="G59" s="195">
        <v>86</v>
      </c>
      <c r="H59" s="195">
        <f t="shared" si="3"/>
        <v>8.6</v>
      </c>
    </row>
    <row r="60" spans="1:8" ht="31.5" customHeight="1" x14ac:dyDescent="0.25">
      <c r="A60" s="191">
        <v>46</v>
      </c>
      <c r="B60" s="191" t="s">
        <v>96</v>
      </c>
      <c r="C60" s="193" t="s">
        <v>193</v>
      </c>
      <c r="D60" s="193" t="s">
        <v>194</v>
      </c>
      <c r="E60" s="194" t="s">
        <v>186</v>
      </c>
      <c r="F60" s="191">
        <v>0.1</v>
      </c>
      <c r="G60" s="195">
        <v>83</v>
      </c>
      <c r="H60" s="195">
        <f t="shared" si="3"/>
        <v>8.3000000000000007</v>
      </c>
    </row>
    <row r="61" spans="1:8" x14ac:dyDescent="0.25">
      <c r="A61" s="191">
        <v>47</v>
      </c>
      <c r="B61" s="191" t="s">
        <v>96</v>
      </c>
      <c r="C61" s="193" t="s">
        <v>195</v>
      </c>
      <c r="D61" s="193" t="s">
        <v>196</v>
      </c>
      <c r="E61" s="194" t="s">
        <v>197</v>
      </c>
      <c r="F61" s="191">
        <v>0.9</v>
      </c>
      <c r="G61" s="195">
        <v>8.33</v>
      </c>
      <c r="H61" s="195">
        <f t="shared" si="3"/>
        <v>7.5</v>
      </c>
    </row>
    <row r="62" spans="1:8" x14ac:dyDescent="0.25">
      <c r="A62" s="191">
        <v>48</v>
      </c>
      <c r="B62" s="191" t="s">
        <v>96</v>
      </c>
      <c r="C62" s="193" t="s">
        <v>198</v>
      </c>
      <c r="D62" s="193" t="s">
        <v>199</v>
      </c>
      <c r="E62" s="194" t="s">
        <v>165</v>
      </c>
      <c r="F62" s="191">
        <v>6.9999999999999999E-4</v>
      </c>
      <c r="G62" s="195">
        <v>10534.99</v>
      </c>
      <c r="H62" s="195">
        <f t="shared" si="3"/>
        <v>7.37</v>
      </c>
    </row>
    <row r="63" spans="1:8" x14ac:dyDescent="0.25">
      <c r="A63" s="191">
        <v>49</v>
      </c>
      <c r="B63" s="191" t="s">
        <v>96</v>
      </c>
      <c r="C63" s="193" t="s">
        <v>200</v>
      </c>
      <c r="D63" s="193" t="s">
        <v>201</v>
      </c>
      <c r="E63" s="194" t="s">
        <v>173</v>
      </c>
      <c r="F63" s="191">
        <v>1.4999999999999999E-4</v>
      </c>
      <c r="G63" s="195">
        <v>41210</v>
      </c>
      <c r="H63" s="195">
        <f t="shared" si="3"/>
        <v>6.18</v>
      </c>
    </row>
    <row r="64" spans="1:8" x14ac:dyDescent="0.25">
      <c r="A64" s="191">
        <v>50</v>
      </c>
      <c r="B64" s="191" t="s">
        <v>96</v>
      </c>
      <c r="C64" s="193" t="s">
        <v>202</v>
      </c>
      <c r="D64" s="193" t="s">
        <v>203</v>
      </c>
      <c r="E64" s="194" t="s">
        <v>204</v>
      </c>
      <c r="F64" s="191">
        <v>0.2</v>
      </c>
      <c r="G64" s="195">
        <v>29.75</v>
      </c>
      <c r="H64" s="195">
        <f t="shared" si="3"/>
        <v>5.95</v>
      </c>
    </row>
    <row r="65" spans="1:8" ht="31.5" customHeight="1" x14ac:dyDescent="0.25">
      <c r="A65" s="191">
        <v>51</v>
      </c>
      <c r="B65" s="191" t="s">
        <v>96</v>
      </c>
      <c r="C65" s="193" t="s">
        <v>205</v>
      </c>
      <c r="D65" s="193" t="s">
        <v>206</v>
      </c>
      <c r="E65" s="194" t="s">
        <v>173</v>
      </c>
      <c r="F65" s="191">
        <v>6.3E-5</v>
      </c>
      <c r="G65" s="195">
        <v>65750</v>
      </c>
      <c r="H65" s="195">
        <f t="shared" si="3"/>
        <v>4.1399999999999997</v>
      </c>
    </row>
    <row r="66" spans="1:8" ht="31.5" customHeight="1" x14ac:dyDescent="0.25">
      <c r="A66" s="191">
        <v>52</v>
      </c>
      <c r="B66" s="191" t="s">
        <v>96</v>
      </c>
      <c r="C66" s="193" t="s">
        <v>207</v>
      </c>
      <c r="D66" s="193" t="s">
        <v>208</v>
      </c>
      <c r="E66" s="194" t="s">
        <v>168</v>
      </c>
      <c r="F66" s="191">
        <v>0.14000000000000001</v>
      </c>
      <c r="G66" s="195">
        <v>28.22</v>
      </c>
      <c r="H66" s="195">
        <f t="shared" si="3"/>
        <v>3.95</v>
      </c>
    </row>
    <row r="67" spans="1:8" ht="31.5" customHeight="1" x14ac:dyDescent="0.25">
      <c r="A67" s="191">
        <v>53</v>
      </c>
      <c r="B67" s="191" t="s">
        <v>96</v>
      </c>
      <c r="C67" s="193" t="s">
        <v>209</v>
      </c>
      <c r="D67" s="193" t="s">
        <v>210</v>
      </c>
      <c r="E67" s="194" t="s">
        <v>173</v>
      </c>
      <c r="F67" s="191">
        <v>1E-4</v>
      </c>
      <c r="G67" s="195">
        <v>37517</v>
      </c>
      <c r="H67" s="195">
        <f t="shared" si="3"/>
        <v>3.75</v>
      </c>
    </row>
    <row r="68" spans="1:8" ht="31.5" customHeight="1" x14ac:dyDescent="0.25">
      <c r="A68" s="191">
        <v>54</v>
      </c>
      <c r="B68" s="191" t="s">
        <v>96</v>
      </c>
      <c r="C68" s="193" t="s">
        <v>211</v>
      </c>
      <c r="D68" s="193" t="s">
        <v>212</v>
      </c>
      <c r="E68" s="194" t="s">
        <v>168</v>
      </c>
      <c r="F68" s="191">
        <v>0.08</v>
      </c>
      <c r="G68" s="195">
        <v>38.340000000000003</v>
      </c>
      <c r="H68" s="195">
        <f t="shared" si="3"/>
        <v>3.07</v>
      </c>
    </row>
    <row r="69" spans="1:8" x14ac:dyDescent="0.25">
      <c r="A69" s="191">
        <v>55</v>
      </c>
      <c r="B69" s="191" t="s">
        <v>96</v>
      </c>
      <c r="C69" s="193" t="s">
        <v>213</v>
      </c>
      <c r="D69" s="193" t="s">
        <v>214</v>
      </c>
      <c r="E69" s="194" t="s">
        <v>173</v>
      </c>
      <c r="F69" s="191">
        <v>5.1000000000000004E-4</v>
      </c>
      <c r="G69" s="195">
        <v>5850</v>
      </c>
      <c r="H69" s="195">
        <f t="shared" si="3"/>
        <v>2.98</v>
      </c>
    </row>
    <row r="70" spans="1:8" x14ac:dyDescent="0.25">
      <c r="A70" s="191">
        <v>56</v>
      </c>
      <c r="B70" s="191" t="s">
        <v>96</v>
      </c>
      <c r="C70" s="193" t="s">
        <v>215</v>
      </c>
      <c r="D70" s="193" t="s">
        <v>216</v>
      </c>
      <c r="E70" s="194" t="s">
        <v>168</v>
      </c>
      <c r="F70" s="191">
        <v>0.3</v>
      </c>
      <c r="G70" s="195">
        <v>9.0399999999999991</v>
      </c>
      <c r="H70" s="195">
        <f t="shared" si="3"/>
        <v>2.71</v>
      </c>
    </row>
    <row r="71" spans="1:8" ht="47.25" customHeight="1" x14ac:dyDescent="0.25">
      <c r="A71" s="191">
        <v>57</v>
      </c>
      <c r="B71" s="191" t="s">
        <v>96</v>
      </c>
      <c r="C71" s="193" t="s">
        <v>217</v>
      </c>
      <c r="D71" s="193" t="s">
        <v>218</v>
      </c>
      <c r="E71" s="194" t="s">
        <v>168</v>
      </c>
      <c r="F71" s="191">
        <v>0.02</v>
      </c>
      <c r="G71" s="195">
        <v>91.29</v>
      </c>
      <c r="H71" s="195">
        <f t="shared" si="3"/>
        <v>1.83</v>
      </c>
    </row>
    <row r="72" spans="1:8" ht="47.25" customHeight="1" x14ac:dyDescent="0.25">
      <c r="A72" s="191">
        <v>58</v>
      </c>
      <c r="B72" s="191" t="s">
        <v>96</v>
      </c>
      <c r="C72" s="193" t="s">
        <v>219</v>
      </c>
      <c r="D72" s="193" t="s">
        <v>220</v>
      </c>
      <c r="E72" s="194" t="s">
        <v>178</v>
      </c>
      <c r="F72" s="191">
        <v>2E-3</v>
      </c>
      <c r="G72" s="195">
        <v>542.1</v>
      </c>
      <c r="H72" s="195">
        <f t="shared" si="3"/>
        <v>1.08</v>
      </c>
    </row>
    <row r="73" spans="1:8" x14ac:dyDescent="0.25">
      <c r="A73" s="191">
        <v>59</v>
      </c>
      <c r="B73" s="191" t="s">
        <v>96</v>
      </c>
      <c r="C73" s="193" t="s">
        <v>221</v>
      </c>
      <c r="D73" s="193" t="s">
        <v>222</v>
      </c>
      <c r="E73" s="194" t="s">
        <v>168</v>
      </c>
      <c r="F73" s="191">
        <v>0.03</v>
      </c>
      <c r="G73" s="195">
        <v>35.630000000000003</v>
      </c>
      <c r="H73" s="195">
        <f t="shared" si="3"/>
        <v>1.07</v>
      </c>
    </row>
    <row r="74" spans="1:8" x14ac:dyDescent="0.25">
      <c r="A74" s="191">
        <v>60</v>
      </c>
      <c r="B74" s="191" t="s">
        <v>96</v>
      </c>
      <c r="C74" s="193" t="s">
        <v>223</v>
      </c>
      <c r="D74" s="193" t="s">
        <v>224</v>
      </c>
      <c r="E74" s="194" t="s">
        <v>168</v>
      </c>
      <c r="F74" s="191">
        <v>0.05</v>
      </c>
      <c r="G74" s="195">
        <v>16.95</v>
      </c>
      <c r="H74" s="195">
        <f t="shared" si="3"/>
        <v>0.85</v>
      </c>
    </row>
    <row r="75" spans="1:8" x14ac:dyDescent="0.25">
      <c r="A75" s="191">
        <v>61</v>
      </c>
      <c r="B75" s="191" t="s">
        <v>96</v>
      </c>
      <c r="C75" s="193" t="s">
        <v>225</v>
      </c>
      <c r="D75" s="193" t="s">
        <v>226</v>
      </c>
      <c r="E75" s="194" t="s">
        <v>173</v>
      </c>
      <c r="F75" s="191">
        <v>4.0000000000000003E-5</v>
      </c>
      <c r="G75" s="195">
        <v>12430</v>
      </c>
      <c r="H75" s="195">
        <f t="shared" si="3"/>
        <v>0.5</v>
      </c>
    </row>
    <row r="76" spans="1:8" ht="31.5" customHeight="1" x14ac:dyDescent="0.25">
      <c r="A76" s="191">
        <v>62</v>
      </c>
      <c r="B76" s="191" t="s">
        <v>96</v>
      </c>
      <c r="C76" s="193" t="s">
        <v>227</v>
      </c>
      <c r="D76" s="193" t="s">
        <v>228</v>
      </c>
      <c r="E76" s="194" t="s">
        <v>173</v>
      </c>
      <c r="F76" s="191">
        <v>2.0000000000000002E-5</v>
      </c>
      <c r="G76" s="195">
        <v>15481</v>
      </c>
      <c r="H76" s="195">
        <f t="shared" si="3"/>
        <v>0.31</v>
      </c>
    </row>
    <row r="77" spans="1:8" x14ac:dyDescent="0.25">
      <c r="A77" s="191">
        <v>63</v>
      </c>
      <c r="B77" s="191" t="s">
        <v>96</v>
      </c>
      <c r="C77" s="193" t="s">
        <v>229</v>
      </c>
      <c r="D77" s="193" t="s">
        <v>230</v>
      </c>
      <c r="E77" s="194" t="s">
        <v>168</v>
      </c>
      <c r="F77" s="191">
        <v>0.02</v>
      </c>
      <c r="G77" s="195">
        <v>15.37</v>
      </c>
      <c r="H77" s="195">
        <f t="shared" si="3"/>
        <v>0.31</v>
      </c>
    </row>
    <row r="78" spans="1:8" x14ac:dyDescent="0.25">
      <c r="A78" s="191">
        <v>64</v>
      </c>
      <c r="B78" s="191" t="s">
        <v>96</v>
      </c>
      <c r="C78" s="193" t="s">
        <v>231</v>
      </c>
      <c r="D78" s="193" t="s">
        <v>232</v>
      </c>
      <c r="E78" s="194" t="s">
        <v>168</v>
      </c>
      <c r="F78" s="191">
        <v>0.01</v>
      </c>
      <c r="G78" s="195">
        <v>27.74</v>
      </c>
      <c r="H78" s="195">
        <f t="shared" si="3"/>
        <v>0.28000000000000003</v>
      </c>
    </row>
    <row r="79" spans="1:8" x14ac:dyDescent="0.25">
      <c r="A79" s="191">
        <v>65</v>
      </c>
      <c r="B79" s="191" t="s">
        <v>96</v>
      </c>
      <c r="C79" s="193" t="s">
        <v>233</v>
      </c>
      <c r="D79" s="193" t="s">
        <v>234</v>
      </c>
      <c r="E79" s="194" t="s">
        <v>173</v>
      </c>
      <c r="F79" s="191">
        <v>2.9999999999999997E-4</v>
      </c>
      <c r="G79" s="195">
        <v>729.98</v>
      </c>
      <c r="H79" s="195">
        <f t="shared" si="3"/>
        <v>0.22</v>
      </c>
    </row>
    <row r="80" spans="1:8" x14ac:dyDescent="0.25">
      <c r="A80" s="191">
        <v>66</v>
      </c>
      <c r="B80" s="191" t="s">
        <v>96</v>
      </c>
      <c r="C80" s="193" t="s">
        <v>235</v>
      </c>
      <c r="D80" s="193" t="s">
        <v>236</v>
      </c>
      <c r="E80" s="194" t="s">
        <v>173</v>
      </c>
      <c r="F80" s="191">
        <v>0.14099999999999999</v>
      </c>
      <c r="G80" s="195"/>
      <c r="H80" s="195">
        <f t="shared" si="3"/>
        <v>0</v>
      </c>
    </row>
    <row r="83" spans="2:2" x14ac:dyDescent="0.25">
      <c r="B83" s="164" t="s">
        <v>67</v>
      </c>
    </row>
    <row r="84" spans="2:2" x14ac:dyDescent="0.25">
      <c r="B84" s="177" t="s">
        <v>68</v>
      </c>
    </row>
    <row r="86" spans="2:2" x14ac:dyDescent="0.25">
      <c r="B86" s="164" t="s">
        <v>69</v>
      </c>
    </row>
    <row r="87" spans="2:2" x14ac:dyDescent="0.25">
      <c r="B87" s="177" t="s">
        <v>70</v>
      </c>
    </row>
  </sheetData>
  <mergeCells count="15">
    <mergeCell ref="A20:E20"/>
    <mergeCell ref="A47:E47"/>
    <mergeCell ref="A10:E10"/>
    <mergeCell ref="A22:E22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30:E30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topLeftCell="A28" workbookViewId="0">
      <selection activeCell="C41" sqref="C41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237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8" t="s">
        <v>238</v>
      </c>
      <c r="C5" s="328"/>
      <c r="D5" s="328"/>
      <c r="E5" s="328"/>
    </row>
    <row r="6" spans="2:5" x14ac:dyDescent="0.25">
      <c r="B6" s="161"/>
      <c r="C6" s="154"/>
      <c r="D6" s="154"/>
      <c r="E6" s="154"/>
    </row>
    <row r="7" spans="2:5" ht="25.5" customHeight="1" x14ac:dyDescent="0.25">
      <c r="B7" s="349" t="s">
        <v>484</v>
      </c>
      <c r="C7" s="349"/>
      <c r="D7" s="349"/>
      <c r="E7" s="349"/>
    </row>
    <row r="8" spans="2:5" x14ac:dyDescent="0.25">
      <c r="B8" s="350" t="s">
        <v>480</v>
      </c>
      <c r="C8" s="350"/>
      <c r="D8" s="350"/>
      <c r="E8" s="350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7" t="s">
        <v>239</v>
      </c>
      <c r="C10" s="197" t="s">
        <v>240</v>
      </c>
      <c r="D10" s="197" t="s">
        <v>241</v>
      </c>
      <c r="E10" s="197" t="s">
        <v>242</v>
      </c>
    </row>
    <row r="11" spans="2:5" x14ac:dyDescent="0.25">
      <c r="B11" s="155" t="s">
        <v>243</v>
      </c>
      <c r="C11" s="156">
        <f>'Прил.5 Расчет СМР и ОБ'!J17</f>
        <v>155997.66999999998</v>
      </c>
      <c r="D11" s="157">
        <f t="shared" ref="D11:D18" si="0">C11/$C$24</f>
        <v>0.36471508838335864</v>
      </c>
      <c r="E11" s="157">
        <f t="shared" ref="E11:E18" si="1">C11/$C$40</f>
        <v>4.465652660962717E-2</v>
      </c>
    </row>
    <row r="12" spans="2:5" x14ac:dyDescent="0.25">
      <c r="B12" s="155" t="s">
        <v>244</v>
      </c>
      <c r="C12" s="156">
        <f>'Прил.5 Расчет СМР и ОБ'!J25</f>
        <v>10399.630000000001</v>
      </c>
      <c r="D12" s="157">
        <f t="shared" si="0"/>
        <v>2.4313837345161814E-2</v>
      </c>
      <c r="E12" s="157">
        <f t="shared" si="1"/>
        <v>2.9770403226232617E-3</v>
      </c>
    </row>
    <row r="13" spans="2:5" x14ac:dyDescent="0.25">
      <c r="B13" s="155" t="s">
        <v>245</v>
      </c>
      <c r="C13" s="156">
        <f>'Прил.5 Расчет СМР и ОБ'!J30</f>
        <v>1694.61</v>
      </c>
      <c r="D13" s="157">
        <f t="shared" si="0"/>
        <v>3.9619170973856435E-3</v>
      </c>
      <c r="E13" s="157">
        <f t="shared" si="1"/>
        <v>4.8510594137681867E-4</v>
      </c>
    </row>
    <row r="14" spans="2:5" x14ac:dyDescent="0.25">
      <c r="B14" s="155" t="s">
        <v>246</v>
      </c>
      <c r="C14" s="156">
        <f>C13+C12</f>
        <v>12094.240000000002</v>
      </c>
      <c r="D14" s="157">
        <f t="shared" si="0"/>
        <v>2.8275754442547461E-2</v>
      </c>
      <c r="E14" s="157">
        <f t="shared" si="1"/>
        <v>3.4621462640000806E-3</v>
      </c>
    </row>
    <row r="15" spans="2:5" x14ac:dyDescent="0.25">
      <c r="B15" s="155" t="s">
        <v>247</v>
      </c>
      <c r="C15" s="156">
        <f>'Прил.5 Расчет СМР и ОБ'!J19</f>
        <v>3411.68</v>
      </c>
      <c r="D15" s="157">
        <f t="shared" si="0"/>
        <v>7.9763446001195858E-3</v>
      </c>
      <c r="E15" s="157">
        <f t="shared" si="1"/>
        <v>9.7664137357649536E-4</v>
      </c>
    </row>
    <row r="16" spans="2:5" x14ac:dyDescent="0.25">
      <c r="B16" s="155" t="s">
        <v>248</v>
      </c>
      <c r="C16" s="156">
        <f>'Прил.5 Расчет СМР и ОБ'!J57</f>
        <v>29387.11</v>
      </c>
      <c r="D16" s="157">
        <f t="shared" si="0"/>
        <v>6.8705657084374941E-2</v>
      </c>
      <c r="E16" s="157">
        <f t="shared" si="1"/>
        <v>8.4124734663988312E-3</v>
      </c>
    </row>
    <row r="17" spans="2:6" x14ac:dyDescent="0.25">
      <c r="B17" s="155" t="s">
        <v>249</v>
      </c>
      <c r="C17" s="156">
        <f>'Прил.5 Расчет СМР и ОБ'!J90</f>
        <v>7072.6400000000012</v>
      </c>
      <c r="D17" s="157">
        <f t="shared" si="0"/>
        <v>1.6535493912849329E-2</v>
      </c>
      <c r="E17" s="157">
        <f t="shared" si="1"/>
        <v>2.0246426524211138E-3</v>
      </c>
    </row>
    <row r="18" spans="2:6" x14ac:dyDescent="0.25">
      <c r="B18" s="155" t="s">
        <v>250</v>
      </c>
      <c r="C18" s="156">
        <f>C17+C16</f>
        <v>36459.75</v>
      </c>
      <c r="D18" s="157">
        <f t="shared" si="0"/>
        <v>8.5241150997224263E-2</v>
      </c>
      <c r="E18" s="157">
        <f t="shared" si="1"/>
        <v>1.0437116118819945E-2</v>
      </c>
    </row>
    <row r="19" spans="2:6" x14ac:dyDescent="0.25">
      <c r="B19" s="155" t="s">
        <v>251</v>
      </c>
      <c r="C19" s="156">
        <f>C18+C14+C11</f>
        <v>204551.65999999997</v>
      </c>
      <c r="D19" s="157"/>
      <c r="E19" s="155"/>
    </row>
    <row r="20" spans="2:6" x14ac:dyDescent="0.25">
      <c r="B20" s="155" t="s">
        <v>252</v>
      </c>
      <c r="C20" s="156">
        <f>ROUND(C21*(C11+C15),2)</f>
        <v>76516.490000000005</v>
      </c>
      <c r="D20" s="157">
        <f>C20/$C$24</f>
        <v>0.17889189250797388</v>
      </c>
      <c r="E20" s="157">
        <f>C20/$C$40</f>
        <v>2.1903921204465888E-2</v>
      </c>
    </row>
    <row r="21" spans="2:6" x14ac:dyDescent="0.25">
      <c r="B21" s="155" t="s">
        <v>253</v>
      </c>
      <c r="C21" s="160">
        <f>'Прил.5 Расчет СМР и ОБ'!D94</f>
        <v>0.48</v>
      </c>
      <c r="D21" s="157"/>
      <c r="E21" s="155"/>
    </row>
    <row r="22" spans="2:6" x14ac:dyDescent="0.25">
      <c r="B22" s="155" t="s">
        <v>254</v>
      </c>
      <c r="C22" s="156">
        <f>ROUND(C23*(C11+C15),2)</f>
        <v>146656.6</v>
      </c>
      <c r="D22" s="157">
        <f>C22/$C$24</f>
        <v>0.3428761136688957</v>
      </c>
      <c r="E22" s="157">
        <f>C22/$C$40</f>
        <v>4.1982513972019256E-2</v>
      </c>
    </row>
    <row r="23" spans="2:6" x14ac:dyDescent="0.25">
      <c r="B23" s="155" t="s">
        <v>255</v>
      </c>
      <c r="C23" s="160">
        <f>'Прил.5 Расчет СМР и ОБ'!D93</f>
        <v>0.92</v>
      </c>
      <c r="D23" s="157"/>
      <c r="E23" s="155"/>
    </row>
    <row r="24" spans="2:6" x14ac:dyDescent="0.25">
      <c r="B24" s="155" t="s">
        <v>256</v>
      </c>
      <c r="C24" s="156">
        <f>C19+C20+C22</f>
        <v>427724.75</v>
      </c>
      <c r="D24" s="157">
        <f>C24/$C$24</f>
        <v>1</v>
      </c>
      <c r="E24" s="157">
        <f>C24/$C$40</f>
        <v>0.12244222416893234</v>
      </c>
    </row>
    <row r="25" spans="2:6" ht="25.5" customHeight="1" x14ac:dyDescent="0.25">
      <c r="B25" s="155" t="s">
        <v>257</v>
      </c>
      <c r="C25" s="156">
        <f>'Прил.5 Расчет СМР и ОБ'!J52</f>
        <v>2713282.95</v>
      </c>
      <c r="D25" s="157"/>
      <c r="E25" s="157">
        <f>C25/$C$40</f>
        <v>0.77671539745512053</v>
      </c>
    </row>
    <row r="26" spans="2:6" ht="25.5" customHeight="1" x14ac:dyDescent="0.25">
      <c r="B26" s="155" t="s">
        <v>258</v>
      </c>
      <c r="C26" s="156">
        <f>'Прил.5 Расчет СМР и ОБ'!J53</f>
        <v>2713282.94</v>
      </c>
      <c r="D26" s="157"/>
      <c r="E26" s="157">
        <f>C26/$C$40</f>
        <v>0.77671539459247985</v>
      </c>
    </row>
    <row r="27" spans="2:6" x14ac:dyDescent="0.25">
      <c r="B27" s="155" t="s">
        <v>259</v>
      </c>
      <c r="C27" s="159">
        <f>C24+C25</f>
        <v>3141007.7</v>
      </c>
      <c r="D27" s="157"/>
      <c r="E27" s="157">
        <f>C27/$C$40</f>
        <v>0.89915762162405288</v>
      </c>
    </row>
    <row r="28" spans="2:6" ht="33" customHeight="1" x14ac:dyDescent="0.25">
      <c r="B28" s="155" t="s">
        <v>260</v>
      </c>
      <c r="C28" s="155"/>
      <c r="D28" s="155"/>
      <c r="E28" s="155"/>
      <c r="F28" s="158"/>
    </row>
    <row r="29" spans="2:6" ht="25.5" customHeight="1" x14ac:dyDescent="0.25">
      <c r="B29" s="155" t="s">
        <v>261</v>
      </c>
      <c r="C29" s="310">
        <f>ROUND(C24*3.9%,2)</f>
        <v>16681.27</v>
      </c>
      <c r="D29" s="311"/>
      <c r="E29" s="312">
        <f t="shared" ref="E29:E38" si="2">C29/$C$40</f>
        <v>4.7752481023426536E-3</v>
      </c>
    </row>
    <row r="30" spans="2:6" ht="38.25" customHeight="1" x14ac:dyDescent="0.25">
      <c r="B30" s="155" t="s">
        <v>262</v>
      </c>
      <c r="C30" s="310">
        <f>ROUND((C24+C29)*2.1%,2)</f>
        <v>9332.5300000000007</v>
      </c>
      <c r="D30" s="311"/>
      <c r="E30" s="312">
        <f t="shared" si="2"/>
        <v>2.6715679425221156E-3</v>
      </c>
      <c r="F30" s="158"/>
    </row>
    <row r="31" spans="2:6" x14ac:dyDescent="0.25">
      <c r="B31" s="155" t="s">
        <v>263</v>
      </c>
      <c r="C31" s="310">
        <v>160620</v>
      </c>
      <c r="D31" s="311"/>
      <c r="E31" s="312">
        <f t="shared" si="2"/>
        <v>4.5979733569343165E-2</v>
      </c>
    </row>
    <row r="32" spans="2:6" ht="25.5" customHeight="1" x14ac:dyDescent="0.25">
      <c r="B32" s="155" t="s">
        <v>264</v>
      </c>
      <c r="C32" s="310">
        <v>0</v>
      </c>
      <c r="D32" s="311"/>
      <c r="E32" s="312">
        <f t="shared" si="2"/>
        <v>0</v>
      </c>
    </row>
    <row r="33" spans="2:11" ht="25.5" customHeight="1" x14ac:dyDescent="0.25">
      <c r="B33" s="155" t="s">
        <v>265</v>
      </c>
      <c r="C33" s="310">
        <v>0</v>
      </c>
      <c r="D33" s="311"/>
      <c r="E33" s="312">
        <f t="shared" si="2"/>
        <v>0</v>
      </c>
    </row>
    <row r="34" spans="2:11" ht="51" customHeight="1" x14ac:dyDescent="0.25">
      <c r="B34" s="155" t="s">
        <v>266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267</v>
      </c>
      <c r="C35" s="310">
        <v>0</v>
      </c>
      <c r="D35" s="155"/>
      <c r="E35" s="157">
        <f t="shared" si="2"/>
        <v>0</v>
      </c>
    </row>
    <row r="36" spans="2:11" ht="25.5" customHeight="1" x14ac:dyDescent="0.25">
      <c r="B36" s="155" t="s">
        <v>268</v>
      </c>
      <c r="C36" s="159">
        <f>ROUND((C27+C32+C33+C34+C35+C29+C31+C30)*1.72%,2)</f>
        <v>57235.43</v>
      </c>
      <c r="D36" s="155"/>
      <c r="E36" s="157">
        <f t="shared" si="2"/>
        <v>1.6384446657494649E-2</v>
      </c>
      <c r="K36" s="158"/>
    </row>
    <row r="37" spans="2:11" x14ac:dyDescent="0.25">
      <c r="B37" s="155" t="s">
        <v>269</v>
      </c>
      <c r="C37" s="159">
        <f>ROUND((C27+C32+C33+C34+C35+C29+C31+C30)*0.2%,2)</f>
        <v>6655.28</v>
      </c>
      <c r="D37" s="155"/>
      <c r="E37" s="157">
        <f t="shared" si="2"/>
        <v>1.9051674836843367E-3</v>
      </c>
      <c r="K37" s="158"/>
    </row>
    <row r="38" spans="2:11" ht="38.25" customHeight="1" x14ac:dyDescent="0.25">
      <c r="B38" s="155" t="s">
        <v>270</v>
      </c>
      <c r="C38" s="156">
        <f>C27+C32+C33+C34+C35+C29+C31+C30+C36+C37</f>
        <v>3391532.21</v>
      </c>
      <c r="D38" s="155"/>
      <c r="E38" s="157">
        <f t="shared" si="2"/>
        <v>0.97087378537943969</v>
      </c>
    </row>
    <row r="39" spans="2:11" ht="13.5" customHeight="1" x14ac:dyDescent="0.25">
      <c r="B39" s="155" t="s">
        <v>271</v>
      </c>
      <c r="C39" s="156">
        <f>ROUND(C38*3%,2)</f>
        <v>101745.97</v>
      </c>
      <c r="D39" s="155"/>
      <c r="E39" s="157">
        <f>C39/$C$38</f>
        <v>3.0000001090952341E-2</v>
      </c>
    </row>
    <row r="40" spans="2:11" x14ac:dyDescent="0.25">
      <c r="B40" s="155" t="s">
        <v>272</v>
      </c>
      <c r="C40" s="156">
        <f>C39+C38</f>
        <v>3493278.18</v>
      </c>
      <c r="D40" s="155"/>
      <c r="E40" s="157">
        <f>C40/$C$40</f>
        <v>1</v>
      </c>
    </row>
    <row r="41" spans="2:11" x14ac:dyDescent="0.25">
      <c r="B41" s="155" t="s">
        <v>273</v>
      </c>
      <c r="C41" s="156">
        <f>C40/'Прил.5 Расчет СМР и ОБ'!E97</f>
        <v>3493278.18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274</v>
      </c>
      <c r="C43" s="154"/>
      <c r="D43" s="154"/>
      <c r="E43" s="154"/>
    </row>
    <row r="44" spans="2:11" x14ac:dyDescent="0.25">
      <c r="B44" s="163" t="s">
        <v>275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276</v>
      </c>
      <c r="C46" s="154"/>
      <c r="D46" s="154"/>
      <c r="E46" s="154"/>
    </row>
    <row r="47" spans="2:11" x14ac:dyDescent="0.25">
      <c r="B47" s="350" t="s">
        <v>277</v>
      </c>
      <c r="C47" s="350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view="pageBreakPreview" workbookViewId="0">
      <selection activeCell="E14" sqref="E14:E16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66" t="s">
        <v>278</v>
      </c>
      <c r="I2" s="366"/>
      <c r="J2" s="366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28" t="s">
        <v>279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14" s="200" customFormat="1" ht="12.75" customHeight="1" x14ac:dyDescent="0.2">
      <c r="A5" s="290"/>
      <c r="B5" s="290"/>
      <c r="C5" s="201"/>
      <c r="D5" s="290"/>
      <c r="E5" s="290"/>
      <c r="F5" s="290"/>
      <c r="G5" s="290"/>
      <c r="H5" s="290"/>
      <c r="I5" s="290"/>
      <c r="J5" s="290"/>
    </row>
    <row r="6" spans="1:14" s="200" customFormat="1" ht="12.75" customHeight="1" x14ac:dyDescent="0.2">
      <c r="A6" s="202" t="s">
        <v>280</v>
      </c>
      <c r="B6" s="203"/>
      <c r="C6" s="203"/>
      <c r="D6" s="370" t="s">
        <v>487</v>
      </c>
      <c r="E6" s="370"/>
      <c r="F6" s="370"/>
      <c r="G6" s="370"/>
      <c r="H6" s="370"/>
      <c r="I6" s="370"/>
      <c r="J6" s="370"/>
    </row>
    <row r="7" spans="1:14" s="200" customFormat="1" ht="12.75" customHeight="1" x14ac:dyDescent="0.2">
      <c r="A7" s="331" t="s">
        <v>480</v>
      </c>
      <c r="B7" s="349"/>
      <c r="C7" s="349"/>
      <c r="D7" s="349"/>
      <c r="E7" s="349"/>
      <c r="F7" s="349"/>
      <c r="G7" s="349"/>
      <c r="H7" s="349"/>
      <c r="I7" s="204"/>
      <c r="J7" s="204"/>
    </row>
    <row r="8" spans="1:14" s="4" customFormat="1" ht="13.5" customHeight="1" x14ac:dyDescent="0.2">
      <c r="A8" s="331"/>
      <c r="B8" s="349"/>
      <c r="C8" s="349"/>
      <c r="D8" s="349"/>
      <c r="E8" s="349"/>
      <c r="F8" s="349"/>
      <c r="G8" s="349"/>
      <c r="H8" s="349"/>
    </row>
    <row r="9" spans="1:14" s="4" customFormat="1" ht="13.15" customHeight="1" x14ac:dyDescent="0.2"/>
    <row r="10" spans="1:14" s="199" customFormat="1" ht="27" customHeight="1" x14ac:dyDescent="0.25">
      <c r="A10" s="358" t="s">
        <v>13</v>
      </c>
      <c r="B10" s="358" t="s">
        <v>87</v>
      </c>
      <c r="C10" s="358" t="s">
        <v>239</v>
      </c>
      <c r="D10" s="358" t="s">
        <v>89</v>
      </c>
      <c r="E10" s="352" t="s">
        <v>281</v>
      </c>
      <c r="F10" s="367" t="s">
        <v>91</v>
      </c>
      <c r="G10" s="368"/>
      <c r="H10" s="352" t="s">
        <v>282</v>
      </c>
      <c r="I10" s="367" t="s">
        <v>283</v>
      </c>
      <c r="J10" s="368"/>
      <c r="K10" s="198"/>
      <c r="L10" s="198"/>
      <c r="M10" s="198"/>
      <c r="N10" s="198"/>
    </row>
    <row r="11" spans="1:14" s="199" customFormat="1" ht="28.5" customHeight="1" x14ac:dyDescent="0.25">
      <c r="A11" s="358"/>
      <c r="B11" s="358"/>
      <c r="C11" s="358"/>
      <c r="D11" s="358"/>
      <c r="E11" s="369"/>
      <c r="F11" s="145" t="s">
        <v>284</v>
      </c>
      <c r="G11" s="145" t="s">
        <v>93</v>
      </c>
      <c r="H11" s="369"/>
      <c r="I11" s="145" t="s">
        <v>284</v>
      </c>
      <c r="J11" s="145" t="s">
        <v>93</v>
      </c>
      <c r="K11" s="198"/>
      <c r="L11" s="198"/>
      <c r="M11" s="198"/>
      <c r="N11" s="198"/>
    </row>
    <row r="12" spans="1:14" s="199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89">
        <v>9</v>
      </c>
      <c r="J12" s="289">
        <v>10</v>
      </c>
      <c r="K12" s="198"/>
      <c r="L12" s="198"/>
      <c r="M12" s="198"/>
      <c r="N12" s="198"/>
    </row>
    <row r="13" spans="1:14" x14ac:dyDescent="0.25">
      <c r="A13" s="2"/>
      <c r="B13" s="356" t="s">
        <v>285</v>
      </c>
      <c r="C13" s="357"/>
      <c r="D13" s="358"/>
      <c r="E13" s="359"/>
      <c r="F13" s="360"/>
      <c r="G13" s="360"/>
      <c r="H13" s="361"/>
      <c r="I13" s="205"/>
      <c r="J13" s="205"/>
    </row>
    <row r="14" spans="1:14" ht="25.5" customHeight="1" x14ac:dyDescent="0.25">
      <c r="A14" s="2">
        <v>1</v>
      </c>
      <c r="B14" s="206" t="s">
        <v>97</v>
      </c>
      <c r="C14" s="207" t="s">
        <v>286</v>
      </c>
      <c r="D14" s="145" t="s">
        <v>287</v>
      </c>
      <c r="E14" s="208">
        <f>G14/F14</f>
        <v>314.08191489361701</v>
      </c>
      <c r="F14" s="209">
        <v>9.4</v>
      </c>
      <c r="G14" s="209">
        <f>'Прил. 3'!H10-SUM('Прил. 3'!H14:H15)</f>
        <v>2952.37</v>
      </c>
      <c r="H14" s="210">
        <f>G14/$G$17</f>
        <v>0.86184227810780434</v>
      </c>
      <c r="I14" s="211">
        <f>ФОТр.тек.!E13</f>
        <v>433.78619657747601</v>
      </c>
      <c r="J14" s="211">
        <f>ROUND(I14*E14,2)</f>
        <v>136244.4</v>
      </c>
    </row>
    <row r="15" spans="1:14" x14ac:dyDescent="0.25">
      <c r="A15" s="2">
        <v>2</v>
      </c>
      <c r="B15" s="206" t="s">
        <v>288</v>
      </c>
      <c r="C15" s="207" t="s">
        <v>105</v>
      </c>
      <c r="D15" s="145" t="s">
        <v>287</v>
      </c>
      <c r="E15" s="208">
        <f>G15/F15</f>
        <v>16</v>
      </c>
      <c r="F15" s="209">
        <v>15.49</v>
      </c>
      <c r="G15" s="209">
        <f>'Прил. 3'!H14</f>
        <v>247.84</v>
      </c>
      <c r="H15" s="210">
        <f>G15/$G$17</f>
        <v>7.2348313458759653E-2</v>
      </c>
      <c r="I15" s="211">
        <f>'ФОТинж 1кат.тек.'!E13</f>
        <v>645.82616229092753</v>
      </c>
      <c r="J15" s="211">
        <f>ROUND(I15*E15,2)</f>
        <v>10333.219999999999</v>
      </c>
    </row>
    <row r="16" spans="1:14" x14ac:dyDescent="0.25">
      <c r="A16" s="2">
        <v>3</v>
      </c>
      <c r="B16" s="206" t="s">
        <v>289</v>
      </c>
      <c r="C16" s="207" t="s">
        <v>107</v>
      </c>
      <c r="D16" s="145" t="s">
        <v>287</v>
      </c>
      <c r="E16" s="208">
        <f>G16/F16</f>
        <v>16</v>
      </c>
      <c r="F16" s="209">
        <v>14.09</v>
      </c>
      <c r="G16" s="209">
        <f>'Прил. 3'!H15</f>
        <v>225.44</v>
      </c>
      <c r="H16" s="210">
        <f>G16/$G$17</f>
        <v>6.5809408433435981E-2</v>
      </c>
      <c r="I16" s="211">
        <f>'ФОТинж 2кат.тек.'!E13</f>
        <v>588.75315260010143</v>
      </c>
      <c r="J16" s="211">
        <f>ROUND(I16*E16,2)</f>
        <v>9420.0499999999993</v>
      </c>
    </row>
    <row r="17" spans="1:10" s="14" customFormat="1" ht="25.5" customHeight="1" x14ac:dyDescent="0.2">
      <c r="A17" s="2"/>
      <c r="B17" s="2"/>
      <c r="C17" s="292" t="s">
        <v>290</v>
      </c>
      <c r="D17" s="2" t="s">
        <v>287</v>
      </c>
      <c r="E17" s="212">
        <f>SUM(E14:E16)</f>
        <v>346.08191489361701</v>
      </c>
      <c r="F17" s="29"/>
      <c r="G17" s="29">
        <f>SUM(G14:G16)</f>
        <v>3425.65</v>
      </c>
      <c r="H17" s="295">
        <v>1</v>
      </c>
      <c r="I17" s="205"/>
      <c r="J17" s="209">
        <f>SUM(J14:J16)</f>
        <v>155997.66999999998</v>
      </c>
    </row>
    <row r="18" spans="1:10" s="14" customFormat="1" ht="14.25" customHeight="1" x14ac:dyDescent="0.2">
      <c r="A18" s="2"/>
      <c r="B18" s="357" t="s">
        <v>116</v>
      </c>
      <c r="C18" s="357"/>
      <c r="D18" s="358"/>
      <c r="E18" s="359"/>
      <c r="F18" s="360"/>
      <c r="G18" s="360"/>
      <c r="H18" s="361"/>
      <c r="I18" s="205"/>
      <c r="J18" s="205"/>
    </row>
    <row r="19" spans="1:10" s="14" customFormat="1" ht="14.25" customHeight="1" x14ac:dyDescent="0.2">
      <c r="A19" s="2">
        <v>4</v>
      </c>
      <c r="B19" s="2">
        <v>2</v>
      </c>
      <c r="C19" s="9" t="s">
        <v>116</v>
      </c>
      <c r="D19" s="2" t="s">
        <v>287</v>
      </c>
      <c r="E19" s="212">
        <f>'Прил. 3'!F21</f>
        <v>7.33</v>
      </c>
      <c r="F19" s="29">
        <f>G19/E19</f>
        <v>10.508867667121418</v>
      </c>
      <c r="G19" s="29">
        <f>'Прил. 3'!H20</f>
        <v>77.03</v>
      </c>
      <c r="H19" s="295">
        <v>1</v>
      </c>
      <c r="I19" s="211">
        <f>ROUND(F19*'Прил. 10'!D11,2)</f>
        <v>465.44</v>
      </c>
      <c r="J19" s="211">
        <f>ROUND(I19*E19,2)</f>
        <v>3411.68</v>
      </c>
    </row>
    <row r="20" spans="1:10" s="14" customFormat="1" ht="14.25" customHeight="1" x14ac:dyDescent="0.2">
      <c r="A20" s="2"/>
      <c r="B20" s="356" t="s">
        <v>117</v>
      </c>
      <c r="C20" s="357"/>
      <c r="D20" s="358"/>
      <c r="E20" s="359"/>
      <c r="F20" s="360"/>
      <c r="G20" s="360"/>
      <c r="H20" s="361"/>
      <c r="I20" s="205"/>
      <c r="J20" s="205"/>
    </row>
    <row r="21" spans="1:10" s="14" customFormat="1" ht="14.25" customHeight="1" x14ac:dyDescent="0.2">
      <c r="A21" s="2"/>
      <c r="B21" s="357" t="s">
        <v>291</v>
      </c>
      <c r="C21" s="357"/>
      <c r="D21" s="358"/>
      <c r="E21" s="359"/>
      <c r="F21" s="360"/>
      <c r="G21" s="360"/>
      <c r="H21" s="361"/>
      <c r="I21" s="205"/>
      <c r="J21" s="205"/>
    </row>
    <row r="22" spans="1:10" s="14" customFormat="1" ht="14.25" customHeight="1" x14ac:dyDescent="0.2">
      <c r="A22" s="2">
        <v>5</v>
      </c>
      <c r="B22" s="213" t="s">
        <v>118</v>
      </c>
      <c r="C22" s="214" t="s">
        <v>119</v>
      </c>
      <c r="D22" s="215" t="s">
        <v>120</v>
      </c>
      <c r="E22" s="212">
        <v>5.98</v>
      </c>
      <c r="F22" s="216">
        <v>89.99</v>
      </c>
      <c r="G22" s="217">
        <f>ROUND(E22*F22,2)</f>
        <v>538.14</v>
      </c>
      <c r="H22" s="218">
        <f>G22/$G$31</f>
        <v>0.59935179925824444</v>
      </c>
      <c r="I22" s="209">
        <f>ROUND(F22*'Прил. 10'!$D$12,2)</f>
        <v>1212.17</v>
      </c>
      <c r="J22" s="209">
        <f>ROUND(I22*E22,2)</f>
        <v>7248.78</v>
      </c>
    </row>
    <row r="23" spans="1:10" s="14" customFormat="1" ht="25.5" customHeight="1" x14ac:dyDescent="0.2">
      <c r="A23" s="2">
        <v>6</v>
      </c>
      <c r="B23" s="213" t="s">
        <v>121</v>
      </c>
      <c r="C23" s="214" t="s">
        <v>122</v>
      </c>
      <c r="D23" s="215" t="s">
        <v>120</v>
      </c>
      <c r="E23" s="212">
        <v>19.760000000000002</v>
      </c>
      <c r="F23" s="216">
        <v>8.1</v>
      </c>
      <c r="G23" s="217">
        <f>ROUND(E23*F23,2)</f>
        <v>160.06</v>
      </c>
      <c r="H23" s="218">
        <f>G23/$G$31</f>
        <v>0.1782663414525488</v>
      </c>
      <c r="I23" s="209">
        <f>ROUND(F23*'Прил. 10'!$D$12,2)</f>
        <v>109.11</v>
      </c>
      <c r="J23" s="209">
        <f>ROUND(I23*E23,2)</f>
        <v>2156.0100000000002</v>
      </c>
    </row>
    <row r="24" spans="1:10" s="14" customFormat="1" ht="25.5" customHeight="1" x14ac:dyDescent="0.2">
      <c r="A24" s="2">
        <v>7</v>
      </c>
      <c r="B24" s="213" t="s">
        <v>123</v>
      </c>
      <c r="C24" s="214" t="s">
        <v>124</v>
      </c>
      <c r="D24" s="215" t="s">
        <v>120</v>
      </c>
      <c r="E24" s="212">
        <v>0.64</v>
      </c>
      <c r="F24" s="216">
        <v>115.4</v>
      </c>
      <c r="G24" s="217">
        <f>ROUND(E24*F24,2)</f>
        <v>73.86</v>
      </c>
      <c r="H24" s="218">
        <f>G24/$G$31</f>
        <v>8.2261351866083049E-2</v>
      </c>
      <c r="I24" s="209">
        <f>ROUND(F24*'Прил. 10'!$D$12,2)</f>
        <v>1554.44</v>
      </c>
      <c r="J24" s="209">
        <f>ROUND(I24*E24,2)</f>
        <v>994.84</v>
      </c>
    </row>
    <row r="25" spans="1:10" s="14" customFormat="1" ht="14.25" customHeight="1" x14ac:dyDescent="0.2">
      <c r="A25" s="2"/>
      <c r="B25" s="2"/>
      <c r="C25" s="9" t="s">
        <v>292</v>
      </c>
      <c r="D25" s="2"/>
      <c r="E25" s="212"/>
      <c r="F25" s="29"/>
      <c r="G25" s="29">
        <f>SUM(G22:G24)</f>
        <v>772.06000000000006</v>
      </c>
      <c r="H25" s="295">
        <f>G25/G31</f>
        <v>0.85987949257687635</v>
      </c>
      <c r="I25" s="219"/>
      <c r="J25" s="29">
        <f>SUM(J22:J24)</f>
        <v>10399.630000000001</v>
      </c>
    </row>
    <row r="26" spans="1:10" s="14" customFormat="1" ht="25.5" customHeight="1" outlineLevel="1" x14ac:dyDescent="0.2">
      <c r="A26" s="2">
        <v>8</v>
      </c>
      <c r="B26" s="213" t="s">
        <v>125</v>
      </c>
      <c r="C26" s="214" t="s">
        <v>126</v>
      </c>
      <c r="D26" s="215" t="s">
        <v>120</v>
      </c>
      <c r="E26" s="212">
        <v>0.71</v>
      </c>
      <c r="F26" s="216">
        <v>65.709999999999994</v>
      </c>
      <c r="G26" s="217">
        <f>ROUND(E26*F26,2)</f>
        <v>46.65</v>
      </c>
      <c r="H26" s="218">
        <f>G26/$G$31</f>
        <v>5.195629656854555E-2</v>
      </c>
      <c r="I26" s="209">
        <f>ROUND(F26*'Прил. 10'!$D$12,2)</f>
        <v>885.11</v>
      </c>
      <c r="J26" s="209">
        <f>ROUND(I26*E26,2)</f>
        <v>628.42999999999995</v>
      </c>
    </row>
    <row r="27" spans="1:10" s="14" customFormat="1" ht="25.5" customHeight="1" outlineLevel="1" x14ac:dyDescent="0.2">
      <c r="A27" s="2">
        <v>9</v>
      </c>
      <c r="B27" s="213" t="s">
        <v>127</v>
      </c>
      <c r="C27" s="214" t="s">
        <v>128</v>
      </c>
      <c r="D27" s="215" t="s">
        <v>120</v>
      </c>
      <c r="E27" s="212">
        <v>3.68</v>
      </c>
      <c r="F27" s="216">
        <v>12.14</v>
      </c>
      <c r="G27" s="217">
        <f>ROUND(E27*F27,2)</f>
        <v>44.68</v>
      </c>
      <c r="H27" s="218">
        <f>G27/$G$31</f>
        <v>4.976221501999175E-2</v>
      </c>
      <c r="I27" s="209">
        <f>ROUND(F27*'Прил. 10'!$D$12,2)</f>
        <v>163.53</v>
      </c>
      <c r="J27" s="209">
        <f>ROUND(I27*E27,2)</f>
        <v>601.79</v>
      </c>
    </row>
    <row r="28" spans="1:10" s="14" customFormat="1" ht="14.25" customHeight="1" outlineLevel="1" x14ac:dyDescent="0.2">
      <c r="A28" s="2">
        <v>10</v>
      </c>
      <c r="B28" s="213" t="s">
        <v>129</v>
      </c>
      <c r="C28" s="214" t="s">
        <v>130</v>
      </c>
      <c r="D28" s="215" t="s">
        <v>120</v>
      </c>
      <c r="E28" s="212">
        <v>2.59</v>
      </c>
      <c r="F28" s="216">
        <v>10.62</v>
      </c>
      <c r="G28" s="217">
        <f>ROUND(E28*F28,2)</f>
        <v>27.51</v>
      </c>
      <c r="H28" s="218">
        <f>G28/$G$31</f>
        <v>3.0639179391225898E-2</v>
      </c>
      <c r="I28" s="209">
        <f>ROUND(F28*'Прил. 10'!$D$12,2)</f>
        <v>143.05000000000001</v>
      </c>
      <c r="J28" s="209">
        <f>ROUND(I28*E28,2)</f>
        <v>370.5</v>
      </c>
    </row>
    <row r="29" spans="1:10" s="14" customFormat="1" ht="25.5" customHeight="1" outlineLevel="1" x14ac:dyDescent="0.2">
      <c r="A29" s="2">
        <v>11</v>
      </c>
      <c r="B29" s="213" t="s">
        <v>131</v>
      </c>
      <c r="C29" s="214" t="s">
        <v>132</v>
      </c>
      <c r="D29" s="215" t="s">
        <v>120</v>
      </c>
      <c r="E29" s="212">
        <v>4.0999999999999996</v>
      </c>
      <c r="F29" s="216">
        <v>1.7</v>
      </c>
      <c r="G29" s="217">
        <f>ROUND(E29*F29,2)</f>
        <v>6.97</v>
      </c>
      <c r="H29" s="218">
        <f>G29/$G$31</f>
        <v>7.7628164433603958E-3</v>
      </c>
      <c r="I29" s="209">
        <f>ROUND(F29*'Прил. 10'!$D$12,2)</f>
        <v>22.9</v>
      </c>
      <c r="J29" s="209">
        <f>ROUND(I29*E29,2)</f>
        <v>93.89</v>
      </c>
    </row>
    <row r="30" spans="1:10" s="14" customFormat="1" ht="14.25" customHeight="1" x14ac:dyDescent="0.2">
      <c r="A30" s="2"/>
      <c r="B30" s="2"/>
      <c r="C30" s="9" t="s">
        <v>293</v>
      </c>
      <c r="D30" s="2"/>
      <c r="E30" s="293"/>
      <c r="F30" s="29"/>
      <c r="G30" s="219">
        <f>SUM(G26:G29)</f>
        <v>125.81</v>
      </c>
      <c r="H30" s="220">
        <f>G30/G31</f>
        <v>0.1401205074231236</v>
      </c>
      <c r="I30" s="221"/>
      <c r="J30" s="221">
        <f>SUM(J26:J29)</f>
        <v>1694.61</v>
      </c>
    </row>
    <row r="31" spans="1:10" s="14" customFormat="1" ht="25.5" customHeight="1" x14ac:dyDescent="0.2">
      <c r="A31" s="2"/>
      <c r="B31" s="2"/>
      <c r="C31" s="292" t="s">
        <v>294</v>
      </c>
      <c r="D31" s="2"/>
      <c r="E31" s="293"/>
      <c r="F31" s="29"/>
      <c r="G31" s="29">
        <f>G30+G25</f>
        <v>897.87000000000012</v>
      </c>
      <c r="H31" s="222">
        <v>1</v>
      </c>
      <c r="I31" s="223"/>
      <c r="J31" s="224">
        <f>J30+J25</f>
        <v>12094.240000000002</v>
      </c>
    </row>
    <row r="32" spans="1:10" s="14" customFormat="1" ht="14.25" customHeight="1" x14ac:dyDescent="0.2">
      <c r="A32" s="2"/>
      <c r="B32" s="356" t="s">
        <v>43</v>
      </c>
      <c r="C32" s="356"/>
      <c r="D32" s="362"/>
      <c r="E32" s="363"/>
      <c r="F32" s="364"/>
      <c r="G32" s="364"/>
      <c r="H32" s="365"/>
      <c r="I32" s="205"/>
      <c r="J32" s="205"/>
    </row>
    <row r="33" spans="1:12" x14ac:dyDescent="0.25">
      <c r="A33" s="296"/>
      <c r="B33" s="357" t="s">
        <v>295</v>
      </c>
      <c r="C33" s="357"/>
      <c r="D33" s="358"/>
      <c r="E33" s="359"/>
      <c r="F33" s="360"/>
      <c r="G33" s="360"/>
      <c r="H33" s="361"/>
      <c r="I33" s="225"/>
      <c r="J33" s="225"/>
      <c r="K33" s="226"/>
      <c r="L33" s="226"/>
    </row>
    <row r="34" spans="1:12" s="14" customFormat="1" ht="14.25" customHeight="1" x14ac:dyDescent="0.2">
      <c r="A34" s="2">
        <v>12</v>
      </c>
      <c r="B34" s="227" t="s">
        <v>133</v>
      </c>
      <c r="C34" s="151" t="s">
        <v>134</v>
      </c>
      <c r="D34" s="227" t="s">
        <v>135</v>
      </c>
      <c r="E34" s="228">
        <v>1</v>
      </c>
      <c r="F34" s="229">
        <v>167692.96</v>
      </c>
      <c r="G34" s="217">
        <f t="shared" ref="G34:G41" si="0">ROUND(E34*F34,2)</f>
        <v>167692.96</v>
      </c>
      <c r="H34" s="220">
        <f t="shared" ref="H34:H51" si="1">G34/$G$52</f>
        <v>0.38689585705967383</v>
      </c>
      <c r="I34" s="209">
        <f>ROUND(F34*'Прил. 10'!$D$14,2)</f>
        <v>1049757.93</v>
      </c>
      <c r="J34" s="209">
        <f t="shared" ref="J34:J41" si="2">ROUND(I34*E34,2)</f>
        <v>1049757.93</v>
      </c>
    </row>
    <row r="35" spans="1:12" s="14" customFormat="1" ht="25.5" customHeight="1" x14ac:dyDescent="0.2">
      <c r="A35" s="2">
        <v>13</v>
      </c>
      <c r="B35" s="227" t="s">
        <v>136</v>
      </c>
      <c r="C35" s="151" t="s">
        <v>137</v>
      </c>
      <c r="D35" s="227" t="s">
        <v>138</v>
      </c>
      <c r="E35" s="228">
        <v>3</v>
      </c>
      <c r="F35" s="229">
        <v>16999.43</v>
      </c>
      <c r="G35" s="217">
        <f t="shared" si="0"/>
        <v>50998.29</v>
      </c>
      <c r="H35" s="220">
        <f t="shared" si="1"/>
        <v>0.11766163062616222</v>
      </c>
      <c r="I35" s="209">
        <f>ROUND(F35*'Прил. 10'!$D$14,2)</f>
        <v>106416.43</v>
      </c>
      <c r="J35" s="209">
        <f t="shared" si="2"/>
        <v>319249.28999999998</v>
      </c>
    </row>
    <row r="36" spans="1:12" s="14" customFormat="1" ht="38.25" customHeight="1" x14ac:dyDescent="0.2">
      <c r="A36" s="2">
        <v>14</v>
      </c>
      <c r="B36" s="227" t="s">
        <v>139</v>
      </c>
      <c r="C36" s="151" t="s">
        <v>140</v>
      </c>
      <c r="D36" s="227" t="s">
        <v>135</v>
      </c>
      <c r="E36" s="228">
        <v>1</v>
      </c>
      <c r="F36" s="229">
        <v>43171.35</v>
      </c>
      <c r="G36" s="217">
        <f t="shared" si="0"/>
        <v>43171.35</v>
      </c>
      <c r="H36" s="220">
        <f t="shared" si="1"/>
        <v>9.9603563910334411E-2</v>
      </c>
      <c r="I36" s="209">
        <f>ROUND(F36*'Прил. 10'!$D$14,2)</f>
        <v>270252.65000000002</v>
      </c>
      <c r="J36" s="209">
        <f t="shared" si="2"/>
        <v>270252.65000000002</v>
      </c>
    </row>
    <row r="37" spans="1:12" s="14" customFormat="1" ht="25.5" customHeight="1" x14ac:dyDescent="0.2">
      <c r="A37" s="2">
        <v>15</v>
      </c>
      <c r="B37" s="227" t="s">
        <v>141</v>
      </c>
      <c r="C37" s="151" t="s">
        <v>142</v>
      </c>
      <c r="D37" s="227" t="s">
        <v>138</v>
      </c>
      <c r="E37" s="228">
        <v>1</v>
      </c>
      <c r="F37" s="229">
        <v>37158.83</v>
      </c>
      <c r="G37" s="217">
        <f t="shared" si="0"/>
        <v>37158.83</v>
      </c>
      <c r="H37" s="220">
        <f t="shared" si="1"/>
        <v>8.5731669237544147E-2</v>
      </c>
      <c r="I37" s="209">
        <f>ROUND(F37*'Прил. 10'!$D$14,2)</f>
        <v>232614.28</v>
      </c>
      <c r="J37" s="209">
        <f t="shared" si="2"/>
        <v>232614.28</v>
      </c>
    </row>
    <row r="38" spans="1:12" s="14" customFormat="1" ht="38.25" customHeight="1" x14ac:dyDescent="0.2">
      <c r="A38" s="2">
        <v>16</v>
      </c>
      <c r="B38" s="227" t="s">
        <v>143</v>
      </c>
      <c r="C38" s="151" t="s">
        <v>144</v>
      </c>
      <c r="D38" s="227" t="s">
        <v>138</v>
      </c>
      <c r="E38" s="228">
        <v>1</v>
      </c>
      <c r="F38" s="229">
        <v>35055.620000000003</v>
      </c>
      <c r="G38" s="217">
        <f t="shared" si="0"/>
        <v>35055.620000000003</v>
      </c>
      <c r="H38" s="220">
        <f t="shared" si="1"/>
        <v>8.0879210103144736E-2</v>
      </c>
      <c r="I38" s="209">
        <f>ROUND(F38*'Прил. 10'!$D$14,2)</f>
        <v>219448.18</v>
      </c>
      <c r="J38" s="209">
        <f t="shared" si="2"/>
        <v>219448.18</v>
      </c>
    </row>
    <row r="39" spans="1:12" s="14" customFormat="1" ht="25.5" customHeight="1" x14ac:dyDescent="0.2">
      <c r="A39" s="2">
        <v>17</v>
      </c>
      <c r="B39" s="227" t="s">
        <v>145</v>
      </c>
      <c r="C39" s="151" t="s">
        <v>146</v>
      </c>
      <c r="D39" s="227" t="s">
        <v>147</v>
      </c>
      <c r="E39" s="228">
        <v>1</v>
      </c>
      <c r="F39" s="229">
        <v>11831</v>
      </c>
      <c r="G39" s="217">
        <f t="shared" si="0"/>
        <v>11831</v>
      </c>
      <c r="H39" s="220">
        <f t="shared" si="1"/>
        <v>2.7296106436865336E-2</v>
      </c>
      <c r="I39" s="209">
        <f>ROUND(F39*'Прил. 10'!$D$14,2)</f>
        <v>74062.06</v>
      </c>
      <c r="J39" s="209">
        <f t="shared" si="2"/>
        <v>74062.06</v>
      </c>
    </row>
    <row r="40" spans="1:12" s="14" customFormat="1" ht="25.5" customHeight="1" x14ac:dyDescent="0.2">
      <c r="A40" s="2">
        <v>18</v>
      </c>
      <c r="B40" s="227" t="s">
        <v>145</v>
      </c>
      <c r="C40" s="151" t="s">
        <v>146</v>
      </c>
      <c r="D40" s="227" t="s">
        <v>138</v>
      </c>
      <c r="E40" s="228">
        <v>1</v>
      </c>
      <c r="F40" s="229">
        <v>11831</v>
      </c>
      <c r="G40" s="217">
        <f t="shared" si="0"/>
        <v>11831</v>
      </c>
      <c r="H40" s="220">
        <f t="shared" si="1"/>
        <v>2.7296106436865336E-2</v>
      </c>
      <c r="I40" s="209">
        <f>ROUND(F40*'Прил. 10'!$D$14,2)</f>
        <v>74062.06</v>
      </c>
      <c r="J40" s="209">
        <f t="shared" si="2"/>
        <v>74062.06</v>
      </c>
    </row>
    <row r="41" spans="1:12" s="14" customFormat="1" ht="25.5" customHeight="1" x14ac:dyDescent="0.2">
      <c r="A41" s="2">
        <v>19</v>
      </c>
      <c r="B41" s="227" t="s">
        <v>145</v>
      </c>
      <c r="C41" s="151" t="s">
        <v>146</v>
      </c>
      <c r="D41" s="227" t="s">
        <v>138</v>
      </c>
      <c r="E41" s="228">
        <v>1</v>
      </c>
      <c r="F41" s="229">
        <v>11831</v>
      </c>
      <c r="G41" s="217">
        <f t="shared" si="0"/>
        <v>11831</v>
      </c>
      <c r="H41" s="220">
        <f t="shared" si="1"/>
        <v>2.7296106436865336E-2</v>
      </c>
      <c r="I41" s="209">
        <f>ROUND(F41*'Прил. 10'!$D$14,2)</f>
        <v>74062.06</v>
      </c>
      <c r="J41" s="209">
        <f t="shared" si="2"/>
        <v>74062.06</v>
      </c>
    </row>
    <row r="42" spans="1:12" x14ac:dyDescent="0.25">
      <c r="A42" s="2"/>
      <c r="B42" s="296"/>
      <c r="C42" s="136" t="s">
        <v>296</v>
      </c>
      <c r="D42" s="215"/>
      <c r="E42" s="212"/>
      <c r="F42" s="298"/>
      <c r="G42" s="230">
        <f>SUM(G34:G41)</f>
        <v>369570.05</v>
      </c>
      <c r="H42" s="220">
        <f t="shared" si="1"/>
        <v>0.8526602502474554</v>
      </c>
      <c r="I42" s="231"/>
      <c r="J42" s="230">
        <f>SUM(J34:J41)</f>
        <v>2313508.5100000002</v>
      </c>
      <c r="K42" s="226"/>
      <c r="L42" s="226"/>
    </row>
    <row r="43" spans="1:12" s="14" customFormat="1" ht="25.5" customHeight="1" outlineLevel="1" x14ac:dyDescent="0.2">
      <c r="A43" s="2">
        <v>20</v>
      </c>
      <c r="B43" s="227" t="s">
        <v>145</v>
      </c>
      <c r="C43" s="151" t="s">
        <v>146</v>
      </c>
      <c r="D43" s="227" t="s">
        <v>138</v>
      </c>
      <c r="E43" s="228">
        <v>1</v>
      </c>
      <c r="F43" s="229">
        <v>11831</v>
      </c>
      <c r="G43" s="217">
        <f t="shared" ref="G43:G50" si="3">ROUND(E43*F43,2)</f>
        <v>11831</v>
      </c>
      <c r="H43" s="220">
        <f t="shared" si="1"/>
        <v>2.7296106436865336E-2</v>
      </c>
      <c r="I43" s="209">
        <f>ROUND(F43*'Прил. 10'!$D$14,2)</f>
        <v>74062.06</v>
      </c>
      <c r="J43" s="209">
        <f t="shared" ref="J43:J50" si="4">ROUND(I43*E43,2)</f>
        <v>74062.06</v>
      </c>
    </row>
    <row r="44" spans="1:12" s="14" customFormat="1" ht="25.5" customHeight="1" outlineLevel="1" x14ac:dyDescent="0.2">
      <c r="A44" s="2">
        <v>21</v>
      </c>
      <c r="B44" s="227" t="s">
        <v>148</v>
      </c>
      <c r="C44" s="151" t="s">
        <v>149</v>
      </c>
      <c r="D44" s="227" t="s">
        <v>138</v>
      </c>
      <c r="E44" s="228">
        <v>1</v>
      </c>
      <c r="F44" s="229">
        <v>11279.02</v>
      </c>
      <c r="G44" s="217">
        <f t="shared" si="3"/>
        <v>11279.02</v>
      </c>
      <c r="H44" s="220">
        <f t="shared" si="1"/>
        <v>2.6022595758898901E-2</v>
      </c>
      <c r="I44" s="209">
        <f>ROUND(F44*'Прил. 10'!$D$14,2)</f>
        <v>70606.67</v>
      </c>
      <c r="J44" s="209">
        <f t="shared" si="4"/>
        <v>70606.67</v>
      </c>
    </row>
    <row r="45" spans="1:12" s="14" customFormat="1" ht="25.5" customHeight="1" outlineLevel="1" x14ac:dyDescent="0.2">
      <c r="A45" s="2">
        <v>22</v>
      </c>
      <c r="B45" s="227" t="s">
        <v>150</v>
      </c>
      <c r="C45" s="151" t="s">
        <v>151</v>
      </c>
      <c r="D45" s="227" t="s">
        <v>138</v>
      </c>
      <c r="E45" s="228">
        <v>1</v>
      </c>
      <c r="F45" s="229">
        <v>9392.75</v>
      </c>
      <c r="G45" s="217">
        <f t="shared" si="3"/>
        <v>9392.75</v>
      </c>
      <c r="H45" s="220">
        <f t="shared" si="1"/>
        <v>2.1670653683954603E-2</v>
      </c>
      <c r="I45" s="209">
        <f>ROUND(F45*'Прил. 10'!$D$14,2)</f>
        <v>58798.62</v>
      </c>
      <c r="J45" s="209">
        <f t="shared" si="4"/>
        <v>58798.62</v>
      </c>
    </row>
    <row r="46" spans="1:12" s="14" customFormat="1" ht="38.25" customHeight="1" outlineLevel="1" x14ac:dyDescent="0.2">
      <c r="A46" s="2">
        <v>23</v>
      </c>
      <c r="B46" s="227" t="s">
        <v>150</v>
      </c>
      <c r="C46" s="151" t="s">
        <v>152</v>
      </c>
      <c r="D46" s="227" t="s">
        <v>153</v>
      </c>
      <c r="E46" s="228">
        <v>1</v>
      </c>
      <c r="F46" s="229">
        <v>9392.75</v>
      </c>
      <c r="G46" s="217">
        <f t="shared" si="3"/>
        <v>9392.75</v>
      </c>
      <c r="H46" s="220">
        <f t="shared" si="1"/>
        <v>2.1670653683954603E-2</v>
      </c>
      <c r="I46" s="209">
        <f>ROUND(F46*'Прил. 10'!$D$14,2)</f>
        <v>58798.62</v>
      </c>
      <c r="J46" s="209">
        <f t="shared" si="4"/>
        <v>58798.62</v>
      </c>
    </row>
    <row r="47" spans="1:12" s="14" customFormat="1" ht="38.25" customHeight="1" outlineLevel="1" x14ac:dyDescent="0.2">
      <c r="A47" s="2">
        <v>24</v>
      </c>
      <c r="B47" s="227" t="s">
        <v>154</v>
      </c>
      <c r="C47" s="151" t="s">
        <v>155</v>
      </c>
      <c r="D47" s="227" t="s">
        <v>135</v>
      </c>
      <c r="E47" s="228">
        <v>1</v>
      </c>
      <c r="F47" s="229">
        <v>9372.9599999999991</v>
      </c>
      <c r="G47" s="217">
        <f t="shared" si="3"/>
        <v>9372.9599999999991</v>
      </c>
      <c r="H47" s="220">
        <f t="shared" si="1"/>
        <v>2.1624994826175414E-2</v>
      </c>
      <c r="I47" s="209">
        <f>ROUND(F47*'Прил. 10'!$D$14,2)</f>
        <v>58674.73</v>
      </c>
      <c r="J47" s="209">
        <f t="shared" si="4"/>
        <v>58674.73</v>
      </c>
    </row>
    <row r="48" spans="1:12" s="14" customFormat="1" ht="25.5" customHeight="1" outlineLevel="1" x14ac:dyDescent="0.2">
      <c r="A48" s="2">
        <v>25</v>
      </c>
      <c r="B48" s="227" t="s">
        <v>156</v>
      </c>
      <c r="C48" s="151" t="s">
        <v>157</v>
      </c>
      <c r="D48" s="227" t="s">
        <v>138</v>
      </c>
      <c r="E48" s="228">
        <v>2</v>
      </c>
      <c r="F48" s="229">
        <v>3850.19</v>
      </c>
      <c r="G48" s="217">
        <f t="shared" si="3"/>
        <v>7700.38</v>
      </c>
      <c r="H48" s="220">
        <f t="shared" si="1"/>
        <v>1.776607151418385E-2</v>
      </c>
      <c r="I48" s="209">
        <f>ROUND(F48*'Прил. 10'!$D$14,2)</f>
        <v>24102.19</v>
      </c>
      <c r="J48" s="209">
        <f t="shared" si="4"/>
        <v>48204.38</v>
      </c>
    </row>
    <row r="49" spans="1:12" s="14" customFormat="1" ht="38.25" customHeight="1" outlineLevel="1" x14ac:dyDescent="0.2">
      <c r="A49" s="2">
        <v>26</v>
      </c>
      <c r="B49" s="227" t="s">
        <v>158</v>
      </c>
      <c r="C49" s="151" t="s">
        <v>159</v>
      </c>
      <c r="D49" s="227" t="s">
        <v>138</v>
      </c>
      <c r="E49" s="228">
        <v>2</v>
      </c>
      <c r="F49" s="229">
        <v>1983.71</v>
      </c>
      <c r="G49" s="217">
        <f t="shared" si="3"/>
        <v>3967.42</v>
      </c>
      <c r="H49" s="220">
        <f t="shared" si="1"/>
        <v>9.1535050798536282E-3</v>
      </c>
      <c r="I49" s="209">
        <f>ROUND(F49*'Прил. 10'!$D$14,2)</f>
        <v>12418.02</v>
      </c>
      <c r="J49" s="209">
        <f t="shared" si="4"/>
        <v>24836.04</v>
      </c>
    </row>
    <row r="50" spans="1:12" s="14" customFormat="1" ht="51" customHeight="1" outlineLevel="1" x14ac:dyDescent="0.2">
      <c r="A50" s="2">
        <v>27</v>
      </c>
      <c r="B50" s="227" t="s">
        <v>160</v>
      </c>
      <c r="C50" s="151" t="s">
        <v>161</v>
      </c>
      <c r="D50" s="227" t="s">
        <v>138</v>
      </c>
      <c r="E50" s="228">
        <v>1</v>
      </c>
      <c r="F50" s="229">
        <v>925.45</v>
      </c>
      <c r="G50" s="217">
        <f t="shared" si="3"/>
        <v>925.45</v>
      </c>
      <c r="H50" s="220">
        <f t="shared" si="1"/>
        <v>2.1351687686583577E-3</v>
      </c>
      <c r="I50" s="209">
        <f>ROUND(F50*'Прил. 10'!$D$14,2)</f>
        <v>5793.32</v>
      </c>
      <c r="J50" s="209">
        <f t="shared" si="4"/>
        <v>5793.32</v>
      </c>
    </row>
    <row r="51" spans="1:12" x14ac:dyDescent="0.25">
      <c r="A51" s="2"/>
      <c r="B51" s="296"/>
      <c r="C51" s="136" t="s">
        <v>297</v>
      </c>
      <c r="D51" s="296"/>
      <c r="E51" s="212"/>
      <c r="F51" s="298"/>
      <c r="G51" s="230">
        <f>SUM(G43:G50)</f>
        <v>63861.729999999996</v>
      </c>
      <c r="H51" s="220">
        <f t="shared" si="1"/>
        <v>0.14733974975254469</v>
      </c>
      <c r="I51" s="231"/>
      <c r="J51" s="230">
        <f>SUM(J43:J50)</f>
        <v>399774.43999999994</v>
      </c>
      <c r="K51" s="226"/>
      <c r="L51" s="226"/>
    </row>
    <row r="52" spans="1:12" x14ac:dyDescent="0.25">
      <c r="A52" s="296"/>
      <c r="B52" s="296"/>
      <c r="C52" s="232" t="s">
        <v>298</v>
      </c>
      <c r="D52" s="296"/>
      <c r="E52" s="297"/>
      <c r="F52" s="298"/>
      <c r="G52" s="230">
        <f>G42+G51</f>
        <v>433431.77999999997</v>
      </c>
      <c r="H52" s="295">
        <f>H42+H51</f>
        <v>1</v>
      </c>
      <c r="I52" s="231"/>
      <c r="J52" s="230">
        <f>J51+J42</f>
        <v>2713282.95</v>
      </c>
      <c r="K52" s="226"/>
      <c r="L52" s="226"/>
    </row>
    <row r="53" spans="1:12" ht="25.5" customHeight="1" x14ac:dyDescent="0.25">
      <c r="A53" s="296"/>
      <c r="B53" s="296"/>
      <c r="C53" s="136" t="s">
        <v>299</v>
      </c>
      <c r="D53" s="296"/>
      <c r="E53" s="233"/>
      <c r="F53" s="298"/>
      <c r="G53" s="230">
        <f>'Прил.6 Расчет ОБ'!G28</f>
        <v>433431.78</v>
      </c>
      <c r="H53" s="299"/>
      <c r="I53" s="231"/>
      <c r="J53" s="230">
        <f>ROUND(G53*'Прил. 10'!D14,2)</f>
        <v>2713282.94</v>
      </c>
      <c r="K53" s="226"/>
      <c r="L53" s="226"/>
    </row>
    <row r="54" spans="1:12" s="14" customFormat="1" ht="14.25" customHeight="1" x14ac:dyDescent="0.2">
      <c r="A54" s="2"/>
      <c r="B54" s="356" t="s">
        <v>162</v>
      </c>
      <c r="C54" s="356"/>
      <c r="D54" s="362"/>
      <c r="E54" s="363"/>
      <c r="F54" s="364"/>
      <c r="G54" s="364"/>
      <c r="H54" s="365"/>
      <c r="I54" s="205"/>
      <c r="J54" s="205"/>
    </row>
    <row r="55" spans="1:12" s="14" customFormat="1" ht="14.25" customHeight="1" x14ac:dyDescent="0.2">
      <c r="A55" s="291"/>
      <c r="B55" s="351" t="s">
        <v>300</v>
      </c>
      <c r="C55" s="351"/>
      <c r="D55" s="352"/>
      <c r="E55" s="353"/>
      <c r="F55" s="354"/>
      <c r="G55" s="354"/>
      <c r="H55" s="355"/>
      <c r="I55" s="234"/>
      <c r="J55" s="234"/>
    </row>
    <row r="56" spans="1:12" s="14" customFormat="1" ht="14.25" customHeight="1" x14ac:dyDescent="0.2">
      <c r="A56" s="227">
        <v>28</v>
      </c>
      <c r="B56" s="227" t="s">
        <v>163</v>
      </c>
      <c r="C56" s="151" t="s">
        <v>164</v>
      </c>
      <c r="D56" s="227" t="s">
        <v>165</v>
      </c>
      <c r="E56" s="228">
        <v>0.40799999999999997</v>
      </c>
      <c r="F56" s="229">
        <v>8958.61</v>
      </c>
      <c r="G56" s="217">
        <f>ROUND(E56*F56,2)</f>
        <v>3655.11</v>
      </c>
      <c r="H56" s="220">
        <f t="shared" ref="H56:H91" si="5">G56/$G$91</f>
        <v>0.80601705044125616</v>
      </c>
      <c r="I56" s="209">
        <f>ROUND(F56*'Прил. 10'!$D$13,2)</f>
        <v>72027.22</v>
      </c>
      <c r="J56" s="209">
        <f>ROUND(I56*E56,2)</f>
        <v>29387.11</v>
      </c>
    </row>
    <row r="57" spans="1:12" s="14" customFormat="1" ht="14.25" customHeight="1" x14ac:dyDescent="0.2">
      <c r="A57" s="235"/>
      <c r="B57" s="236"/>
      <c r="C57" s="237" t="s">
        <v>301</v>
      </c>
      <c r="D57" s="238"/>
      <c r="E57" s="239"/>
      <c r="F57" s="240"/>
      <c r="G57" s="241">
        <f>SUM(G56)</f>
        <v>3655.11</v>
      </c>
      <c r="H57" s="220">
        <f t="shared" si="5"/>
        <v>0.80601705044125616</v>
      </c>
      <c r="I57" s="209"/>
      <c r="J57" s="241">
        <f>SUM(J56)</f>
        <v>29387.11</v>
      </c>
      <c r="K57" s="26"/>
      <c r="L57" s="26"/>
    </row>
    <row r="58" spans="1:12" s="14" customFormat="1" ht="14.25" customHeight="1" outlineLevel="1" x14ac:dyDescent="0.2">
      <c r="A58" s="227">
        <v>29</v>
      </c>
      <c r="B58" s="227" t="s">
        <v>166</v>
      </c>
      <c r="C58" s="151" t="s">
        <v>167</v>
      </c>
      <c r="D58" s="227" t="s">
        <v>168</v>
      </c>
      <c r="E58" s="228">
        <v>55.8</v>
      </c>
      <c r="F58" s="229">
        <v>4.16</v>
      </c>
      <c r="G58" s="217">
        <f t="shared" ref="G58:G89" si="6">ROUND(E58*F58,2)</f>
        <v>232.13</v>
      </c>
      <c r="H58" s="220">
        <f t="shared" si="5"/>
        <v>5.1188811805644364E-2</v>
      </c>
      <c r="I58" s="209">
        <f>ROUND(F58*'Прил. 10'!$D$13,2)</f>
        <v>33.450000000000003</v>
      </c>
      <c r="J58" s="209">
        <f t="shared" ref="J58:J89" si="7">ROUND(I58*E58,2)</f>
        <v>1866.51</v>
      </c>
    </row>
    <row r="59" spans="1:12" s="14" customFormat="1" ht="25.5" customHeight="1" outlineLevel="1" x14ac:dyDescent="0.2">
      <c r="A59" s="227">
        <v>30</v>
      </c>
      <c r="B59" s="227" t="s">
        <v>169</v>
      </c>
      <c r="C59" s="151" t="s">
        <v>170</v>
      </c>
      <c r="D59" s="227" t="s">
        <v>168</v>
      </c>
      <c r="E59" s="228">
        <v>12</v>
      </c>
      <c r="F59" s="229">
        <v>10.57</v>
      </c>
      <c r="G59" s="217">
        <f t="shared" si="6"/>
        <v>126.84</v>
      </c>
      <c r="H59" s="220">
        <f t="shared" si="5"/>
        <v>2.7970485889061869E-2</v>
      </c>
      <c r="I59" s="209">
        <f>ROUND(F59*'Прил. 10'!$D$13,2)</f>
        <v>84.98</v>
      </c>
      <c r="J59" s="209">
        <f t="shared" si="7"/>
        <v>1019.76</v>
      </c>
    </row>
    <row r="60" spans="1:12" s="14" customFormat="1" ht="25.5" customHeight="1" outlineLevel="1" x14ac:dyDescent="0.2">
      <c r="A60" s="227">
        <v>31</v>
      </c>
      <c r="B60" s="227" t="s">
        <v>171</v>
      </c>
      <c r="C60" s="151" t="s">
        <v>172</v>
      </c>
      <c r="D60" s="227" t="s">
        <v>173</v>
      </c>
      <c r="E60" s="228">
        <v>1.8599999999999998E-2</v>
      </c>
      <c r="F60" s="229">
        <v>6720</v>
      </c>
      <c r="G60" s="217">
        <f t="shared" si="6"/>
        <v>124.99</v>
      </c>
      <c r="H60" s="220">
        <f t="shared" si="5"/>
        <v>2.7562527840380345E-2</v>
      </c>
      <c r="I60" s="209">
        <f>ROUND(F60*'Прил. 10'!$D$13,2)</f>
        <v>54028.800000000003</v>
      </c>
      <c r="J60" s="209">
        <f t="shared" si="7"/>
        <v>1004.94</v>
      </c>
    </row>
    <row r="61" spans="1:12" s="14" customFormat="1" ht="14.25" customHeight="1" outlineLevel="1" x14ac:dyDescent="0.2">
      <c r="A61" s="227">
        <v>32</v>
      </c>
      <c r="B61" s="227" t="s">
        <v>174</v>
      </c>
      <c r="C61" s="151" t="s">
        <v>175</v>
      </c>
      <c r="D61" s="227" t="s">
        <v>168</v>
      </c>
      <c r="E61" s="228">
        <v>2.2000000000000002</v>
      </c>
      <c r="F61" s="229">
        <v>47.57</v>
      </c>
      <c r="G61" s="217">
        <f t="shared" si="6"/>
        <v>104.65</v>
      </c>
      <c r="H61" s="220">
        <f t="shared" si="5"/>
        <v>2.3077194483525108E-2</v>
      </c>
      <c r="I61" s="209">
        <f>ROUND(F61*'Прил. 10'!$D$13,2)</f>
        <v>382.46</v>
      </c>
      <c r="J61" s="209">
        <f t="shared" si="7"/>
        <v>841.41</v>
      </c>
    </row>
    <row r="62" spans="1:12" s="14" customFormat="1" ht="25.5" customHeight="1" outlineLevel="1" x14ac:dyDescent="0.2">
      <c r="A62" s="227">
        <v>33</v>
      </c>
      <c r="B62" s="227" t="s">
        <v>176</v>
      </c>
      <c r="C62" s="151" t="s">
        <v>177</v>
      </c>
      <c r="D62" s="227" t="s">
        <v>178</v>
      </c>
      <c r="E62" s="228">
        <v>1.6E-2</v>
      </c>
      <c r="F62" s="229">
        <v>4949.3999999999996</v>
      </c>
      <c r="G62" s="217">
        <f t="shared" si="6"/>
        <v>79.19</v>
      </c>
      <c r="H62" s="220">
        <f t="shared" si="5"/>
        <v>1.7462809662210733E-2</v>
      </c>
      <c r="I62" s="209">
        <f>ROUND(F62*'Прил. 10'!$D$13,2)</f>
        <v>39793.18</v>
      </c>
      <c r="J62" s="209">
        <f t="shared" si="7"/>
        <v>636.69000000000005</v>
      </c>
    </row>
    <row r="63" spans="1:12" s="14" customFormat="1" ht="25.5" customHeight="1" outlineLevel="1" x14ac:dyDescent="0.2">
      <c r="A63" s="227">
        <v>34</v>
      </c>
      <c r="B63" s="227" t="s">
        <v>179</v>
      </c>
      <c r="C63" s="151" t="s">
        <v>180</v>
      </c>
      <c r="D63" s="227" t="s">
        <v>181</v>
      </c>
      <c r="E63" s="228">
        <v>68.28</v>
      </c>
      <c r="F63" s="229">
        <v>1</v>
      </c>
      <c r="G63" s="217">
        <f t="shared" si="6"/>
        <v>68.28</v>
      </c>
      <c r="H63" s="220">
        <f t="shared" si="5"/>
        <v>1.5056959764310505E-2</v>
      </c>
      <c r="I63" s="209">
        <f>ROUND(F63*'Прил. 10'!$D$13,2)</f>
        <v>8.0399999999999991</v>
      </c>
      <c r="J63" s="209">
        <f t="shared" si="7"/>
        <v>548.97</v>
      </c>
    </row>
    <row r="64" spans="1:12" s="14" customFormat="1" ht="25.5" customHeight="1" outlineLevel="1" x14ac:dyDescent="0.2">
      <c r="A64" s="227">
        <v>35</v>
      </c>
      <c r="B64" s="227" t="s">
        <v>182</v>
      </c>
      <c r="C64" s="151" t="s">
        <v>183</v>
      </c>
      <c r="D64" s="227" t="s">
        <v>173</v>
      </c>
      <c r="E64" s="228">
        <v>2.32E-3</v>
      </c>
      <c r="F64" s="229">
        <v>12430</v>
      </c>
      <c r="G64" s="217">
        <f t="shared" si="6"/>
        <v>28.84</v>
      </c>
      <c r="H64" s="220">
        <f t="shared" si="5"/>
        <v>6.3597352021487249E-3</v>
      </c>
      <c r="I64" s="209">
        <f>ROUND(F64*'Прил. 10'!$D$13,2)</f>
        <v>99937.2</v>
      </c>
      <c r="J64" s="209">
        <f t="shared" si="7"/>
        <v>231.85</v>
      </c>
    </row>
    <row r="65" spans="1:10" s="14" customFormat="1" ht="14.25" customHeight="1" outlineLevel="1" x14ac:dyDescent="0.2">
      <c r="A65" s="227">
        <v>36</v>
      </c>
      <c r="B65" s="227" t="s">
        <v>184</v>
      </c>
      <c r="C65" s="151" t="s">
        <v>185</v>
      </c>
      <c r="D65" s="227" t="s">
        <v>186</v>
      </c>
      <c r="E65" s="228">
        <v>0.1</v>
      </c>
      <c r="F65" s="229">
        <v>203</v>
      </c>
      <c r="G65" s="217">
        <f t="shared" si="6"/>
        <v>20.3</v>
      </c>
      <c r="H65" s="220">
        <f t="shared" si="5"/>
        <v>4.4765126422891518E-3</v>
      </c>
      <c r="I65" s="209">
        <f>ROUND(F65*'Прил. 10'!$D$13,2)</f>
        <v>1632.12</v>
      </c>
      <c r="J65" s="209">
        <f t="shared" si="7"/>
        <v>163.21</v>
      </c>
    </row>
    <row r="66" spans="1:10" s="14" customFormat="1" ht="25.5" customHeight="1" outlineLevel="1" x14ac:dyDescent="0.2">
      <c r="A66" s="227">
        <v>37</v>
      </c>
      <c r="B66" s="227" t="s">
        <v>187</v>
      </c>
      <c r="C66" s="151" t="s">
        <v>188</v>
      </c>
      <c r="D66" s="227" t="s">
        <v>168</v>
      </c>
      <c r="E66" s="228">
        <v>0.31</v>
      </c>
      <c r="F66" s="229">
        <v>38.89</v>
      </c>
      <c r="G66" s="217">
        <f t="shared" si="6"/>
        <v>12.06</v>
      </c>
      <c r="H66" s="220">
        <f t="shared" si="5"/>
        <v>2.6594454416752297E-3</v>
      </c>
      <c r="I66" s="209">
        <f>ROUND(F66*'Прил. 10'!$D$13,2)</f>
        <v>312.68</v>
      </c>
      <c r="J66" s="209">
        <f t="shared" si="7"/>
        <v>96.93</v>
      </c>
    </row>
    <row r="67" spans="1:10" s="14" customFormat="1" ht="14.25" customHeight="1" outlineLevel="1" x14ac:dyDescent="0.2">
      <c r="A67" s="227">
        <v>38</v>
      </c>
      <c r="B67" s="227" t="s">
        <v>189</v>
      </c>
      <c r="C67" s="151" t="s">
        <v>190</v>
      </c>
      <c r="D67" s="227" t="s">
        <v>168</v>
      </c>
      <c r="E67" s="228">
        <v>0.4</v>
      </c>
      <c r="F67" s="229">
        <v>28.6</v>
      </c>
      <c r="G67" s="217">
        <f t="shared" si="6"/>
        <v>11.44</v>
      </c>
      <c r="H67" s="220">
        <f t="shared" si="5"/>
        <v>2.5227243659008813E-3</v>
      </c>
      <c r="I67" s="209">
        <f>ROUND(F67*'Прил. 10'!$D$13,2)</f>
        <v>229.94</v>
      </c>
      <c r="J67" s="209">
        <f t="shared" si="7"/>
        <v>91.98</v>
      </c>
    </row>
    <row r="68" spans="1:10" s="14" customFormat="1" ht="14.25" customHeight="1" outlineLevel="1" x14ac:dyDescent="0.2">
      <c r="A68" s="227">
        <v>39</v>
      </c>
      <c r="B68" s="227" t="s">
        <v>191</v>
      </c>
      <c r="C68" s="151" t="s">
        <v>192</v>
      </c>
      <c r="D68" s="227" t="s">
        <v>186</v>
      </c>
      <c r="E68" s="228">
        <v>0.1</v>
      </c>
      <c r="F68" s="229">
        <v>86</v>
      </c>
      <c r="G68" s="217">
        <f t="shared" si="6"/>
        <v>8.6</v>
      </c>
      <c r="H68" s="220">
        <f t="shared" si="5"/>
        <v>1.8964536317087044E-3</v>
      </c>
      <c r="I68" s="209">
        <f>ROUND(F68*'Прил. 10'!$D$13,2)</f>
        <v>691.44</v>
      </c>
      <c r="J68" s="209">
        <f t="shared" si="7"/>
        <v>69.14</v>
      </c>
    </row>
    <row r="69" spans="1:10" s="14" customFormat="1" ht="25.5" customHeight="1" outlineLevel="1" x14ac:dyDescent="0.2">
      <c r="A69" s="227">
        <v>40</v>
      </c>
      <c r="B69" s="227" t="s">
        <v>193</v>
      </c>
      <c r="C69" s="151" t="s">
        <v>194</v>
      </c>
      <c r="D69" s="227" t="s">
        <v>186</v>
      </c>
      <c r="E69" s="228">
        <v>0.1</v>
      </c>
      <c r="F69" s="229">
        <v>83</v>
      </c>
      <c r="G69" s="217">
        <f t="shared" si="6"/>
        <v>8.3000000000000007</v>
      </c>
      <c r="H69" s="220">
        <f t="shared" si="5"/>
        <v>1.8302982724630521E-3</v>
      </c>
      <c r="I69" s="209">
        <f>ROUND(F69*'Прил. 10'!$D$13,2)</f>
        <v>667.32</v>
      </c>
      <c r="J69" s="209">
        <f t="shared" si="7"/>
        <v>66.73</v>
      </c>
    </row>
    <row r="70" spans="1:10" s="14" customFormat="1" ht="14.25" customHeight="1" outlineLevel="1" x14ac:dyDescent="0.2">
      <c r="A70" s="227">
        <v>41</v>
      </c>
      <c r="B70" s="227" t="s">
        <v>195</v>
      </c>
      <c r="C70" s="151" t="s">
        <v>196</v>
      </c>
      <c r="D70" s="227" t="s">
        <v>197</v>
      </c>
      <c r="E70" s="228">
        <v>0.9</v>
      </c>
      <c r="F70" s="229">
        <v>8.33</v>
      </c>
      <c r="G70" s="217">
        <f t="shared" si="6"/>
        <v>7.5</v>
      </c>
      <c r="H70" s="220">
        <f t="shared" si="5"/>
        <v>1.6538839811413119E-3</v>
      </c>
      <c r="I70" s="209">
        <f>ROUND(F70*'Прил. 10'!$D$13,2)</f>
        <v>66.97</v>
      </c>
      <c r="J70" s="209">
        <f t="shared" si="7"/>
        <v>60.27</v>
      </c>
    </row>
    <row r="71" spans="1:10" s="14" customFormat="1" ht="14.25" customHeight="1" outlineLevel="1" x14ac:dyDescent="0.2">
      <c r="A71" s="227">
        <v>42</v>
      </c>
      <c r="B71" s="227" t="s">
        <v>198</v>
      </c>
      <c r="C71" s="151" t="s">
        <v>199</v>
      </c>
      <c r="D71" s="227" t="s">
        <v>165</v>
      </c>
      <c r="E71" s="228">
        <v>6.9999999999999999E-4</v>
      </c>
      <c r="F71" s="229">
        <v>10534.99</v>
      </c>
      <c r="G71" s="217">
        <f t="shared" si="6"/>
        <v>7.37</v>
      </c>
      <c r="H71" s="220">
        <f t="shared" si="5"/>
        <v>1.6252166588015292E-3</v>
      </c>
      <c r="I71" s="209">
        <f>ROUND(F71*'Прил. 10'!$D$13,2)</f>
        <v>84701.32</v>
      </c>
      <c r="J71" s="209">
        <f t="shared" si="7"/>
        <v>59.29</v>
      </c>
    </row>
    <row r="72" spans="1:10" s="14" customFormat="1" ht="14.25" customHeight="1" outlineLevel="1" x14ac:dyDescent="0.2">
      <c r="A72" s="227">
        <v>43</v>
      </c>
      <c r="B72" s="227" t="s">
        <v>200</v>
      </c>
      <c r="C72" s="151" t="s">
        <v>201</v>
      </c>
      <c r="D72" s="227" t="s">
        <v>173</v>
      </c>
      <c r="E72" s="228">
        <v>1.4999999999999999E-4</v>
      </c>
      <c r="F72" s="229">
        <v>41210</v>
      </c>
      <c r="G72" s="217">
        <f t="shared" si="6"/>
        <v>6.18</v>
      </c>
      <c r="H72" s="220">
        <f t="shared" si="5"/>
        <v>1.362800400460441E-3</v>
      </c>
      <c r="I72" s="209">
        <f>ROUND(F72*'Прил. 10'!$D$13,2)</f>
        <v>331328.40000000002</v>
      </c>
      <c r="J72" s="209">
        <f t="shared" si="7"/>
        <v>49.7</v>
      </c>
    </row>
    <row r="73" spans="1:10" s="14" customFormat="1" ht="14.25" customHeight="1" outlineLevel="1" x14ac:dyDescent="0.2">
      <c r="A73" s="227">
        <v>44</v>
      </c>
      <c r="B73" s="227" t="s">
        <v>202</v>
      </c>
      <c r="C73" s="151" t="s">
        <v>203</v>
      </c>
      <c r="D73" s="227" t="s">
        <v>204</v>
      </c>
      <c r="E73" s="228">
        <v>0.2</v>
      </c>
      <c r="F73" s="229">
        <v>29.75</v>
      </c>
      <c r="G73" s="217">
        <f t="shared" si="6"/>
        <v>5.95</v>
      </c>
      <c r="H73" s="220">
        <f t="shared" si="5"/>
        <v>1.3120812917054409E-3</v>
      </c>
      <c r="I73" s="209">
        <f>ROUND(F73*'Прил. 10'!$D$13,2)</f>
        <v>239.19</v>
      </c>
      <c r="J73" s="209">
        <f t="shared" si="7"/>
        <v>47.84</v>
      </c>
    </row>
    <row r="74" spans="1:10" s="14" customFormat="1" ht="25.5" customHeight="1" outlineLevel="1" x14ac:dyDescent="0.2">
      <c r="A74" s="227">
        <v>45</v>
      </c>
      <c r="B74" s="227" t="s">
        <v>205</v>
      </c>
      <c r="C74" s="151" t="s">
        <v>206</v>
      </c>
      <c r="D74" s="227" t="s">
        <v>173</v>
      </c>
      <c r="E74" s="228">
        <v>6.3E-5</v>
      </c>
      <c r="F74" s="229">
        <v>65750</v>
      </c>
      <c r="G74" s="217">
        <f t="shared" si="6"/>
        <v>4.1399999999999997</v>
      </c>
      <c r="H74" s="220">
        <f t="shared" si="5"/>
        <v>9.1294395759000419E-4</v>
      </c>
      <c r="I74" s="209">
        <f>ROUND(F74*'Прил. 10'!$D$13,2)</f>
        <v>528630</v>
      </c>
      <c r="J74" s="209">
        <f t="shared" si="7"/>
        <v>33.299999999999997</v>
      </c>
    </row>
    <row r="75" spans="1:10" s="14" customFormat="1" ht="25.5" customHeight="1" outlineLevel="1" x14ac:dyDescent="0.2">
      <c r="A75" s="227">
        <v>46</v>
      </c>
      <c r="B75" s="227" t="s">
        <v>207</v>
      </c>
      <c r="C75" s="151" t="s">
        <v>208</v>
      </c>
      <c r="D75" s="227" t="s">
        <v>168</v>
      </c>
      <c r="E75" s="228">
        <v>0.14000000000000001</v>
      </c>
      <c r="F75" s="229">
        <v>28.22</v>
      </c>
      <c r="G75" s="217">
        <f t="shared" si="6"/>
        <v>3.95</v>
      </c>
      <c r="H75" s="220">
        <f t="shared" si="5"/>
        <v>8.7104556340109106E-4</v>
      </c>
      <c r="I75" s="209">
        <f>ROUND(F75*'Прил. 10'!$D$13,2)</f>
        <v>226.89</v>
      </c>
      <c r="J75" s="209">
        <f t="shared" si="7"/>
        <v>31.76</v>
      </c>
    </row>
    <row r="76" spans="1:10" s="14" customFormat="1" ht="38.25" customHeight="1" outlineLevel="1" x14ac:dyDescent="0.2">
      <c r="A76" s="227">
        <v>47</v>
      </c>
      <c r="B76" s="227" t="s">
        <v>209</v>
      </c>
      <c r="C76" s="151" t="s">
        <v>210</v>
      </c>
      <c r="D76" s="227" t="s">
        <v>173</v>
      </c>
      <c r="E76" s="228">
        <v>1E-4</v>
      </c>
      <c r="F76" s="229">
        <v>37517</v>
      </c>
      <c r="G76" s="217">
        <f t="shared" si="6"/>
        <v>3.75</v>
      </c>
      <c r="H76" s="220">
        <f t="shared" si="5"/>
        <v>8.2694199057065597E-4</v>
      </c>
      <c r="I76" s="209">
        <f>ROUND(F76*'Прил. 10'!$D$13,2)</f>
        <v>301636.68</v>
      </c>
      <c r="J76" s="209">
        <f t="shared" si="7"/>
        <v>30.16</v>
      </c>
    </row>
    <row r="77" spans="1:10" s="14" customFormat="1" ht="25.5" customHeight="1" outlineLevel="1" x14ac:dyDescent="0.2">
      <c r="A77" s="227">
        <v>48</v>
      </c>
      <c r="B77" s="227" t="s">
        <v>211</v>
      </c>
      <c r="C77" s="151" t="s">
        <v>212</v>
      </c>
      <c r="D77" s="227" t="s">
        <v>168</v>
      </c>
      <c r="E77" s="228">
        <v>0.08</v>
      </c>
      <c r="F77" s="229">
        <v>38.340000000000003</v>
      </c>
      <c r="G77" s="217">
        <f t="shared" si="6"/>
        <v>3.07</v>
      </c>
      <c r="H77" s="220">
        <f t="shared" si="5"/>
        <v>6.7698984294717703E-4</v>
      </c>
      <c r="I77" s="209">
        <f>ROUND(F77*'Прил. 10'!$D$13,2)</f>
        <v>308.25</v>
      </c>
      <c r="J77" s="209">
        <f t="shared" si="7"/>
        <v>24.66</v>
      </c>
    </row>
    <row r="78" spans="1:10" s="14" customFormat="1" ht="14.25" customHeight="1" outlineLevel="1" x14ac:dyDescent="0.2">
      <c r="A78" s="227">
        <v>49</v>
      </c>
      <c r="B78" s="227" t="s">
        <v>213</v>
      </c>
      <c r="C78" s="151" t="s">
        <v>214</v>
      </c>
      <c r="D78" s="227" t="s">
        <v>173</v>
      </c>
      <c r="E78" s="228">
        <v>5.1000000000000004E-4</v>
      </c>
      <c r="F78" s="229">
        <v>5850</v>
      </c>
      <c r="G78" s="217">
        <f t="shared" si="6"/>
        <v>2.98</v>
      </c>
      <c r="H78" s="220">
        <f t="shared" si="5"/>
        <v>6.5714323517348128E-4</v>
      </c>
      <c r="I78" s="209">
        <f>ROUND(F78*'Прил. 10'!$D$13,2)</f>
        <v>47034</v>
      </c>
      <c r="J78" s="209">
        <f t="shared" si="7"/>
        <v>23.99</v>
      </c>
    </row>
    <row r="79" spans="1:10" s="14" customFormat="1" ht="14.25" customHeight="1" outlineLevel="1" x14ac:dyDescent="0.2">
      <c r="A79" s="227">
        <v>50</v>
      </c>
      <c r="B79" s="227" t="s">
        <v>215</v>
      </c>
      <c r="C79" s="151" t="s">
        <v>216</v>
      </c>
      <c r="D79" s="227" t="s">
        <v>168</v>
      </c>
      <c r="E79" s="228">
        <v>0.3</v>
      </c>
      <c r="F79" s="229">
        <v>9.0399999999999991</v>
      </c>
      <c r="G79" s="217">
        <f t="shared" si="6"/>
        <v>2.71</v>
      </c>
      <c r="H79" s="220">
        <f t="shared" si="5"/>
        <v>5.9760341185239403E-4</v>
      </c>
      <c r="I79" s="209">
        <f>ROUND(F79*'Прил. 10'!$D$13,2)</f>
        <v>72.680000000000007</v>
      </c>
      <c r="J79" s="209">
        <f t="shared" si="7"/>
        <v>21.8</v>
      </c>
    </row>
    <row r="80" spans="1:10" s="14" customFormat="1" ht="38.25" customHeight="1" outlineLevel="1" x14ac:dyDescent="0.2">
      <c r="A80" s="227">
        <v>51</v>
      </c>
      <c r="B80" s="227" t="s">
        <v>217</v>
      </c>
      <c r="C80" s="151" t="s">
        <v>218</v>
      </c>
      <c r="D80" s="227" t="s">
        <v>168</v>
      </c>
      <c r="E80" s="228">
        <v>0.02</v>
      </c>
      <c r="F80" s="229">
        <v>91.29</v>
      </c>
      <c r="G80" s="217">
        <f t="shared" si="6"/>
        <v>1.83</v>
      </c>
      <c r="H80" s="220">
        <f t="shared" si="5"/>
        <v>4.0354769139848017E-4</v>
      </c>
      <c r="I80" s="209">
        <f>ROUND(F80*'Прил. 10'!$D$13,2)</f>
        <v>733.97</v>
      </c>
      <c r="J80" s="209">
        <f t="shared" si="7"/>
        <v>14.68</v>
      </c>
    </row>
    <row r="81" spans="1:10" s="14" customFormat="1" ht="38.25" customHeight="1" outlineLevel="1" x14ac:dyDescent="0.2">
      <c r="A81" s="227">
        <v>52</v>
      </c>
      <c r="B81" s="227" t="s">
        <v>219</v>
      </c>
      <c r="C81" s="151" t="s">
        <v>220</v>
      </c>
      <c r="D81" s="227" t="s">
        <v>178</v>
      </c>
      <c r="E81" s="228">
        <v>2E-3</v>
      </c>
      <c r="F81" s="229">
        <v>542.1</v>
      </c>
      <c r="G81" s="217">
        <f t="shared" si="6"/>
        <v>1.08</v>
      </c>
      <c r="H81" s="220">
        <f t="shared" si="5"/>
        <v>2.3815929328434895E-4</v>
      </c>
      <c r="I81" s="209">
        <f>ROUND(F81*'Прил. 10'!$D$13,2)</f>
        <v>4358.4799999999996</v>
      </c>
      <c r="J81" s="209">
        <f t="shared" si="7"/>
        <v>8.7200000000000006</v>
      </c>
    </row>
    <row r="82" spans="1:10" s="14" customFormat="1" ht="14.25" customHeight="1" outlineLevel="1" x14ac:dyDescent="0.2">
      <c r="A82" s="227">
        <v>53</v>
      </c>
      <c r="B82" s="227" t="s">
        <v>221</v>
      </c>
      <c r="C82" s="151" t="s">
        <v>222</v>
      </c>
      <c r="D82" s="227" t="s">
        <v>168</v>
      </c>
      <c r="E82" s="228">
        <v>0.03</v>
      </c>
      <c r="F82" s="229">
        <v>35.630000000000003</v>
      </c>
      <c r="G82" s="217">
        <f t="shared" si="6"/>
        <v>1.07</v>
      </c>
      <c r="H82" s="220">
        <f t="shared" si="5"/>
        <v>2.3595411464282718E-4</v>
      </c>
      <c r="I82" s="209">
        <f>ROUND(F82*'Прил. 10'!$D$13,2)</f>
        <v>286.47000000000003</v>
      </c>
      <c r="J82" s="209">
        <f t="shared" si="7"/>
        <v>8.59</v>
      </c>
    </row>
    <row r="83" spans="1:10" s="14" customFormat="1" ht="14.25" customHeight="1" outlineLevel="1" x14ac:dyDescent="0.2">
      <c r="A83" s="227">
        <v>54</v>
      </c>
      <c r="B83" s="227" t="s">
        <v>223</v>
      </c>
      <c r="C83" s="151" t="s">
        <v>224</v>
      </c>
      <c r="D83" s="227" t="s">
        <v>168</v>
      </c>
      <c r="E83" s="228">
        <v>0.05</v>
      </c>
      <c r="F83" s="229">
        <v>16.95</v>
      </c>
      <c r="G83" s="217">
        <f t="shared" si="6"/>
        <v>0.85</v>
      </c>
      <c r="H83" s="220">
        <f t="shared" si="5"/>
        <v>1.8744018452934868E-4</v>
      </c>
      <c r="I83" s="209">
        <f>ROUND(F83*'Прил. 10'!$D$13,2)</f>
        <v>136.28</v>
      </c>
      <c r="J83" s="209">
        <f t="shared" si="7"/>
        <v>6.81</v>
      </c>
    </row>
    <row r="84" spans="1:10" s="14" customFormat="1" ht="14.25" customHeight="1" outlineLevel="1" x14ac:dyDescent="0.2">
      <c r="A84" s="227">
        <v>55</v>
      </c>
      <c r="B84" s="227" t="s">
        <v>225</v>
      </c>
      <c r="C84" s="151" t="s">
        <v>226</v>
      </c>
      <c r="D84" s="227" t="s">
        <v>173</v>
      </c>
      <c r="E84" s="228">
        <v>4.0000000000000003E-5</v>
      </c>
      <c r="F84" s="229">
        <v>12430</v>
      </c>
      <c r="G84" s="217">
        <f t="shared" si="6"/>
        <v>0.5</v>
      </c>
      <c r="H84" s="220">
        <f t="shared" si="5"/>
        <v>1.1025893207608747E-4</v>
      </c>
      <c r="I84" s="209">
        <f>ROUND(F84*'Прил. 10'!$D$13,2)</f>
        <v>99937.2</v>
      </c>
      <c r="J84" s="209">
        <f t="shared" si="7"/>
        <v>4</v>
      </c>
    </row>
    <row r="85" spans="1:10" s="14" customFormat="1" ht="25.5" customHeight="1" outlineLevel="1" x14ac:dyDescent="0.2">
      <c r="A85" s="227">
        <v>56</v>
      </c>
      <c r="B85" s="227" t="s">
        <v>227</v>
      </c>
      <c r="C85" s="151" t="s">
        <v>228</v>
      </c>
      <c r="D85" s="227" t="s">
        <v>173</v>
      </c>
      <c r="E85" s="228">
        <v>2.0000000000000002E-5</v>
      </c>
      <c r="F85" s="229">
        <v>15481</v>
      </c>
      <c r="G85" s="217">
        <f t="shared" si="6"/>
        <v>0.31</v>
      </c>
      <c r="H85" s="220">
        <f t="shared" si="5"/>
        <v>6.836053788717423E-5</v>
      </c>
      <c r="I85" s="209">
        <f>ROUND(F85*'Прил. 10'!$D$13,2)</f>
        <v>124467.24</v>
      </c>
      <c r="J85" s="209">
        <f t="shared" si="7"/>
        <v>2.4900000000000002</v>
      </c>
    </row>
    <row r="86" spans="1:10" s="14" customFormat="1" ht="14.25" customHeight="1" outlineLevel="1" x14ac:dyDescent="0.2">
      <c r="A86" s="227">
        <v>57</v>
      </c>
      <c r="B86" s="227" t="s">
        <v>229</v>
      </c>
      <c r="C86" s="151" t="s">
        <v>230</v>
      </c>
      <c r="D86" s="227" t="s">
        <v>168</v>
      </c>
      <c r="E86" s="228">
        <v>0.02</v>
      </c>
      <c r="F86" s="229">
        <v>15.37</v>
      </c>
      <c r="G86" s="217">
        <f t="shared" si="6"/>
        <v>0.31</v>
      </c>
      <c r="H86" s="220">
        <f t="shared" si="5"/>
        <v>6.836053788717423E-5</v>
      </c>
      <c r="I86" s="209">
        <f>ROUND(F86*'Прил. 10'!$D$13,2)</f>
        <v>123.57</v>
      </c>
      <c r="J86" s="209">
        <f t="shared" si="7"/>
        <v>2.4700000000000002</v>
      </c>
    </row>
    <row r="87" spans="1:10" s="14" customFormat="1" ht="14.25" customHeight="1" outlineLevel="1" x14ac:dyDescent="0.2">
      <c r="A87" s="227">
        <v>58</v>
      </c>
      <c r="B87" s="227" t="s">
        <v>231</v>
      </c>
      <c r="C87" s="151" t="s">
        <v>232</v>
      </c>
      <c r="D87" s="227" t="s">
        <v>168</v>
      </c>
      <c r="E87" s="228">
        <v>0.01</v>
      </c>
      <c r="F87" s="229">
        <v>27.74</v>
      </c>
      <c r="G87" s="217">
        <f t="shared" si="6"/>
        <v>0.28000000000000003</v>
      </c>
      <c r="H87" s="220">
        <f t="shared" si="5"/>
        <v>6.1745001962608989E-5</v>
      </c>
      <c r="I87" s="209">
        <f>ROUND(F87*'Прил. 10'!$D$13,2)</f>
        <v>223.03</v>
      </c>
      <c r="J87" s="209">
        <f t="shared" si="7"/>
        <v>2.23</v>
      </c>
    </row>
    <row r="88" spans="1:10" s="14" customFormat="1" ht="14.25" customHeight="1" outlineLevel="1" x14ac:dyDescent="0.2">
      <c r="A88" s="227">
        <v>59</v>
      </c>
      <c r="B88" s="227" t="s">
        <v>233</v>
      </c>
      <c r="C88" s="151" t="s">
        <v>234</v>
      </c>
      <c r="D88" s="227" t="s">
        <v>173</v>
      </c>
      <c r="E88" s="228">
        <v>2.9999999999999997E-4</v>
      </c>
      <c r="F88" s="229">
        <v>729.98</v>
      </c>
      <c r="G88" s="217">
        <f t="shared" si="6"/>
        <v>0.22</v>
      </c>
      <c r="H88" s="220">
        <f t="shared" si="5"/>
        <v>4.8513930113478486E-5</v>
      </c>
      <c r="I88" s="209">
        <f>ROUND(F88*'Прил. 10'!$D$13,2)</f>
        <v>5869.04</v>
      </c>
      <c r="J88" s="209">
        <f t="shared" si="7"/>
        <v>1.76</v>
      </c>
    </row>
    <row r="89" spans="1:10" s="14" customFormat="1" ht="14.25" customHeight="1" outlineLevel="1" x14ac:dyDescent="0.2">
      <c r="A89" s="227">
        <v>60</v>
      </c>
      <c r="B89" s="227" t="s">
        <v>235</v>
      </c>
      <c r="C89" s="151" t="s">
        <v>236</v>
      </c>
      <c r="D89" s="227" t="s">
        <v>173</v>
      </c>
      <c r="E89" s="228">
        <v>0.14099999999999999</v>
      </c>
      <c r="F89" s="229"/>
      <c r="G89" s="217">
        <f t="shared" si="6"/>
        <v>0</v>
      </c>
      <c r="H89" s="220">
        <f t="shared" si="5"/>
        <v>0</v>
      </c>
      <c r="I89" s="209">
        <f>ROUND(F89*'Прил. 10'!$D$13,2)</f>
        <v>0</v>
      </c>
      <c r="J89" s="209">
        <f t="shared" si="7"/>
        <v>0</v>
      </c>
    </row>
    <row r="90" spans="1:10" s="14" customFormat="1" ht="14.25" customHeight="1" x14ac:dyDescent="0.2">
      <c r="A90" s="2"/>
      <c r="B90" s="2"/>
      <c r="C90" s="9" t="s">
        <v>302</v>
      </c>
      <c r="D90" s="2"/>
      <c r="E90" s="293"/>
      <c r="F90" s="294"/>
      <c r="G90" s="29">
        <f>SUM(G58:G89)</f>
        <v>879.67000000000007</v>
      </c>
      <c r="H90" s="220">
        <f t="shared" si="5"/>
        <v>0.19398294955874373</v>
      </c>
      <c r="I90" s="29"/>
      <c r="J90" s="29">
        <f>SUM(J58:J89)</f>
        <v>7072.6400000000012</v>
      </c>
    </row>
    <row r="91" spans="1:10" s="14" customFormat="1" ht="14.25" customHeight="1" x14ac:dyDescent="0.2">
      <c r="A91" s="2"/>
      <c r="B91" s="2"/>
      <c r="C91" s="292" t="s">
        <v>303</v>
      </c>
      <c r="D91" s="2"/>
      <c r="E91" s="293"/>
      <c r="F91" s="294"/>
      <c r="G91" s="29">
        <f>G57+G90</f>
        <v>4534.7800000000007</v>
      </c>
      <c r="H91" s="295">
        <f t="shared" si="5"/>
        <v>1</v>
      </c>
      <c r="I91" s="29"/>
      <c r="J91" s="29">
        <f>J57+J90</f>
        <v>36459.75</v>
      </c>
    </row>
    <row r="92" spans="1:10" s="14" customFormat="1" ht="14.25" customHeight="1" x14ac:dyDescent="0.2">
      <c r="A92" s="2"/>
      <c r="B92" s="2"/>
      <c r="C92" s="9" t="s">
        <v>304</v>
      </c>
      <c r="D92" s="2"/>
      <c r="E92" s="293"/>
      <c r="F92" s="294"/>
      <c r="G92" s="29">
        <f>G17+G31+G91</f>
        <v>8858.3000000000011</v>
      </c>
      <c r="H92" s="295"/>
      <c r="I92" s="29"/>
      <c r="J92" s="29">
        <f>J17+J31+J91</f>
        <v>204551.65999999997</v>
      </c>
    </row>
    <row r="93" spans="1:10" s="14" customFormat="1" ht="14.25" customHeight="1" x14ac:dyDescent="0.2">
      <c r="A93" s="2"/>
      <c r="B93" s="2"/>
      <c r="C93" s="9" t="s">
        <v>305</v>
      </c>
      <c r="D93" s="242">
        <f>ROUND(G93/(G$19+$G$17),2)</f>
        <v>0.92</v>
      </c>
      <c r="E93" s="293"/>
      <c r="F93" s="294"/>
      <c r="G93" s="29">
        <f>1133.12+2104.62</f>
        <v>3237.74</v>
      </c>
      <c r="H93" s="295"/>
      <c r="I93" s="29"/>
      <c r="J93" s="209">
        <f>ROUND(D93*(J17+J19),2)</f>
        <v>146656.6</v>
      </c>
    </row>
    <row r="94" spans="1:10" s="14" customFormat="1" ht="14.25" customHeight="1" x14ac:dyDescent="0.2">
      <c r="A94" s="2"/>
      <c r="B94" s="2"/>
      <c r="C94" s="9" t="s">
        <v>306</v>
      </c>
      <c r="D94" s="242">
        <f>ROUND(G94/(G$17+G$19),2)</f>
        <v>0.48</v>
      </c>
      <c r="E94" s="293"/>
      <c r="F94" s="294"/>
      <c r="G94" s="29">
        <f>595.76+1078.64</f>
        <v>1674.4</v>
      </c>
      <c r="H94" s="295"/>
      <c r="I94" s="29"/>
      <c r="J94" s="209">
        <f>ROUND(D94*(J17+J19),2)</f>
        <v>76516.490000000005</v>
      </c>
    </row>
    <row r="95" spans="1:10" s="14" customFormat="1" ht="14.25" customHeight="1" x14ac:dyDescent="0.2">
      <c r="A95" s="2"/>
      <c r="B95" s="2"/>
      <c r="C95" s="9" t="s">
        <v>307</v>
      </c>
      <c r="D95" s="2"/>
      <c r="E95" s="293"/>
      <c r="F95" s="294"/>
      <c r="G95" s="29">
        <f>G17+G31+G91+G93+G94</f>
        <v>13770.44</v>
      </c>
      <c r="H95" s="295"/>
      <c r="I95" s="29"/>
      <c r="J95" s="29">
        <f>J17+J31+J91+J93+J94</f>
        <v>427724.75</v>
      </c>
    </row>
    <row r="96" spans="1:10" s="14" customFormat="1" ht="14.25" customHeight="1" x14ac:dyDescent="0.2">
      <c r="A96" s="2"/>
      <c r="B96" s="2"/>
      <c r="C96" s="9" t="s">
        <v>308</v>
      </c>
      <c r="D96" s="2"/>
      <c r="E96" s="293"/>
      <c r="F96" s="294"/>
      <c r="G96" s="29">
        <f>G95+G52</f>
        <v>447202.22</v>
      </c>
      <c r="H96" s="295"/>
      <c r="I96" s="29"/>
      <c r="J96" s="29">
        <f>J95+J52</f>
        <v>3141007.7</v>
      </c>
    </row>
    <row r="97" spans="1:10" s="14" customFormat="1" ht="34.5" customHeight="1" x14ac:dyDescent="0.2">
      <c r="A97" s="2"/>
      <c r="B97" s="2"/>
      <c r="C97" s="9" t="s">
        <v>273</v>
      </c>
      <c r="D97" s="2" t="s">
        <v>481</v>
      </c>
      <c r="E97" s="305">
        <v>1</v>
      </c>
      <c r="F97" s="294"/>
      <c r="G97" s="29">
        <f>G96/E97</f>
        <v>447202.22</v>
      </c>
      <c r="H97" s="295"/>
      <c r="I97" s="29"/>
      <c r="J97" s="29">
        <f>J96/E97</f>
        <v>3141007.7</v>
      </c>
    </row>
    <row r="99" spans="1:10" s="14" customFormat="1" ht="14.25" customHeight="1" x14ac:dyDescent="0.2">
      <c r="A99" s="4" t="s">
        <v>309</v>
      </c>
    </row>
    <row r="100" spans="1:10" s="14" customFormat="1" ht="14.25" customHeight="1" x14ac:dyDescent="0.2">
      <c r="A100" s="243" t="s">
        <v>68</v>
      </c>
    </row>
    <row r="101" spans="1:10" s="14" customFormat="1" ht="14.25" customHeight="1" x14ac:dyDescent="0.2">
      <c r="A101" s="4"/>
    </row>
    <row r="102" spans="1:10" s="14" customFormat="1" ht="14.25" customHeight="1" x14ac:dyDescent="0.2">
      <c r="A102" s="4" t="s">
        <v>310</v>
      </c>
    </row>
    <row r="103" spans="1:10" s="14" customFormat="1" ht="14.25" customHeight="1" x14ac:dyDescent="0.2">
      <c r="A103" s="243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55:H55"/>
    <mergeCell ref="B13:H13"/>
    <mergeCell ref="B18:H18"/>
    <mergeCell ref="B20:H20"/>
    <mergeCell ref="B21:H21"/>
    <mergeCell ref="B33:H33"/>
    <mergeCell ref="B32:H32"/>
    <mergeCell ref="B54:H54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workbookViewId="0">
      <selection activeCell="G28" sqref="G2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1" t="s">
        <v>311</v>
      </c>
      <c r="B1" s="371"/>
      <c r="C1" s="371"/>
      <c r="D1" s="371"/>
      <c r="E1" s="371"/>
      <c r="F1" s="371"/>
      <c r="G1" s="371"/>
    </row>
    <row r="2" spans="1:7" ht="21.75" customHeight="1" x14ac:dyDescent="0.25">
      <c r="A2" s="300"/>
      <c r="B2" s="300"/>
      <c r="C2" s="300"/>
      <c r="D2" s="300"/>
      <c r="E2" s="300"/>
      <c r="F2" s="300"/>
      <c r="G2" s="300"/>
    </row>
    <row r="3" spans="1:7" x14ac:dyDescent="0.25">
      <c r="A3" s="328" t="s">
        <v>312</v>
      </c>
      <c r="B3" s="328"/>
      <c r="C3" s="328"/>
      <c r="D3" s="328"/>
      <c r="E3" s="328"/>
      <c r="F3" s="328"/>
      <c r="G3" s="328"/>
    </row>
    <row r="4" spans="1:7" ht="25.5" customHeight="1" x14ac:dyDescent="0.25">
      <c r="A4" s="331" t="s">
        <v>484</v>
      </c>
      <c r="B4" s="331"/>
      <c r="C4" s="331"/>
      <c r="D4" s="331"/>
      <c r="E4" s="331"/>
      <c r="F4" s="331"/>
      <c r="G4" s="331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76" t="s">
        <v>13</v>
      </c>
      <c r="B6" s="376" t="s">
        <v>87</v>
      </c>
      <c r="C6" s="376" t="s">
        <v>239</v>
      </c>
      <c r="D6" s="376" t="s">
        <v>89</v>
      </c>
      <c r="E6" s="352" t="s">
        <v>281</v>
      </c>
      <c r="F6" s="376" t="s">
        <v>91</v>
      </c>
      <c r="G6" s="376"/>
    </row>
    <row r="7" spans="1:7" x14ac:dyDescent="0.25">
      <c r="A7" s="376"/>
      <c r="B7" s="376"/>
      <c r="C7" s="376"/>
      <c r="D7" s="376"/>
      <c r="E7" s="369"/>
      <c r="F7" s="296" t="s">
        <v>284</v>
      </c>
      <c r="G7" s="296" t="s">
        <v>93</v>
      </c>
    </row>
    <row r="8" spans="1:7" x14ac:dyDescent="0.25">
      <c r="A8" s="296">
        <v>1</v>
      </c>
      <c r="B8" s="296">
        <v>2</v>
      </c>
      <c r="C8" s="296">
        <v>3</v>
      </c>
      <c r="D8" s="296">
        <v>4</v>
      </c>
      <c r="E8" s="296">
        <v>5</v>
      </c>
      <c r="F8" s="296">
        <v>6</v>
      </c>
      <c r="G8" s="296">
        <v>7</v>
      </c>
    </row>
    <row r="9" spans="1:7" ht="15" customHeight="1" x14ac:dyDescent="0.25">
      <c r="A9" s="245"/>
      <c r="B9" s="372" t="s">
        <v>313</v>
      </c>
      <c r="C9" s="373"/>
      <c r="D9" s="373"/>
      <c r="E9" s="373"/>
      <c r="F9" s="373"/>
      <c r="G9" s="374"/>
    </row>
    <row r="10" spans="1:7" ht="27" customHeight="1" x14ac:dyDescent="0.25">
      <c r="A10" s="296"/>
      <c r="B10" s="232"/>
      <c r="C10" s="136" t="s">
        <v>314</v>
      </c>
      <c r="D10" s="232"/>
      <c r="E10" s="246"/>
      <c r="F10" s="298"/>
      <c r="G10" s="230">
        <v>0</v>
      </c>
    </row>
    <row r="11" spans="1:7" x14ac:dyDescent="0.25">
      <c r="A11" s="296"/>
      <c r="B11" s="357" t="s">
        <v>315</v>
      </c>
      <c r="C11" s="357"/>
      <c r="D11" s="357"/>
      <c r="E11" s="375"/>
      <c r="F11" s="360"/>
      <c r="G11" s="360"/>
    </row>
    <row r="12" spans="1:7" s="164" customFormat="1" ht="15.75" customHeight="1" x14ac:dyDescent="0.25">
      <c r="A12" s="296">
        <v>1</v>
      </c>
      <c r="B12" s="136" t="str">
        <f>'Прил.5 Расчет СМР и ОБ'!B34</f>
        <v>61.3.05.04-0002</v>
      </c>
      <c r="C12" s="247" t="str">
        <f>'Прил.5 Расчет СМР и ОБ'!C34</f>
        <v>Сервер HP ProLiant DL360</v>
      </c>
      <c r="D12" s="248" t="str">
        <f>'Прил.5 Расчет СМР и ОБ'!D34</f>
        <v>компл</v>
      </c>
      <c r="E12" s="249">
        <f>'Прил.5 Расчет СМР и ОБ'!E34</f>
        <v>1</v>
      </c>
      <c r="F12" s="216">
        <f>'Прил.5 Расчет СМР и ОБ'!F34</f>
        <v>167692.96</v>
      </c>
      <c r="G12" s="230">
        <f t="shared" ref="G12:G27" si="0">ROUND(E12*F12,2)</f>
        <v>167692.96</v>
      </c>
    </row>
    <row r="13" spans="1:7" s="164" customFormat="1" ht="25.5" customHeight="1" x14ac:dyDescent="0.25">
      <c r="A13" s="296">
        <v>2</v>
      </c>
      <c r="B13" s="136" t="str">
        <f>'Прил.5 Расчет СМР и ОБ'!B35</f>
        <v>62.4.02.01-0047</v>
      </c>
      <c r="C13" s="247" t="str">
        <f>'Прил.5 Расчет СМР и ОБ'!C35</f>
        <v>Источник бесперебойного питания: APC SMART-UPS RT 4000VA RM/230</v>
      </c>
      <c r="D13" s="248" t="str">
        <f>'Прил.5 Расчет СМР и ОБ'!D35</f>
        <v>шт</v>
      </c>
      <c r="E13" s="249">
        <f>'Прил.5 Расчет СМР и ОБ'!E35</f>
        <v>3</v>
      </c>
      <c r="F13" s="216">
        <f>'Прил.5 Расчет СМР и ОБ'!F35</f>
        <v>16999.43</v>
      </c>
      <c r="G13" s="230">
        <f t="shared" si="0"/>
        <v>50998.29</v>
      </c>
    </row>
    <row r="14" spans="1:7" s="164" customFormat="1" ht="38.25" customHeight="1" x14ac:dyDescent="0.25">
      <c r="A14" s="296">
        <v>3</v>
      </c>
      <c r="B14" s="136" t="str">
        <f>'Прил.5 Расчет СМР и ОБ'!B36</f>
        <v>61.3.01.02-0031</v>
      </c>
      <c r="C14" s="247" t="str">
        <f>'Прил.5 Расчет СМР и ОБ'!C36</f>
        <v>Видеорегистратор 8-ми канальный DVR-630-08A200 с комплектом расширения хранилища на 2 ТБ DVR XS200-A</v>
      </c>
      <c r="D14" s="248" t="str">
        <f>'Прил.5 Расчет СМР и ОБ'!D36</f>
        <v>компл</v>
      </c>
      <c r="E14" s="249">
        <f>'Прил.5 Расчет СМР и ОБ'!E36</f>
        <v>1</v>
      </c>
      <c r="F14" s="216">
        <f>'Прил.5 Расчет СМР и ОБ'!F36</f>
        <v>43171.35</v>
      </c>
      <c r="G14" s="230">
        <f t="shared" si="0"/>
        <v>43171.35</v>
      </c>
    </row>
    <row r="15" spans="1:7" s="164" customFormat="1" ht="25.5" customHeight="1" x14ac:dyDescent="0.25">
      <c r="A15" s="296">
        <v>4</v>
      </c>
      <c r="B15" s="136" t="str">
        <f>'Прил.5 Расчет СМР и ОБ'!B37</f>
        <v>61.2.07.05-0067</v>
      </c>
      <c r="C15" s="247" t="str">
        <f>'Прил.5 Расчет СМР и ОБ'!C37</f>
        <v>Модуль центральный ECB с Ethernet интерфейсом</v>
      </c>
      <c r="D15" s="248" t="str">
        <f>'Прил.5 Расчет СМР и ОБ'!D37</f>
        <v>шт</v>
      </c>
      <c r="E15" s="249">
        <f>'Прил.5 Расчет СМР и ОБ'!E37</f>
        <v>1</v>
      </c>
      <c r="F15" s="216">
        <f>'Прил.5 Расчет СМР и ОБ'!F37</f>
        <v>37158.83</v>
      </c>
      <c r="G15" s="230">
        <f t="shared" si="0"/>
        <v>37158.83</v>
      </c>
    </row>
    <row r="16" spans="1:7" s="164" customFormat="1" ht="38.25" customHeight="1" x14ac:dyDescent="0.25">
      <c r="A16" s="296">
        <v>5</v>
      </c>
      <c r="B16" s="136" t="str">
        <f>'Прил.5 Расчет СМР и ОБ'!B38</f>
        <v>62.4.02.01-0048</v>
      </c>
      <c r="C16" s="247" t="str">
        <f>'Прил.5 Расчет СМР и ОБ'!C38</f>
        <v>Источники бесперебойного питания, полная выходная мощность 15 кВА, номинальное входное напряжение 230 В</v>
      </c>
      <c r="D16" s="248" t="str">
        <f>'Прил.5 Расчет СМР и ОБ'!D38</f>
        <v>шт</v>
      </c>
      <c r="E16" s="249">
        <f>'Прил.5 Расчет СМР и ОБ'!E38</f>
        <v>1</v>
      </c>
      <c r="F16" s="216">
        <f>'Прил.5 Расчет СМР и ОБ'!F38</f>
        <v>35055.620000000003</v>
      </c>
      <c r="G16" s="230">
        <f t="shared" si="0"/>
        <v>35055.620000000003</v>
      </c>
    </row>
    <row r="17" spans="1:7" s="164" customFormat="1" ht="25.5" customHeight="1" x14ac:dyDescent="0.25">
      <c r="A17" s="296">
        <v>6</v>
      </c>
      <c r="B17" s="136" t="str">
        <f>'Прил.5 Расчет СМР и ОБ'!B39</f>
        <v>61.2.07.05-0050</v>
      </c>
      <c r="C17" s="247" t="str">
        <f>'Прил.5 Расчет СМР и ОБ'!C39</f>
        <v>Модуль расширения внешний IPO 500 EXP MOD PHONE 30</v>
      </c>
      <c r="D17" s="248" t="str">
        <f>'Прил.5 Расчет СМР и ОБ'!D39</f>
        <v>щт</v>
      </c>
      <c r="E17" s="249">
        <f>'Прил.5 Расчет СМР и ОБ'!E39</f>
        <v>1</v>
      </c>
      <c r="F17" s="216">
        <f>'Прил.5 Расчет СМР и ОБ'!F39</f>
        <v>11831</v>
      </c>
      <c r="G17" s="230">
        <f t="shared" si="0"/>
        <v>11831</v>
      </c>
    </row>
    <row r="18" spans="1:7" s="164" customFormat="1" ht="25.5" customHeight="1" x14ac:dyDescent="0.25">
      <c r="A18" s="296">
        <v>7</v>
      </c>
      <c r="B18" s="136" t="str">
        <f>'Прил.5 Расчет СМР и ОБ'!B40</f>
        <v>61.2.07.05-0050</v>
      </c>
      <c r="C18" s="247" t="str">
        <f>'Прил.5 Расчет СМР и ОБ'!C40</f>
        <v>Модуль расширения внешний IPO 500 EXP MOD PHONE 30</v>
      </c>
      <c r="D18" s="248" t="str">
        <f>'Прил.5 Расчет СМР и ОБ'!D40</f>
        <v>шт</v>
      </c>
      <c r="E18" s="249">
        <f>'Прил.5 Расчет СМР и ОБ'!E40</f>
        <v>1</v>
      </c>
      <c r="F18" s="216">
        <f>'Прил.5 Расчет СМР и ОБ'!F40</f>
        <v>11831</v>
      </c>
      <c r="G18" s="230">
        <f t="shared" si="0"/>
        <v>11831</v>
      </c>
    </row>
    <row r="19" spans="1:7" s="164" customFormat="1" ht="25.5" customHeight="1" x14ac:dyDescent="0.25">
      <c r="A19" s="296">
        <v>8</v>
      </c>
      <c r="B19" s="136" t="str">
        <f>'Прил.5 Расчет СМР и ОБ'!B41</f>
        <v>61.2.07.05-0050</v>
      </c>
      <c r="C19" s="247" t="str">
        <f>'Прил.5 Расчет СМР и ОБ'!C41</f>
        <v>Модуль расширения внешний IPO 500 EXP MOD PHONE 30</v>
      </c>
      <c r="D19" s="248" t="str">
        <f>'Прил.5 Расчет СМР и ОБ'!D41</f>
        <v>шт</v>
      </c>
      <c r="E19" s="249">
        <f>'Прил.5 Расчет СМР и ОБ'!E41</f>
        <v>1</v>
      </c>
      <c r="F19" s="216">
        <f>'Прил.5 Расчет СМР и ОБ'!F41</f>
        <v>11831</v>
      </c>
      <c r="G19" s="230">
        <f t="shared" si="0"/>
        <v>11831</v>
      </c>
    </row>
    <row r="20" spans="1:7" s="164" customFormat="1" ht="25.5" customHeight="1" x14ac:dyDescent="0.25">
      <c r="A20" s="296">
        <v>9</v>
      </c>
      <c r="B20" s="136" t="str">
        <f>'Прил.5 Расчет СМР и ОБ'!B43</f>
        <v>61.2.07.05-0050</v>
      </c>
      <c r="C20" s="247" t="str">
        <f>'Прил.5 Расчет СМР и ОБ'!C43</f>
        <v>Модуль расширения внешний IPO 500 EXP MOD PHONE 30</v>
      </c>
      <c r="D20" s="248" t="str">
        <f>'Прил.5 Расчет СМР и ОБ'!D43</f>
        <v>шт</v>
      </c>
      <c r="E20" s="249">
        <f>'Прил.5 Расчет СМР и ОБ'!E43</f>
        <v>1</v>
      </c>
      <c r="F20" s="216">
        <f>'Прил.5 Расчет СМР и ОБ'!F43</f>
        <v>11831</v>
      </c>
      <c r="G20" s="230">
        <f t="shared" si="0"/>
        <v>11831</v>
      </c>
    </row>
    <row r="21" spans="1:7" s="164" customFormat="1" ht="25.5" customHeight="1" x14ac:dyDescent="0.25">
      <c r="A21" s="296">
        <v>10</v>
      </c>
      <c r="B21" s="136" t="str">
        <f>'Прил.5 Расчет СМР и ОБ'!B44</f>
        <v>61.3.05.02-0002</v>
      </c>
      <c r="C21" s="247" t="str">
        <f>'Прил.5 Расчет СМР и ОБ'!C44</f>
        <v>Монитор ЖК UML 202-90, диагональ 20 дюймов, расширение 1600x1200 пикселов</v>
      </c>
      <c r="D21" s="248" t="str">
        <f>'Прил.5 Расчет СМР и ОБ'!D44</f>
        <v>шт</v>
      </c>
      <c r="E21" s="249">
        <f>'Прил.5 Расчет СМР и ОБ'!E44</f>
        <v>1</v>
      </c>
      <c r="F21" s="216">
        <f>'Прил.5 Расчет СМР и ОБ'!F44</f>
        <v>11279.02</v>
      </c>
      <c r="G21" s="230">
        <f t="shared" si="0"/>
        <v>11279.02</v>
      </c>
    </row>
    <row r="22" spans="1:7" s="164" customFormat="1" ht="25.5" customHeight="1" x14ac:dyDescent="0.25">
      <c r="A22" s="296">
        <v>11</v>
      </c>
      <c r="B22" s="136" t="str">
        <f>'Прил.5 Расчет СМР и ОБ'!B45</f>
        <v>61.1.04.08-0002</v>
      </c>
      <c r="C22" s="247" t="str">
        <f>'Прил.5 Расчет СМР и ОБ'!C45</f>
        <v>Шкаф телекоммуникационный, размер 800х800х2080 мм</v>
      </c>
      <c r="D22" s="248" t="str">
        <f>'Прил.5 Расчет СМР и ОБ'!D45</f>
        <v>шт</v>
      </c>
      <c r="E22" s="249">
        <f>'Прил.5 Расчет СМР и ОБ'!E45</f>
        <v>1</v>
      </c>
      <c r="F22" s="216">
        <f>'Прил.5 Расчет СМР и ОБ'!F45</f>
        <v>9392.75</v>
      </c>
      <c r="G22" s="230">
        <f t="shared" si="0"/>
        <v>9392.75</v>
      </c>
    </row>
    <row r="23" spans="1:7" s="164" customFormat="1" ht="38.25" customHeight="1" x14ac:dyDescent="0.25">
      <c r="A23" s="296">
        <v>12</v>
      </c>
      <c r="B23" s="136" t="str">
        <f>'Прил.5 Расчет СМР и ОБ'!B46</f>
        <v>61.1.04.08-0002</v>
      </c>
      <c r="C23" s="247" t="str">
        <f>'Прил.5 Расчет СМР и ОБ'!C46</f>
        <v>Шкаф телекоммуникационный марки TFL-428080-GMMM-GY размером 800х800х2080 мм</v>
      </c>
      <c r="D23" s="248" t="str">
        <f>'Прил.5 Расчет СМР и ОБ'!D46</f>
        <v>шт.</v>
      </c>
      <c r="E23" s="249">
        <f>'Прил.5 Расчет СМР и ОБ'!E46</f>
        <v>1</v>
      </c>
      <c r="F23" s="216">
        <f>'Прил.5 Расчет СМР и ОБ'!F46</f>
        <v>9392.75</v>
      </c>
      <c r="G23" s="230">
        <f t="shared" si="0"/>
        <v>9392.75</v>
      </c>
    </row>
    <row r="24" spans="1:7" s="164" customFormat="1" ht="38.25" customHeight="1" x14ac:dyDescent="0.25">
      <c r="A24" s="296">
        <v>13</v>
      </c>
      <c r="B24" s="136" t="str">
        <f>'Прил.5 Расчет СМР и ОБ'!B47</f>
        <v>61.2.07.04-0007</v>
      </c>
      <c r="C24" s="247" t="str">
        <f>'Прил.5 Расчет СМР и ОБ'!C47</f>
        <v>Контроллер сектора охраны с выносной панелью индикации и управления ВПИУ-16</v>
      </c>
      <c r="D24" s="248" t="str">
        <f>'Прил.5 Расчет СМР и ОБ'!D47</f>
        <v>компл</v>
      </c>
      <c r="E24" s="249">
        <f>'Прил.5 Расчет СМР и ОБ'!E47</f>
        <v>1</v>
      </c>
      <c r="F24" s="216">
        <f>'Прил.5 Расчет СМР и ОБ'!F47</f>
        <v>9372.9599999999991</v>
      </c>
      <c r="G24" s="230">
        <f t="shared" si="0"/>
        <v>9372.9599999999991</v>
      </c>
    </row>
    <row r="25" spans="1:7" s="164" customFormat="1" ht="25.5" customHeight="1" x14ac:dyDescent="0.25">
      <c r="A25" s="296">
        <v>14</v>
      </c>
      <c r="B25" s="136" t="str">
        <f>'Прил.5 Расчет СМР и ОБ'!B48</f>
        <v>61.2.07.05-0056</v>
      </c>
      <c r="C25" s="247" t="str">
        <f>'Прил.5 Расчет СМР и ОБ'!C48</f>
        <v>Модуль ресурсов IP-телефонии IPO 500 MC VCM на 64 канала</v>
      </c>
      <c r="D25" s="248" t="str">
        <f>'Прил.5 Расчет СМР и ОБ'!D48</f>
        <v>шт</v>
      </c>
      <c r="E25" s="249">
        <f>'Прил.5 Расчет СМР и ОБ'!E48</f>
        <v>2</v>
      </c>
      <c r="F25" s="216">
        <f>'Прил.5 Расчет СМР и ОБ'!F48</f>
        <v>3850.19</v>
      </c>
      <c r="G25" s="230">
        <f t="shared" si="0"/>
        <v>7700.38</v>
      </c>
    </row>
    <row r="26" spans="1:7" s="164" customFormat="1" ht="38.25" customHeight="1" x14ac:dyDescent="0.25">
      <c r="A26" s="296">
        <v>15</v>
      </c>
      <c r="B26" s="136" t="str">
        <f>'Прил.5 Расчет СМР и ОБ'!B49</f>
        <v>61.2.07.05-0011</v>
      </c>
      <c r="C26" s="247" t="str">
        <f>'Прил.5 Расчет СМР и ОБ'!C49</f>
        <v>Модуль-CD для PAM-60/120/240/360 Inter-M, PAM-CDM для использования в системах оповещения</v>
      </c>
      <c r="D26" s="248" t="str">
        <f>'Прил.5 Расчет СМР и ОБ'!D49</f>
        <v>шт</v>
      </c>
      <c r="E26" s="249">
        <f>'Прил.5 Расчет СМР и ОБ'!E49</f>
        <v>2</v>
      </c>
      <c r="F26" s="216">
        <f>'Прил.5 Расчет СМР и ОБ'!F49</f>
        <v>1983.71</v>
      </c>
      <c r="G26" s="230">
        <f t="shared" si="0"/>
        <v>3967.42</v>
      </c>
    </row>
    <row r="27" spans="1:7" s="164" customFormat="1" ht="51" customHeight="1" x14ac:dyDescent="0.25">
      <c r="A27" s="296">
        <v>16</v>
      </c>
      <c r="B27" s="136" t="str">
        <f>'Прил.5 Расчет СМР и ОБ'!B50</f>
        <v>61.3.05.01-0001</v>
      </c>
      <c r="C27" s="247" t="str">
        <f>'Прил.5 Расчет СМР и ОБ'!C50</f>
        <v>Диск жесткий серверный типа HDD, объем памяти 2000 Гб, буферная память 64 Мб, внешняя скорость передачи данных 300 Мб/с</v>
      </c>
      <c r="D27" s="248" t="str">
        <f>'Прил.5 Расчет СМР и ОБ'!D50</f>
        <v>шт</v>
      </c>
      <c r="E27" s="249">
        <f>'Прил.5 Расчет СМР и ОБ'!E50</f>
        <v>1</v>
      </c>
      <c r="F27" s="216">
        <f>'Прил.5 Расчет СМР и ОБ'!F50</f>
        <v>925.45</v>
      </c>
      <c r="G27" s="230">
        <f t="shared" si="0"/>
        <v>925.45</v>
      </c>
    </row>
    <row r="28" spans="1:7" ht="25.5" customHeight="1" x14ac:dyDescent="0.25">
      <c r="A28" s="296"/>
      <c r="B28" s="136"/>
      <c r="C28" s="136" t="s">
        <v>316</v>
      </c>
      <c r="D28" s="136"/>
      <c r="E28" s="301"/>
      <c r="F28" s="298"/>
      <c r="G28" s="230">
        <f>SUM(G12:G27)</f>
        <v>433431.78</v>
      </c>
    </row>
    <row r="29" spans="1:7" ht="19.5" customHeight="1" x14ac:dyDescent="0.25">
      <c r="A29" s="296"/>
      <c r="B29" s="136"/>
      <c r="C29" s="136" t="s">
        <v>317</v>
      </c>
      <c r="D29" s="136"/>
      <c r="E29" s="301"/>
      <c r="F29" s="298"/>
      <c r="G29" s="230">
        <f>G10+G28</f>
        <v>433431.78</v>
      </c>
    </row>
    <row r="30" spans="1:7" x14ac:dyDescent="0.25">
      <c r="A30" s="250"/>
      <c r="B30" s="251"/>
      <c r="C30" s="250"/>
      <c r="D30" s="250"/>
      <c r="E30" s="250"/>
      <c r="F30" s="250"/>
      <c r="G30" s="250"/>
    </row>
    <row r="31" spans="1:7" x14ac:dyDescent="0.25">
      <c r="A31" s="4" t="s">
        <v>309</v>
      </c>
      <c r="B31" s="14"/>
      <c r="C31" s="14"/>
      <c r="D31" s="250"/>
      <c r="E31" s="250"/>
      <c r="F31" s="250"/>
      <c r="G31" s="250"/>
    </row>
    <row r="32" spans="1:7" x14ac:dyDescent="0.25">
      <c r="A32" s="243" t="s">
        <v>68</v>
      </c>
      <c r="B32" s="14"/>
      <c r="C32" s="14"/>
      <c r="D32" s="250"/>
      <c r="E32" s="250"/>
      <c r="F32" s="250"/>
      <c r="G32" s="250"/>
    </row>
    <row r="33" spans="1:7" x14ac:dyDescent="0.25">
      <c r="A33" s="4"/>
      <c r="B33" s="14"/>
      <c r="C33" s="14"/>
      <c r="D33" s="250"/>
      <c r="E33" s="250"/>
      <c r="F33" s="250"/>
      <c r="G33" s="250"/>
    </row>
    <row r="34" spans="1:7" x14ac:dyDescent="0.25">
      <c r="A34" s="4" t="s">
        <v>310</v>
      </c>
      <c r="B34" s="14"/>
      <c r="C34" s="14"/>
      <c r="D34" s="250"/>
      <c r="E34" s="250"/>
      <c r="F34" s="250"/>
      <c r="G34" s="250"/>
    </row>
    <row r="35" spans="1:7" x14ac:dyDescent="0.25">
      <c r="A35" s="243" t="s">
        <v>70</v>
      </c>
      <c r="B35" s="14"/>
      <c r="C35" s="14"/>
      <c r="D35" s="250"/>
      <c r="E35" s="250"/>
      <c r="F35" s="250"/>
      <c r="G35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2023-10-07T10:04:39Z</dcterms:modified>
  <cp:category/>
</cp:coreProperties>
</file>