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B2B93BAA-975A-4011-BA06-0E91067C793A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 localSheetId="9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IF('Прил.7 Расчет пок.'!n_3=1,'Прил.7 Расчет пок.'!n_2,'Прил.7 Расчет пок.'!n_3&amp;'Прил.7 Расчет пок.'!n_1)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IF('Прил.7 Расчет пок.'!n_3=1,'Прил.7 Расчет пок.'!n_2,'Прил.7 Расчет пок.'!n_3&amp;'Прил.7 Расчет пок.'!n_5)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 localSheetId="9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 localSheetId="9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9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3">'Прил.1 Сравнит табл'!$A$1:$F$32</definedName>
    <definedName name="_xlnm.Print_Area" localSheetId="4">'Прил.2 Расч стоим'!$A$1:$J$22</definedName>
    <definedName name="_xlnm.Print_Area" localSheetId="5">Прил.3!$A$1:$H$64</definedName>
    <definedName name="_xlnm.Print_Area" localSheetId="6">'Прил.4 РМ'!$A$1:$E$48</definedName>
    <definedName name="_xlnm.Print_Area" localSheetId="7">'Прил.5 Расчет СМР и ОБ'!$A$1:$J$82</definedName>
    <definedName name="_xlnm.Print_Area" localSheetId="8">'Прил.6 Расчет ОБ'!$A$1:$G$21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 localSheetId="9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 localSheetId="9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 localSheetId="9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 localSheetId="9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 localSheetId="9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 localSheetId="9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ыыыыыыыыыыыыыыыы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9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9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D5" i="10"/>
  <c r="F13" i="9"/>
  <c r="E13" i="9"/>
  <c r="G13" i="9" s="1"/>
  <c r="D13" i="9"/>
  <c r="C13" i="9"/>
  <c r="B13" i="9"/>
  <c r="F12" i="9"/>
  <c r="E12" i="9"/>
  <c r="G12" i="9" s="1"/>
  <c r="D12" i="9"/>
  <c r="C12" i="9"/>
  <c r="B12" i="9"/>
  <c r="I66" i="8"/>
  <c r="J66" i="8" s="1"/>
  <c r="G66" i="8"/>
  <c r="I65" i="8"/>
  <c r="J65" i="8" s="1"/>
  <c r="G65" i="8"/>
  <c r="I64" i="8"/>
  <c r="J64" i="8" s="1"/>
  <c r="G64" i="8"/>
  <c r="I63" i="8"/>
  <c r="J63" i="8" s="1"/>
  <c r="G63" i="8"/>
  <c r="I62" i="8"/>
  <c r="J62" i="8" s="1"/>
  <c r="G62" i="8"/>
  <c r="I61" i="8"/>
  <c r="J61" i="8" s="1"/>
  <c r="G61" i="8"/>
  <c r="I60" i="8"/>
  <c r="J60" i="8" s="1"/>
  <c r="G60" i="8"/>
  <c r="I59" i="8"/>
  <c r="J59" i="8" s="1"/>
  <c r="G59" i="8"/>
  <c r="J58" i="8"/>
  <c r="I58" i="8"/>
  <c r="G58" i="8"/>
  <c r="I57" i="8"/>
  <c r="J57" i="8" s="1"/>
  <c r="G57" i="8"/>
  <c r="I56" i="8"/>
  <c r="J56" i="8" s="1"/>
  <c r="G56" i="8"/>
  <c r="I55" i="8"/>
  <c r="J55" i="8" s="1"/>
  <c r="G55" i="8"/>
  <c r="I54" i="8"/>
  <c r="J54" i="8" s="1"/>
  <c r="G54" i="8"/>
  <c r="I53" i="8"/>
  <c r="J53" i="8" s="1"/>
  <c r="G53" i="8"/>
  <c r="I52" i="8"/>
  <c r="J52" i="8" s="1"/>
  <c r="G52" i="8"/>
  <c r="I51" i="8"/>
  <c r="J51" i="8" s="1"/>
  <c r="G51" i="8"/>
  <c r="I50" i="8"/>
  <c r="J50" i="8" s="1"/>
  <c r="G50" i="8"/>
  <c r="I49" i="8"/>
  <c r="J49" i="8" s="1"/>
  <c r="G49" i="8"/>
  <c r="I48" i="8"/>
  <c r="J48" i="8" s="1"/>
  <c r="G48" i="8"/>
  <c r="I47" i="8"/>
  <c r="J47" i="8" s="1"/>
  <c r="G47" i="8"/>
  <c r="J46" i="8"/>
  <c r="I46" i="8"/>
  <c r="G46" i="8"/>
  <c r="I45" i="8"/>
  <c r="J45" i="8" s="1"/>
  <c r="G45" i="8"/>
  <c r="I44" i="8"/>
  <c r="J44" i="8" s="1"/>
  <c r="G44" i="8"/>
  <c r="I43" i="8"/>
  <c r="J43" i="8" s="1"/>
  <c r="G43" i="8"/>
  <c r="G42" i="8"/>
  <c r="J41" i="8"/>
  <c r="I41" i="8"/>
  <c r="G41" i="8"/>
  <c r="I40" i="8"/>
  <c r="J40" i="8" s="1"/>
  <c r="J42" i="8" s="1"/>
  <c r="G40" i="8"/>
  <c r="J33" i="8"/>
  <c r="G33" i="8"/>
  <c r="J32" i="8"/>
  <c r="J34" i="8" s="1"/>
  <c r="J36" i="8" s="1"/>
  <c r="G32" i="8"/>
  <c r="I27" i="8"/>
  <c r="J27" i="8" s="1"/>
  <c r="G27" i="8"/>
  <c r="I26" i="8"/>
  <c r="J26" i="8" s="1"/>
  <c r="G26" i="8"/>
  <c r="I25" i="8"/>
  <c r="J25" i="8" s="1"/>
  <c r="G25" i="8"/>
  <c r="J24" i="8"/>
  <c r="I24" i="8"/>
  <c r="G24" i="8"/>
  <c r="I23" i="8"/>
  <c r="J23" i="8" s="1"/>
  <c r="G23" i="8"/>
  <c r="I21" i="8"/>
  <c r="J21" i="8" s="1"/>
  <c r="G21" i="8"/>
  <c r="I20" i="8"/>
  <c r="J20" i="8" s="1"/>
  <c r="G20" i="8"/>
  <c r="J19" i="8"/>
  <c r="I19" i="8"/>
  <c r="G19" i="8"/>
  <c r="G16" i="8"/>
  <c r="E16" i="8"/>
  <c r="G14" i="8"/>
  <c r="I13" i="8"/>
  <c r="G13" i="8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5" i="6"/>
  <c r="F15" i="6"/>
  <c r="H14" i="6"/>
  <c r="H13" i="6"/>
  <c r="H12" i="6"/>
  <c r="F12" i="6"/>
  <c r="J14" i="5"/>
  <c r="H14" i="5"/>
  <c r="F14" i="5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C16" i="7" l="1"/>
  <c r="J67" i="8"/>
  <c r="C17" i="7" s="1"/>
  <c r="J22" i="8"/>
  <c r="C12" i="7" s="1"/>
  <c r="J28" i="8"/>
  <c r="J37" i="8"/>
  <c r="C26" i="7" s="1"/>
  <c r="C25" i="7"/>
  <c r="G14" i="9"/>
  <c r="G67" i="8"/>
  <c r="G68" i="8" s="1"/>
  <c r="G28" i="8"/>
  <c r="G22" i="8"/>
  <c r="G34" i="8"/>
  <c r="D71" i="8"/>
  <c r="D70" i="8"/>
  <c r="C23" i="7" s="1"/>
  <c r="H13" i="8"/>
  <c r="E13" i="8"/>
  <c r="C21" i="7"/>
  <c r="F16" i="8"/>
  <c r="I16" i="8" s="1"/>
  <c r="J16" i="8" s="1"/>
  <c r="C15" i="7" s="1"/>
  <c r="H40" i="8" l="1"/>
  <c r="H33" i="8"/>
  <c r="H60" i="8"/>
  <c r="H57" i="8"/>
  <c r="H54" i="8"/>
  <c r="H51" i="8"/>
  <c r="H68" i="8"/>
  <c r="H66" i="8"/>
  <c r="H48" i="8"/>
  <c r="H63" i="8"/>
  <c r="H45" i="8"/>
  <c r="H47" i="8"/>
  <c r="H41" i="8"/>
  <c r="H65" i="8"/>
  <c r="H64" i="8"/>
  <c r="H43" i="8"/>
  <c r="H55" i="8"/>
  <c r="H62" i="8"/>
  <c r="H50" i="8"/>
  <c r="H32" i="8"/>
  <c r="H58" i="8"/>
  <c r="H53" i="8"/>
  <c r="H46" i="8"/>
  <c r="H49" i="8"/>
  <c r="H44" i="8"/>
  <c r="H61" i="8"/>
  <c r="H56" i="8"/>
  <c r="H59" i="8"/>
  <c r="H52" i="8"/>
  <c r="H42" i="8"/>
  <c r="G29" i="8"/>
  <c r="H67" i="8"/>
  <c r="C18" i="7"/>
  <c r="J68" i="8"/>
  <c r="J29" i="8"/>
  <c r="C13" i="7"/>
  <c r="C14" i="7" s="1"/>
  <c r="G36" i="8"/>
  <c r="H35" i="8" s="1"/>
  <c r="G15" i="9"/>
  <c r="G37" i="8"/>
  <c r="J13" i="8"/>
  <c r="J14" i="8" s="1"/>
  <c r="J71" i="8" s="1"/>
  <c r="E14" i="8"/>
  <c r="J70" i="8"/>
  <c r="H21" i="8" l="1"/>
  <c r="H23" i="8"/>
  <c r="H26" i="8"/>
  <c r="H24" i="8"/>
  <c r="G69" i="8"/>
  <c r="H27" i="8"/>
  <c r="G72" i="8"/>
  <c r="G73" i="8" s="1"/>
  <c r="G74" i="8" s="1"/>
  <c r="H19" i="8"/>
  <c r="H25" i="8"/>
  <c r="H20" i="8"/>
  <c r="H34" i="8"/>
  <c r="J72" i="8"/>
  <c r="J73" i="8" s="1"/>
  <c r="J74" i="8" s="1"/>
  <c r="H36" i="8"/>
  <c r="H28" i="8"/>
  <c r="H22" i="8"/>
  <c r="C11" i="7"/>
  <c r="J69" i="8"/>
  <c r="H29" i="8" l="1"/>
  <c r="C20" i="7"/>
  <c r="C22" i="7"/>
  <c r="C19" i="7"/>
  <c r="C24" i="7" l="1"/>
  <c r="D20" i="7"/>
  <c r="D22" i="7"/>
  <c r="D15" i="7" l="1"/>
  <c r="D24" i="7"/>
  <c r="D11" i="7"/>
  <c r="D18" i="7"/>
  <c r="D17" i="7"/>
  <c r="D13" i="7"/>
  <c r="D12" i="7"/>
  <c r="C29" i="7"/>
  <c r="D14" i="7"/>
  <c r="C27" i="7"/>
  <c r="D16" i="7"/>
  <c r="C30" i="7"/>
  <c r="C33" i="7" l="1"/>
  <c r="C36" i="7" s="1"/>
  <c r="C37" i="7" l="1"/>
  <c r="C38" i="7" s="1"/>
  <c r="C39" i="7" s="1"/>
  <c r="E39" i="7" l="1"/>
  <c r="C40" i="7"/>
  <c r="E34" i="7" l="1"/>
  <c r="E16" i="7"/>
  <c r="E24" i="7"/>
  <c r="E33" i="7"/>
  <c r="E40" i="7"/>
  <c r="E17" i="7"/>
  <c r="E12" i="7"/>
  <c r="E20" i="7"/>
  <c r="E37" i="7"/>
  <c r="E14" i="7"/>
  <c r="E13" i="7"/>
  <c r="E27" i="7"/>
  <c r="E35" i="7"/>
  <c r="E31" i="7"/>
  <c r="E15" i="7"/>
  <c r="E29" i="7"/>
  <c r="E26" i="7"/>
  <c r="E32" i="7"/>
  <c r="E11" i="7"/>
  <c r="E36" i="7"/>
  <c r="C41" i="7"/>
  <c r="D11" i="10" s="1"/>
  <c r="E18" i="7"/>
  <c r="E22" i="7"/>
  <c r="E30" i="7"/>
  <c r="E25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<sst xmlns="http://schemas.openxmlformats.org/spreadsheetml/2006/main" count="753" uniqueCount="441">
  <si>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</si>
  <si>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</si>
  <si>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</si>
  <si>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</si>
  <si>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</si>
  <si>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</si>
  <si>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</si>
  <si>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</si>
  <si>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</si>
  <si>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</si>
  <si>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</si>
  <si>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</si>
  <si>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</si>
  <si>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</si>
  <si>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</si>
  <si>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</si>
  <si>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</si>
  <si>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</si>
  <si>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</si>
  <si>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</si>
  <si>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</si>
  <si>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</si>
  <si>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</si>
  <si>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</si>
  <si>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</si>
  <si>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</si>
  <si>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</si>
  <si>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</si>
  <si>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</si>
  <si>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</si>
  <si>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</si>
  <si>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</si>
  <si>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</si>
  <si>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</si>
  <si>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</si>
  <si>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</si>
  <si>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</si>
  <si>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</si>
  <si>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</si>
  <si>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</si>
  <si>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</si>
  <si>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</si>
  <si>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</si>
  <si>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</si>
  <si>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</si>
  <si>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</si>
  <si>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</si>
  <si>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Постоянная часть ПС, оборудование электропитания ПС 220 кВ</t>
  </si>
  <si>
    <t>Сопоставимый уровень цен: 3 квартал 2021г</t>
  </si>
  <si>
    <t>Единица измерения  — 1 ПС</t>
  </si>
  <si>
    <t>Параметр</t>
  </si>
  <si>
    <t>Объект-представитель 1</t>
  </si>
  <si>
    <t>Наименование объекта-представителя</t>
  </si>
  <si>
    <t>ПС 220 кВ Степная</t>
  </si>
  <si>
    <t>Наименование субъекта Российской Федерации</t>
  </si>
  <si>
    <t>Республика Хакасия</t>
  </si>
  <si>
    <t>Климатический район и подрайон</t>
  </si>
  <si>
    <t>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</si>
  <si>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</si>
  <si>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</si>
  <si>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Силовой кабель - 1,6 км;
Шкаф с оборудованием ЭПУ - 2 шт;
Шкаф с оборудованием ЭПУ (АКБ) - 1 шт.
Суммарная мощность системы 36,48 кВт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</si>
  <si>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</si>
  <si>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</si>
  <si>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</si>
  <si>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</si>
  <si>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</si>
  <si>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</si>
  <si>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</si>
  <si>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</si>
  <si>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</si>
  <si>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</si>
  <si>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квартал 2021г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</si>
  <si>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</si>
  <si>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</si>
  <si>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</si>
  <si>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</si>
  <si>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</si>
  <si>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</si>
  <si>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</si>
  <si>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</si>
  <si>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</si>
  <si>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</si>
  <si>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</si>
  <si>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</si>
  <si>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3 кв. 2021 г., тыс. руб.</t>
  </si>
  <si>
    <t>Строительные работы</t>
  </si>
  <si>
    <t>Монтажные работы</t>
  </si>
  <si>
    <t>Прочее</t>
  </si>
  <si>
    <t>Всего</t>
  </si>
  <si>
    <t>Оборудование электропитания ПС 220 кВ</t>
  </si>
  <si>
    <t>Всего по объекту:</t>
  </si>
  <si>
    <t>Всего по объекту в сопоставимом уровне цен 3 кв. 2021 г:</t>
  </si>
  <si>
    <t xml:space="preserve">Приложение № 3 </t>
  </si>
  <si>
    <t>Объектная ресурсная ведомость</t>
  </si>
  <si>
    <t>Наименование разрабатываемого показателя УНЦ - Постоянная часть ПС, оборудование электропитания ПС 220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</si>
  <si>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</si>
  <si>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</si>
  <si>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</si>
  <si>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</si>
  <si>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</si>
  <si>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</si>
  <si>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</si>
  <si>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</si>
  <si>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</si>
  <si>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</si>
  <si>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</si>
  <si>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</si>
  <si>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1-3-8</t>
  </si>
  <si>
    <t>Затраты труда рабочих (ср 3,8)</t>
  </si>
  <si>
    <t>чел.-ч</t>
  </si>
  <si>
    <t>1-4-2</t>
  </si>
  <si>
    <t>Затраты труда рабочих (ср 4,2)</t>
  </si>
  <si>
    <t>Затраты труда машинистов</t>
  </si>
  <si>
    <t>Машины и механизмы</t>
  </si>
  <si>
    <t>91.05.05-015</t>
  </si>
  <si>
    <t>Краны на автомобильном ходу, грузоподъемность 16 т</t>
  </si>
  <si>
    <t>маш.час</t>
  </si>
  <si>
    <t>91.14.02-001</t>
  </si>
  <si>
    <t>Автомобили бортовые, грузоподъемность до 5 т</t>
  </si>
  <si>
    <t>91.05.13-025</t>
  </si>
  <si>
    <t>Краны-манипуляторы на автомобильном ходу, грузоподъемность до 3,2 т</t>
  </si>
  <si>
    <t>91.06.03-061</t>
  </si>
  <si>
    <t>Лебедки электрические тяговым усилием до 12,26 кН (1,25 т)</t>
  </si>
  <si>
    <t>91.17.04-233</t>
  </si>
  <si>
    <t>Установки для сварки ручной дуговой (постоянного тока)</t>
  </si>
  <si>
    <t>91.06.01-003</t>
  </si>
  <si>
    <t>Домкраты гидравлические, грузоподъемность 63-100 т</t>
  </si>
  <si>
    <t>91.05.02-769</t>
  </si>
  <si>
    <t>Краны козловые передвижные, грузоподъемность до 3 т, высота подъема 3 м, пролет 3 м</t>
  </si>
  <si>
    <t>91.21.16-012</t>
  </si>
  <si>
    <t>Прессы гидравлические с электроприводом</t>
  </si>
  <si>
    <t>Прайс из СД ОП</t>
  </si>
  <si>
    <t>Шкаф №1 с оборудованием ЭПУ (карта заказа №1.1 (ШОЭП №1)</t>
  </si>
  <si>
    <t>шт</t>
  </si>
  <si>
    <t>Шкаф №3 с оборудованием ЭПУ (АКБ) (карта заказа №1.3 (ШОЭП №3 (АКБ))</t>
  </si>
  <si>
    <t>Материалы</t>
  </si>
  <si>
    <t>21.1.06.10-0368</t>
  </si>
  <si>
    <t>Кабель силовой с медными жилами ВВГнг(A)-LS 2х25мк(N)-1000</t>
  </si>
  <si>
    <t>1000 м</t>
  </si>
  <si>
    <t>21.1.06.10-0581</t>
  </si>
  <si>
    <t>Кабель силовой с медными жилами ВВГнг-LS 3х6-1000</t>
  </si>
  <si>
    <t>21.1.06.10-0575</t>
  </si>
  <si>
    <t>Кабель силовой с медными жилами ВВГнг-LS 2х6-1000</t>
  </si>
  <si>
    <t>21.1.06.10-0579</t>
  </si>
  <si>
    <t>Кабель силовой с медными жилами ВВГнг-LS 3х2,5-1000</t>
  </si>
  <si>
    <t>10.3.02.03-0011</t>
  </si>
  <si>
    <t>Припои оловянно-свинцовые бессурьмянистые, марка ПОС30</t>
  </si>
  <si>
    <t>т</t>
  </si>
  <si>
    <t>21.2.03.05-0073</t>
  </si>
  <si>
    <t>Провод силовой установочный с медными жилами ПВ3 16-450</t>
  </si>
  <si>
    <t>01.7.06.07-0002</t>
  </si>
  <si>
    <t>Лента монтажная, тип ЛМ-5</t>
  </si>
  <si>
    <t>10 м</t>
  </si>
  <si>
    <t>01.3.01.01-0001</t>
  </si>
  <si>
    <t>Бензин авиационный Б-70</t>
  </si>
  <si>
    <t>999-9950</t>
  </si>
  <si>
    <t>Вспомогательные ненормируемые ресурсы (2% от Оплаты труда рабочих)</t>
  </si>
  <si>
    <t>руб</t>
  </si>
  <si>
    <t>14.4.03.03-0002</t>
  </si>
  <si>
    <t>Лак битумный БТ-123</t>
  </si>
  <si>
    <t>01.7.15.07-0014</t>
  </si>
  <si>
    <t>Дюбели распорные полипропиленовые</t>
  </si>
  <si>
    <t>100 шт</t>
  </si>
  <si>
    <t>01.3.02.09-0022</t>
  </si>
  <si>
    <t>Пропан-бутан смесь техническая</t>
  </si>
  <si>
    <t>кг</t>
  </si>
  <si>
    <t>25.2.01.01-0001</t>
  </si>
  <si>
    <t>Бирки-оконцеватели</t>
  </si>
  <si>
    <t>01.7.15.03-0042</t>
  </si>
  <si>
    <t>Болты с гайками и шайбами строительные</t>
  </si>
  <si>
    <t>14.4.02.09-0001</t>
  </si>
  <si>
    <t>Краска</t>
  </si>
  <si>
    <t>20.1.02.23-0082</t>
  </si>
  <si>
    <t>Перемычки гибкие, тип ПГС-50</t>
  </si>
  <si>
    <t>10 шт</t>
  </si>
  <si>
    <t>01.7.15.14-0165</t>
  </si>
  <si>
    <t>Шурупы с полукруглой головкой 4х40 мм</t>
  </si>
  <si>
    <t>01.7.11.07-0034</t>
  </si>
  <si>
    <t>Электроды сварочные Э42А, диаметр 4 мм</t>
  </si>
  <si>
    <t>08.3.07.01-0076</t>
  </si>
  <si>
    <t>Прокат полосовой, горячекатаный, марка стали Ст3сп, ширина 50-200 мм, толщина 4-5 мм</t>
  </si>
  <si>
    <t>14.4.03.17-0101</t>
  </si>
  <si>
    <t>Лак канифольный КФ-965</t>
  </si>
  <si>
    <t>01.7.06.05-0041</t>
  </si>
  <si>
    <t>Лента изоляционная прорезиненная односторонняя, ширина 20 мм, толщина 0,25-0,35 мм</t>
  </si>
  <si>
    <t>01.3.01.05-0009</t>
  </si>
  <si>
    <t>Парафин нефтяной твердый Т-1</t>
  </si>
  <si>
    <t>01.3.01.02-0002</t>
  </si>
  <si>
    <t>Вазелин технический</t>
  </si>
  <si>
    <t>01.7.15.14-0043</t>
  </si>
  <si>
    <t>Шурупы самонарезающий прокалывающий, для крепления металлических профилей или листовых деталей 3,5/11 мм</t>
  </si>
  <si>
    <t>01.7.20.04-0005</t>
  </si>
  <si>
    <t>Нитки швейные</t>
  </si>
  <si>
    <t>01.7.02.09-0002</t>
  </si>
  <si>
    <t>Шпагат бумажный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</si>
  <si>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</si>
  <si>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</si>
  <si>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</si>
  <si>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</si>
  <si>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</si>
  <si>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</si>
  <si>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</si>
  <si>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</si>
  <si>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</si>
  <si>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</si>
  <si>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</si>
  <si>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</si>
  <si>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</si>
  <si>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</si>
  <si>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</si>
  <si>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</si>
  <si>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</si>
  <si>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</si>
  <si>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</si>
  <si>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</si>
  <si>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</si>
  <si>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</si>
  <si>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</si>
  <si>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</si>
  <si>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- 2,5%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</si>
  <si>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</si>
  <si>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</si>
  <si>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</si>
  <si>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</si>
  <si>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</si>
  <si>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</si>
  <si>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</si>
  <si>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</si>
  <si>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</si>
  <si>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</si>
  <si>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</si>
  <si>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</si>
  <si>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</si>
  <si>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</si>
  <si>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</si>
  <si>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</si>
  <si>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</si>
  <si>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</si>
  <si>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</si>
  <si>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оборудование электропитания ПС 220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</si>
  <si>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</si>
  <si>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</si>
  <si>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</si>
  <si>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</si>
  <si>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</si>
  <si>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(3,8)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</si>
  <si>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</si>
  <si>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</si>
  <si>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</si>
  <si>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</si>
  <si>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</si>
  <si>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</si>
  <si>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</si>
  <si>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БЦ.36.17</t>
  </si>
  <si>
    <t>Оборудование электропитания, 12 кВт</t>
  </si>
  <si>
    <t>БЦ.36.18</t>
  </si>
  <si>
    <t>АКБ фронттерминальная, 12В, 200Ач.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</si>
  <si>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</si>
  <si>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</si>
  <si>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</si>
  <si>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</si>
  <si>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</si>
  <si>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</si>
  <si>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</si>
  <si>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</si>
  <si>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</si>
  <si>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</si>
  <si>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</si>
  <si>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</si>
  <si>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</si>
  <si>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</si>
  <si>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</si>
  <si>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</si>
  <si>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</si>
  <si>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</si>
  <si>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</si>
  <si>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</si>
  <si>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</si>
  <si>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</si>
  <si>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</si>
  <si>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</si>
  <si>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</si>
  <si>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</si>
  <si>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</si>
  <si>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</si>
  <si>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З1-03</t>
  </si>
  <si>
    <t>УНЦ постоянной части ПС 220 кВ</t>
  </si>
  <si>
    <t>З1_ПС_электропитание_220_кВ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</si>
  <si>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</si>
  <si>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</si>
  <si>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</si>
  <si>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</si>
  <si>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</si>
  <si>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</si>
  <si>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</si>
  <si>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</si>
  <si>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</si>
  <si>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</si>
  <si>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</si>
  <si>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</si>
  <si>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</si>
  <si>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п.23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</si>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</sst>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0000"/>
    <numFmt numFmtId="167" formatCode="#,##0.0"/>
    <numFmt numFmtId="168" formatCode="#,##0.000"/>
    <numFmt numFmtId="169" formatCode="0.0000"/>
    <numFmt numFmtId="170" formatCode="#,##0.0000"/>
    <numFmt numFmtId="171" formatCode="0.0"/>
    <numFmt numFmtId="172" formatCode="0.000"/>
  </numFmts>
  <fonts count="29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9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10" fontId="4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10" fontId="0" fillId="0" borderId="0" xfId="0" applyNumberFormat="1"/>
    <xf numFmtId="0" fontId="1" fillId="0" borderId="0" xfId="0" applyFont="1" applyAlignment="1">
      <alignment vertical="center"/>
    </xf>
    <xf numFmtId="10" fontId="16" fillId="0" borderId="0" xfId="0" applyNumberFormat="1" applyFont="1"/>
    <xf numFmtId="0" fontId="16" fillId="0" borderId="1" xfId="0" applyFont="1" applyBorder="1" applyAlignment="1">
      <alignment horizontal="left" vertical="center" wrapText="1"/>
    </xf>
    <xf numFmtId="0" fontId="17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justify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166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49" fontId="16" fillId="0" borderId="1" xfId="0" applyNumberFormat="1" applyFont="1" applyBorder="1" applyAlignment="1">
      <alignment horizontal="left" vertical="center" wrapText="1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8" fillId="0" borderId="1" xfId="0" applyNumberFormat="1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16" fillId="0" borderId="5" xfId="0" applyFont="1" applyBorder="1" applyAlignment="1">
      <alignment horizontal="center" vertical="center"/>
    </xf>
    <xf numFmtId="4" fontId="16" fillId="0" borderId="1" xfId="0" applyNumberFormat="1" applyFont="1" applyBorder="1" applyAlignment="1">
      <alignment vertical="top"/>
    </xf>
    <xf numFmtId="49" fontId="16" fillId="0" borderId="0" xfId="0" applyNumberFormat="1" applyFont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167" fontId="16" fillId="0" borderId="1" xfId="0" applyNumberFormat="1" applyFont="1" applyBorder="1" applyAlignment="1">
      <alignment horizontal="center" vertical="center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justify"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169" fontId="1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right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170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169" fontId="1" fillId="0" borderId="4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8" fillId="0" borderId="1" xfId="0" applyNumberFormat="1" applyFont="1" applyBorder="1" applyAlignment="1">
      <alignment vertical="top"/>
    </xf>
    <xf numFmtId="0" fontId="18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171" fontId="16" fillId="0" borderId="0" xfId="0" applyNumberFormat="1" applyFont="1"/>
    <xf numFmtId="0" fontId="21" fillId="0" borderId="0" xfId="0" applyFont="1"/>
    <xf numFmtId="2" fontId="16" fillId="0" borderId="1" xfId="0" applyNumberFormat="1" applyFont="1" applyBorder="1" applyAlignment="1">
      <alignment horizontal="right" vertical="center"/>
    </xf>
    <xf numFmtId="169" fontId="16" fillId="0" borderId="0" xfId="0" applyNumberFormat="1" applyFont="1"/>
    <xf numFmtId="4" fontId="18" fillId="0" borderId="0" xfId="0" applyNumberFormat="1" applyFont="1"/>
    <xf numFmtId="165" fontId="16" fillId="0" borderId="0" xfId="0" applyNumberFormat="1" applyFont="1"/>
    <xf numFmtId="4" fontId="1" fillId="0" borderId="2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0" fontId="4" fillId="0" borderId="5" xfId="0" applyFont="1" applyBorder="1"/>
    <xf numFmtId="17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/>
    </xf>
    <xf numFmtId="0" fontId="0" fillId="0" borderId="0" xfId="0" applyAlignment="1">
      <alignment horizontal="left"/>
    </xf>
    <xf numFmtId="0" fontId="16" fillId="0" borderId="0" xfId="0" applyFont="1" applyAlignment="1">
      <alignment horizontal="justify" vertical="center"/>
    </xf>
    <xf numFmtId="0" fontId="18" fillId="0" borderId="1" xfId="0" applyFont="1" applyBorder="1" applyAlignment="1">
      <alignment vertical="top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4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 wrapText="1"/>
    </xf>
    <xf numFmtId="4" fontId="16" fillId="0" borderId="0" xfId="0" applyNumberFormat="1" applyFont="1" applyAlignment="1">
      <alignment horizontal="left" vertical="center" wrapText="1"/>
    </xf>
    <xf numFmtId="4" fontId="16" fillId="0" borderId="1" xfId="0" applyNumberFormat="1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8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center" vertical="center"/>
    </xf>
    <xf numFmtId="2" fontId="18" fillId="0" borderId="2" xfId="0" applyNumberFormat="1" applyFont="1" applyBorder="1" applyAlignment="1">
      <alignment horizontal="center" vertical="center" wrapText="1"/>
    </xf>
    <xf numFmtId="2" fontId="18" fillId="0" borderId="7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6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263072</xdr:colOff>
      <xdr:row>28</xdr:row>
      <xdr:rowOff>97517</xdr:rowOff>
    </xdr:from>
    <xdr:to>
      <xdr:col>2</xdr:col>
      <xdr:colOff>1207874</xdr:colOff>
      <xdr:row>31</xdr:row>
      <xdr:rowOff>9409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127B1CC-C5C1-4ED9-BBA8-8BAD412BA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7715" y="12602481"/>
          <a:ext cx="944802" cy="524214"/>
        </a:xfrm>
        <a:prstGeom prst="rect">
          <a:avLst/>
        </a:prstGeom>
      </xdr:spPr>
    </xdr:pic>
    <xdr:clientData/>
  </xdr:twoCellAnchor>
  <xdr:twoCellAnchor editAs="oneCell">
    <xdr:from>
      <xdr:col>2</xdr:col>
      <xdr:colOff>339273</xdr:colOff>
      <xdr:row>26</xdr:row>
      <xdr:rowOff>273050</xdr:rowOff>
    </xdr:from>
    <xdr:to>
      <xdr:col>2</xdr:col>
      <xdr:colOff>1177472</xdr:colOff>
      <xdr:row>28</xdr:row>
      <xdr:rowOff>48152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805FAA60-55D3-489B-84EA-77A2D06AC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3916" y="12097657"/>
          <a:ext cx="838199" cy="4554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551090</xdr:colOff>
      <xdr:row>18</xdr:row>
      <xdr:rowOff>122011</xdr:rowOff>
    </xdr:from>
    <xdr:to>
      <xdr:col>2</xdr:col>
      <xdr:colOff>1495892</xdr:colOff>
      <xdr:row>21</xdr:row>
      <xdr:rowOff>33903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77F0504-CFDE-404F-94B5-E6BE59C2A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0804" y="4775654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627291</xdr:colOff>
      <xdr:row>16</xdr:row>
      <xdr:rowOff>25399</xdr:rowOff>
    </xdr:from>
    <xdr:to>
      <xdr:col>2</xdr:col>
      <xdr:colOff>1465490</xdr:colOff>
      <xdr:row>18</xdr:row>
      <xdr:rowOff>72646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F3C2530B-574D-466B-A590-0A1AF4016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7005" y="4270828"/>
          <a:ext cx="838199" cy="4554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214313</xdr:colOff>
      <xdr:row>58</xdr:row>
      <xdr:rowOff>101412</xdr:rowOff>
    </xdr:from>
    <xdr:to>
      <xdr:col>2</xdr:col>
      <xdr:colOff>1159115</xdr:colOff>
      <xdr:row>61</xdr:row>
      <xdr:rowOff>20508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E17F333-E4D4-4E04-8900-9EB520AA6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6" y="16746350"/>
          <a:ext cx="944802" cy="490596"/>
        </a:xfrm>
        <a:prstGeom prst="rect">
          <a:avLst/>
        </a:prstGeom>
      </xdr:spPr>
    </xdr:pic>
    <xdr:clientData/>
  </xdr:twoCellAnchor>
  <xdr:twoCellAnchor editAs="oneCell">
    <xdr:from>
      <xdr:col>2</xdr:col>
      <xdr:colOff>290514</xdr:colOff>
      <xdr:row>56</xdr:row>
      <xdr:rowOff>-1</xdr:rowOff>
    </xdr:from>
    <xdr:to>
      <xdr:col>2</xdr:col>
      <xdr:colOff>1128713</xdr:colOff>
      <xdr:row>58</xdr:row>
      <xdr:rowOff>52047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E45F208B-9C69-4105-BBA1-DA5B6867E0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3077" y="16263937"/>
          <a:ext cx="838199" cy="433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57150</xdr:rowOff>
    </xdr:from>
    <xdr:to>
      <xdr:col>1</xdr:col>
      <xdr:colOff>1725852</xdr:colOff>
      <xdr:row>46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6518DD8-BCC2-4D28-864A-09EB09B25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6776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857251</xdr:colOff>
      <xdr:row>40</xdr:row>
      <xdr:rowOff>123825</xdr:rowOff>
    </xdr:from>
    <xdr:to>
      <xdr:col>1</xdr:col>
      <xdr:colOff>1695450</xdr:colOff>
      <xdr:row>43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EF3C6C65-1032-4B02-93EA-A48D06DF6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6" y="11172825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535080</xdr:colOff>
      <xdr:row>76</xdr:row>
      <xdr:rowOff>27174</xdr:rowOff>
    </xdr:from>
    <xdr:to>
      <xdr:col>1</xdr:col>
      <xdr:colOff>1475120</xdr:colOff>
      <xdr:row>78</xdr:row>
      <xdr:rowOff>170387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0532E72-3A47-425A-9CD3-4D417C6F3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080" y="19410549"/>
          <a:ext cx="940040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611281</xdr:colOff>
      <xdr:row>73</xdr:row>
      <xdr:rowOff>331974</xdr:rowOff>
    </xdr:from>
    <xdr:to>
      <xdr:col>1</xdr:col>
      <xdr:colOff>1449480</xdr:colOff>
      <xdr:row>75</xdr:row>
      <xdr:rowOff>168309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5A4E9097-2249-4FB5-BA64-5EA884449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2281" y="18905724"/>
          <a:ext cx="838199" cy="455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581025</xdr:colOff>
      <xdr:row>17</xdr:row>
      <xdr:rowOff>28575</xdr:rowOff>
    </xdr:from>
    <xdr:to>
      <xdr:col>2</xdr:col>
      <xdr:colOff>354252</xdr:colOff>
      <xdr:row>19</xdr:row>
      <xdr:rowOff>171788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DFFDFAF-C5DC-4CD5-BBC7-C4D99EA14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5" y="42862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657226</xdr:colOff>
      <xdr:row>14</xdr:row>
      <xdr:rowOff>152400</xdr:rowOff>
    </xdr:from>
    <xdr:to>
      <xdr:col>2</xdr:col>
      <xdr:colOff>323850</xdr:colOff>
      <xdr:row>16</xdr:row>
      <xdr:rowOff>169710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D1DADFD7-58EC-4668-8F5A-60F185CF7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6" y="3781425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13</xdr:row>
      <xdr:rowOff>104775</xdr:rowOff>
    </xdr:from>
    <xdr:to>
      <xdr:col>1</xdr:col>
      <xdr:colOff>801927</xdr:colOff>
      <xdr:row>15</xdr:row>
      <xdr:rowOff>171788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D0A69B1-989A-4698-9597-C9B442C29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4671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781051</xdr:colOff>
      <xdr:row>10</xdr:row>
      <xdr:rowOff>781050</xdr:rowOff>
    </xdr:from>
    <xdr:to>
      <xdr:col>1</xdr:col>
      <xdr:colOff>771525</xdr:colOff>
      <xdr:row>13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52599A14-177E-4F4C-ACA4-2245071EBD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1" y="2962275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762000</xdr:colOff>
      <xdr:row>27</xdr:row>
      <xdr:rowOff>92075</xdr:rowOff>
    </xdr:from>
    <xdr:to>
      <xdr:col>1</xdr:col>
      <xdr:colOff>1706802</xdr:colOff>
      <xdr:row>30</xdr:row>
      <xdr:rowOff>44788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35FD818-3DE7-4F08-A626-12DD325ADF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5250" y="93948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838201</xdr:colOff>
      <xdr:row>24</xdr:row>
      <xdr:rowOff>158750</xdr:rowOff>
    </xdr:from>
    <xdr:to>
      <xdr:col>1</xdr:col>
      <xdr:colOff>1676400</xdr:colOff>
      <xdr:row>27</xdr:row>
      <xdr:rowOff>42710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96CBC57F-EC93-4CC4-AAE6-E7ED5F4F7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1451" y="8890000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03" t="s">
        <v>0</v>
      </c>
      <c r="B2" s="203"/>
      <c r="C2" s="203"/>
    </row>
    <row r="3" spans="1:3" x14ac:dyDescent="0.25">
      <c r="A3" s="1"/>
      <c r="B3" s="1"/>
      <c r="C3" s="1"/>
    </row>
    <row r="4" spans="1:3" x14ac:dyDescent="0.25">
      <c r="A4" s="204" t="s">
        <v>1</v>
      </c>
      <c r="B4" s="204"/>
      <c r="C4" s="204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0" t="s">
        <v>2</v>
      </c>
      <c r="B6" s="205" t="s">
        <v>3</v>
      </c>
      <c r="C6" s="205"/>
    </row>
    <row r="7" spans="1:3" x14ac:dyDescent="0.25">
      <c r="A7" s="101" t="s">
        <v>4</v>
      </c>
      <c r="B7" s="1"/>
      <c r="C7" s="1"/>
    </row>
    <row r="8" spans="1:3" x14ac:dyDescent="0.25">
      <c r="A8" s="101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2" t="s">
        <v>8</v>
      </c>
      <c r="B10" s="103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7"/>
  <sheetViews>
    <sheetView view="pageBreakPreview" topLeftCell="A3" workbookViewId="0">
      <selection activeCell="C14" sqref="C14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117"/>
      <c r="B1" s="117"/>
      <c r="C1" s="117"/>
      <c r="D1" s="117" t="s">
        <v>280</v>
      </c>
    </row>
    <row r="2" spans="1:4" ht="15.75" customHeight="1" x14ac:dyDescent="0.25">
      <c r="A2" s="117"/>
      <c r="B2" s="117"/>
      <c r="C2" s="117"/>
      <c r="D2" s="117"/>
    </row>
    <row r="3" spans="1:4" ht="15.75" customHeight="1" x14ac:dyDescent="0.25">
      <c r="A3" s="117"/>
      <c r="B3" s="172" t="s">
        <v>281</v>
      </c>
      <c r="C3" s="117"/>
      <c r="D3" s="117"/>
    </row>
    <row r="4" spans="1:4" ht="15.75" customHeight="1" x14ac:dyDescent="0.25">
      <c r="A4" s="117"/>
      <c r="B4" s="117"/>
      <c r="C4" s="117"/>
      <c r="D4" s="117"/>
    </row>
    <row r="5" spans="1:4" ht="31.5" customHeight="1" x14ac:dyDescent="0.25">
      <c r="A5" s="251" t="s">
        <v>282</v>
      </c>
      <c r="B5" s="251"/>
      <c r="C5" s="251"/>
      <c r="D5" s="200" t="str">
        <f>'Прил.5 Расчет СМР и ОБ'!D6:J6</f>
        <v>Постоянная часть ПС, оборудование электропитания ПС 220 кВ</v>
      </c>
    </row>
    <row r="6" spans="1:4" ht="15.75" customHeight="1" x14ac:dyDescent="0.25">
      <c r="A6" s="117" t="s">
        <v>49</v>
      </c>
      <c r="B6" s="117"/>
      <c r="C6" s="117"/>
      <c r="D6" s="117"/>
    </row>
    <row r="7" spans="1:4" ht="15.75" customHeight="1" x14ac:dyDescent="0.25">
      <c r="A7" s="117"/>
      <c r="B7" s="117"/>
      <c r="C7" s="117"/>
      <c r="D7" s="117"/>
    </row>
    <row r="8" spans="1:4" x14ac:dyDescent="0.25">
      <c r="A8" s="215" t="s">
        <v>5</v>
      </c>
      <c r="B8" s="215" t="s">
        <v>6</v>
      </c>
      <c r="C8" s="215" t="s">
        <v>283</v>
      </c>
      <c r="D8" s="215" t="s">
        <v>284</v>
      </c>
    </row>
    <row r="9" spans="1:4" x14ac:dyDescent="0.25">
      <c r="A9" s="215"/>
      <c r="B9" s="215"/>
      <c r="C9" s="215"/>
      <c r="D9" s="215"/>
    </row>
    <row r="10" spans="1:4" ht="15.75" customHeight="1" x14ac:dyDescent="0.25">
      <c r="A10" s="140">
        <v>1</v>
      </c>
      <c r="B10" s="140">
        <v>2</v>
      </c>
      <c r="C10" s="140">
        <v>3</v>
      </c>
      <c r="D10" s="140">
        <v>4</v>
      </c>
    </row>
    <row r="11" spans="1:4" ht="63" customHeight="1" x14ac:dyDescent="0.25">
      <c r="A11" s="140" t="s">
        <v>285</v>
      </c>
      <c r="B11" s="202" t="s">
        <v>286</v>
      </c>
      <c r="C11" s="201" t="s">
        <v>287</v>
      </c>
      <c r="D11" s="141">
        <f>'Прил.4 РМ'!C41/1000</f>
        <v>2651.1365699999992</v>
      </c>
    </row>
    <row r="13" spans="1:4" x14ac:dyDescent="0.25">
      <c r="A13" s="4" t="s">
        <v>288</v>
      </c>
      <c r="B13" s="12"/>
      <c r="C13" s="12"/>
      <c r="D13" s="25"/>
    </row>
    <row r="14" spans="1:4" x14ac:dyDescent="0.25">
      <c r="A14" s="150" t="s">
        <v>76</v>
      </c>
      <c r="B14" s="12"/>
      <c r="C14" s="12"/>
      <c r="D14" s="25"/>
    </row>
    <row r="15" spans="1:4" ht="21" customHeight="1" x14ac:dyDescent="0.25">
      <c r="A15" s="4"/>
      <c r="B15" s="12"/>
      <c r="C15" s="12"/>
      <c r="D15" s="25"/>
    </row>
    <row r="16" spans="1:4" x14ac:dyDescent="0.25">
      <c r="A16" s="4" t="s">
        <v>77</v>
      </c>
      <c r="B16" s="12"/>
      <c r="C16" s="12"/>
      <c r="D16" s="25"/>
    </row>
    <row r="17" spans="1:4" x14ac:dyDescent="0.25">
      <c r="A17" s="150" t="s">
        <v>78</v>
      </c>
      <c r="B17" s="12"/>
      <c r="C17" s="12"/>
      <c r="D17" s="25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4:E31"/>
  <sheetViews>
    <sheetView view="pageBreakPreview" zoomScale="60" zoomScaleNormal="85" workbookViewId="0">
      <selection activeCell="D27" sqref="D27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210" t="s">
        <v>289</v>
      </c>
      <c r="C4" s="210"/>
      <c r="D4" s="210"/>
    </row>
    <row r="5" spans="2:5" ht="18.75" customHeight="1" x14ac:dyDescent="0.25">
      <c r="B5" s="147"/>
    </row>
    <row r="6" spans="2:5" ht="15.75" customHeight="1" x14ac:dyDescent="0.25">
      <c r="B6" s="211" t="s">
        <v>290</v>
      </c>
      <c r="C6" s="211"/>
      <c r="D6" s="211"/>
    </row>
    <row r="7" spans="2:5" x14ac:dyDescent="0.25">
      <c r="B7" s="252"/>
      <c r="C7" s="252"/>
      <c r="D7" s="252"/>
      <c r="E7" s="252"/>
    </row>
    <row r="8" spans="2:5" x14ac:dyDescent="0.25">
      <c r="B8" s="197"/>
      <c r="C8" s="197"/>
      <c r="D8" s="197"/>
      <c r="E8" s="197"/>
    </row>
    <row r="9" spans="2:5" ht="47.25" customHeight="1" x14ac:dyDescent="0.25">
      <c r="B9" s="140" t="s">
        <v>291</v>
      </c>
      <c r="C9" s="140" t="s">
        <v>292</v>
      </c>
      <c r="D9" s="140" t="s">
        <v>293</v>
      </c>
    </row>
    <row r="10" spans="2:5" ht="15.75" customHeight="1" x14ac:dyDescent="0.25">
      <c r="B10" s="140">
        <v>1</v>
      </c>
      <c r="C10" s="140">
        <v>2</v>
      </c>
      <c r="D10" s="140">
        <v>3</v>
      </c>
    </row>
    <row r="11" spans="2:5" ht="45" customHeight="1" x14ac:dyDescent="0.25">
      <c r="B11" s="140" t="s">
        <v>294</v>
      </c>
      <c r="C11" s="140" t="s">
        <v>295</v>
      </c>
      <c r="D11" s="140">
        <v>44.29</v>
      </c>
    </row>
    <row r="12" spans="2:5" ht="29.25" customHeight="1" x14ac:dyDescent="0.25">
      <c r="B12" s="140" t="s">
        <v>296</v>
      </c>
      <c r="C12" s="140" t="s">
        <v>295</v>
      </c>
      <c r="D12" s="140">
        <v>13.47</v>
      </c>
    </row>
    <row r="13" spans="2:5" ht="29.25" customHeight="1" x14ac:dyDescent="0.25">
      <c r="B13" s="140" t="s">
        <v>297</v>
      </c>
      <c r="C13" s="140" t="s">
        <v>295</v>
      </c>
      <c r="D13" s="140">
        <v>8.0399999999999991</v>
      </c>
    </row>
    <row r="14" spans="2:5" ht="30.75" customHeight="1" x14ac:dyDescent="0.25">
      <c r="B14" s="140" t="s">
        <v>298</v>
      </c>
      <c r="C14" s="120" t="s">
        <v>299</v>
      </c>
      <c r="D14" s="140">
        <v>6.26</v>
      </c>
    </row>
    <row r="15" spans="2:5" ht="89.25" customHeight="1" x14ac:dyDescent="0.25">
      <c r="B15" s="140" t="s">
        <v>300</v>
      </c>
      <c r="C15" s="140" t="s">
        <v>301</v>
      </c>
      <c r="D15" s="148">
        <v>2.5000000000000001E-2</v>
      </c>
    </row>
    <row r="16" spans="2:5" ht="78.75" customHeight="1" x14ac:dyDescent="0.25">
      <c r="B16" s="140" t="s">
        <v>302</v>
      </c>
      <c r="C16" s="140" t="s">
        <v>303</v>
      </c>
      <c r="D16" s="148">
        <v>2.1000000000000001E-2</v>
      </c>
    </row>
    <row r="17" spans="2:4" ht="34.5" customHeight="1" x14ac:dyDescent="0.25">
      <c r="B17" s="140"/>
      <c r="C17" s="140"/>
      <c r="D17" s="140"/>
    </row>
    <row r="18" spans="2:4" ht="31.5" customHeight="1" x14ac:dyDescent="0.25">
      <c r="B18" s="140" t="s">
        <v>304</v>
      </c>
      <c r="C18" s="140" t="s">
        <v>305</v>
      </c>
      <c r="D18" s="148">
        <v>2.1399999999999999E-2</v>
      </c>
    </row>
    <row r="19" spans="2:4" ht="31.5" customHeight="1" x14ac:dyDescent="0.25">
      <c r="B19" s="140" t="s">
        <v>227</v>
      </c>
      <c r="C19" s="140" t="s">
        <v>306</v>
      </c>
      <c r="D19" s="148">
        <v>2E-3</v>
      </c>
    </row>
    <row r="20" spans="2:4" ht="24" customHeight="1" x14ac:dyDescent="0.25">
      <c r="B20" s="140" t="s">
        <v>229</v>
      </c>
      <c r="C20" s="140" t="s">
        <v>307</v>
      </c>
      <c r="D20" s="148">
        <v>0.03</v>
      </c>
    </row>
    <row r="21" spans="2:4" ht="18.75" customHeight="1" x14ac:dyDescent="0.25">
      <c r="B21" s="149"/>
    </row>
    <row r="22" spans="2:4" ht="18.75" customHeight="1" x14ac:dyDescent="0.25">
      <c r="B22" s="149"/>
    </row>
    <row r="23" spans="2:4" ht="18.75" customHeight="1" x14ac:dyDescent="0.25">
      <c r="B23" s="149"/>
    </row>
    <row r="24" spans="2:4" ht="18.75" customHeight="1" x14ac:dyDescent="0.25">
      <c r="B24" s="149"/>
    </row>
    <row r="27" spans="2:4" x14ac:dyDescent="0.25">
      <c r="B27" s="4" t="s">
        <v>308</v>
      </c>
      <c r="C27" s="12"/>
    </row>
    <row r="28" spans="2:4" x14ac:dyDescent="0.25">
      <c r="B28" s="150" t="s">
        <v>76</v>
      </c>
      <c r="C28" s="12"/>
    </row>
    <row r="29" spans="2:4" x14ac:dyDescent="0.25">
      <c r="B29" s="4"/>
      <c r="C29" s="12"/>
    </row>
    <row r="30" spans="2:4" x14ac:dyDescent="0.25">
      <c r="B30" s="4" t="s">
        <v>272</v>
      </c>
      <c r="C30" s="12"/>
    </row>
    <row r="31" spans="2:4" x14ac:dyDescent="0.25">
      <c r="B31" s="150" t="s">
        <v>78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I13" sqref="I13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11" t="s">
        <v>309</v>
      </c>
      <c r="B2" s="211"/>
      <c r="C2" s="211"/>
      <c r="D2" s="211"/>
      <c r="E2" s="211"/>
      <c r="F2" s="211"/>
    </row>
    <row r="4" spans="1:7" ht="18" customHeight="1" x14ac:dyDescent="0.25">
      <c r="A4" s="137" t="s">
        <v>310</v>
      </c>
      <c r="B4" s="117"/>
      <c r="C4" s="117"/>
      <c r="D4" s="117"/>
      <c r="E4" s="117"/>
      <c r="F4" s="117"/>
      <c r="G4" s="117"/>
    </row>
    <row r="5" spans="1:7" ht="15.75" customHeight="1" x14ac:dyDescent="0.25">
      <c r="A5" s="138" t="s">
        <v>13</v>
      </c>
      <c r="B5" s="138" t="s">
        <v>311</v>
      </c>
      <c r="C5" s="138" t="s">
        <v>312</v>
      </c>
      <c r="D5" s="138" t="s">
        <v>313</v>
      </c>
      <c r="E5" s="138" t="s">
        <v>314</v>
      </c>
      <c r="F5" s="138" t="s">
        <v>315</v>
      </c>
      <c r="G5" s="117"/>
    </row>
    <row r="6" spans="1:7" ht="15.75" customHeight="1" x14ac:dyDescent="0.25">
      <c r="A6" s="138">
        <v>1</v>
      </c>
      <c r="B6" s="138">
        <v>2</v>
      </c>
      <c r="C6" s="138">
        <v>3</v>
      </c>
      <c r="D6" s="138">
        <v>4</v>
      </c>
      <c r="E6" s="138">
        <v>5</v>
      </c>
      <c r="F6" s="138">
        <v>6</v>
      </c>
      <c r="G6" s="117"/>
    </row>
    <row r="7" spans="1:7" ht="110.25" customHeight="1" x14ac:dyDescent="0.25">
      <c r="A7" s="139" t="s">
        <v>316</v>
      </c>
      <c r="B7" s="115" t="s">
        <v>317</v>
      </c>
      <c r="C7" s="140" t="s">
        <v>318</v>
      </c>
      <c r="D7" s="140" t="s">
        <v>319</v>
      </c>
      <c r="E7" s="141">
        <v>47872.94</v>
      </c>
      <c r="F7" s="115" t="s">
        <v>320</v>
      </c>
      <c r="G7" s="117"/>
    </row>
    <row r="8" spans="1:7" ht="31.5" customHeight="1" x14ac:dyDescent="0.25">
      <c r="A8" s="139" t="s">
        <v>321</v>
      </c>
      <c r="B8" s="115" t="s">
        <v>322</v>
      </c>
      <c r="C8" s="140" t="s">
        <v>323</v>
      </c>
      <c r="D8" s="140" t="s">
        <v>324</v>
      </c>
      <c r="E8" s="141">
        <f>1973/12</f>
        <v>164.41666666667001</v>
      </c>
      <c r="F8" s="115" t="s">
        <v>325</v>
      </c>
      <c r="G8" s="116"/>
    </row>
    <row r="9" spans="1:7" ht="15.75" customHeight="1" x14ac:dyDescent="0.25">
      <c r="A9" s="139" t="s">
        <v>326</v>
      </c>
      <c r="B9" s="115" t="s">
        <v>327</v>
      </c>
      <c r="C9" s="140" t="s">
        <v>328</v>
      </c>
      <c r="D9" s="140" t="s">
        <v>319</v>
      </c>
      <c r="E9" s="141">
        <v>1</v>
      </c>
      <c r="F9" s="115"/>
      <c r="G9" s="116"/>
    </row>
    <row r="10" spans="1:7" ht="15.75" customHeight="1" x14ac:dyDescent="0.25">
      <c r="A10" s="139" t="s">
        <v>329</v>
      </c>
      <c r="B10" s="115" t="s">
        <v>330</v>
      </c>
      <c r="C10" s="140"/>
      <c r="D10" s="140"/>
      <c r="E10" s="142">
        <v>3.8</v>
      </c>
      <c r="F10" s="115" t="s">
        <v>331</v>
      </c>
      <c r="G10" s="116"/>
    </row>
    <row r="11" spans="1:7" ht="78.75" customHeight="1" x14ac:dyDescent="0.25">
      <c r="A11" s="139" t="s">
        <v>332</v>
      </c>
      <c r="B11" s="115" t="s">
        <v>333</v>
      </c>
      <c r="C11" s="140" t="s">
        <v>334</v>
      </c>
      <c r="D11" s="140" t="s">
        <v>319</v>
      </c>
      <c r="E11" s="143">
        <v>1.3080000000000001</v>
      </c>
      <c r="F11" s="115" t="s">
        <v>335</v>
      </c>
      <c r="G11" s="117"/>
    </row>
    <row r="12" spans="1:7" ht="78.75" customHeight="1" x14ac:dyDescent="0.25">
      <c r="A12" s="139" t="s">
        <v>336</v>
      </c>
      <c r="B12" s="119" t="s">
        <v>337</v>
      </c>
      <c r="C12" s="140" t="s">
        <v>338</v>
      </c>
      <c r="D12" s="140" t="s">
        <v>319</v>
      </c>
      <c r="E12" s="144">
        <v>1.139</v>
      </c>
      <c r="F12" s="145" t="s">
        <v>339</v>
      </c>
      <c r="G12" s="116"/>
    </row>
    <row r="13" spans="1:7" ht="63" customHeight="1" x14ac:dyDescent="0.25">
      <c r="A13" s="139" t="s">
        <v>340</v>
      </c>
      <c r="B13" s="133" t="s">
        <v>341</v>
      </c>
      <c r="C13" s="140" t="s">
        <v>342</v>
      </c>
      <c r="D13" s="140" t="s">
        <v>343</v>
      </c>
      <c r="E13" s="146">
        <f>((E7*E9/E8)*E11)*E12</f>
        <v>433.78619657747998</v>
      </c>
      <c r="F13" s="115" t="s">
        <v>344</v>
      </c>
      <c r="G13" s="117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8" customFormat="1" ht="29.45" customHeight="1" x14ac:dyDescent="0.2">
      <c r="A1" s="253" t="s">
        <v>345</v>
      </c>
      <c r="B1" s="253"/>
      <c r="C1" s="253"/>
      <c r="D1" s="253"/>
      <c r="E1" s="253"/>
      <c r="F1" s="253"/>
      <c r="G1" s="253"/>
      <c r="H1" s="253"/>
      <c r="I1" s="253"/>
    </row>
    <row r="2" spans="1:13" s="28" customFormat="1" ht="13.5" customHeight="1" x14ac:dyDescent="0.2">
      <c r="A2" s="29"/>
      <c r="B2" s="29"/>
      <c r="C2" s="29"/>
      <c r="D2" s="29"/>
      <c r="E2" s="29"/>
      <c r="F2" s="29"/>
      <c r="G2" s="29"/>
      <c r="H2" s="29"/>
      <c r="I2" s="29"/>
    </row>
    <row r="3" spans="1:13" s="28" customFormat="1" ht="34.5" customHeight="1" x14ac:dyDescent="0.2">
      <c r="A3" s="206" t="e">
        <f>#REF!</f>
        <v>#REF!</v>
      </c>
      <c r="B3" s="206"/>
      <c r="C3" s="206"/>
      <c r="D3" s="206"/>
      <c r="E3" s="206"/>
      <c r="F3" s="206"/>
      <c r="G3" s="206"/>
      <c r="H3" s="206"/>
      <c r="I3" s="206"/>
    </row>
    <row r="4" spans="1:13" s="4" customFormat="1" ht="15.75" customHeight="1" x14ac:dyDescent="0.2">
      <c r="A4" s="254"/>
      <c r="B4" s="254"/>
      <c r="C4" s="254"/>
      <c r="D4" s="254"/>
      <c r="E4" s="254"/>
      <c r="F4" s="254"/>
      <c r="G4" s="254"/>
      <c r="H4" s="254"/>
      <c r="I4" s="254"/>
    </row>
    <row r="5" spans="1:13" s="30" customFormat="1" ht="36.6" customHeight="1" x14ac:dyDescent="0.35">
      <c r="A5" s="255" t="s">
        <v>13</v>
      </c>
      <c r="B5" s="255" t="s">
        <v>346</v>
      </c>
      <c r="C5" s="255" t="s">
        <v>347</v>
      </c>
      <c r="D5" s="255" t="s">
        <v>348</v>
      </c>
      <c r="E5" s="250" t="s">
        <v>349</v>
      </c>
      <c r="F5" s="250"/>
      <c r="G5" s="250"/>
      <c r="H5" s="250"/>
      <c r="I5" s="250"/>
    </row>
    <row r="6" spans="1:13" s="25" customFormat="1" ht="31.5" customHeight="1" x14ac:dyDescent="0.2">
      <c r="A6" s="255"/>
      <c r="B6" s="255"/>
      <c r="C6" s="255"/>
      <c r="D6" s="255"/>
      <c r="E6" s="31" t="s">
        <v>85</v>
      </c>
      <c r="F6" s="31" t="s">
        <v>86</v>
      </c>
      <c r="G6" s="31" t="s">
        <v>43</v>
      </c>
      <c r="H6" s="31" t="s">
        <v>350</v>
      </c>
      <c r="I6" s="31" t="s">
        <v>351</v>
      </c>
    </row>
    <row r="7" spans="1:13" s="25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5" customFormat="1" ht="13.15" customHeight="1" x14ac:dyDescent="0.2">
      <c r="A8" s="32">
        <v>1</v>
      </c>
      <c r="B8" s="33"/>
      <c r="C8" s="8" t="s">
        <v>217</v>
      </c>
      <c r="D8" s="34"/>
      <c r="E8" s="27">
        <f>'4.3 Отдел 2. Тех.характеристики'!H4/1000</f>
        <v>3.98509</v>
      </c>
      <c r="F8" s="27">
        <f>'4.3 Отдел 2. Тех.характеристики'!I4/1000</f>
        <v>3.1536300000000002</v>
      </c>
      <c r="G8" s="27">
        <f>'4.3 Отдел 2. Тех.характеристики'!J4/1000</f>
        <v>94.532139999999998</v>
      </c>
      <c r="H8" s="27"/>
      <c r="I8" s="27">
        <f>E8+F8+G8</f>
        <v>101.67086</v>
      </c>
      <c r="K8" s="35"/>
      <c r="L8" s="35"/>
      <c r="M8" s="35"/>
    </row>
    <row r="9" spans="1:13" s="25" customFormat="1" ht="38.25" customHeight="1" x14ac:dyDescent="0.2">
      <c r="A9" s="32">
        <v>2</v>
      </c>
      <c r="B9" s="8" t="s">
        <v>352</v>
      </c>
      <c r="C9" s="8" t="s">
        <v>353</v>
      </c>
      <c r="D9" s="105">
        <v>3.9E-2</v>
      </c>
      <c r="E9" s="27">
        <f>E8*D9</f>
        <v>0.15541851000000001</v>
      </c>
      <c r="F9" s="27">
        <f>F8*D9</f>
        <v>0.12299156999999999</v>
      </c>
      <c r="G9" s="27"/>
      <c r="H9" s="27"/>
      <c r="I9" s="27">
        <f>E9+F9</f>
        <v>0.27841008</v>
      </c>
    </row>
    <row r="10" spans="1:13" s="25" customFormat="1" ht="13.15" customHeight="1" x14ac:dyDescent="0.2">
      <c r="A10" s="32"/>
      <c r="B10" s="8"/>
      <c r="C10" s="8"/>
      <c r="D10" s="16"/>
      <c r="E10" s="27"/>
      <c r="F10" s="27"/>
      <c r="G10" s="27"/>
      <c r="H10" s="27"/>
      <c r="I10" s="27"/>
    </row>
    <row r="11" spans="1:13" s="25" customFormat="1" ht="51" customHeight="1" x14ac:dyDescent="0.2">
      <c r="A11" s="32">
        <v>3</v>
      </c>
      <c r="B11" s="8" t="s">
        <v>354</v>
      </c>
      <c r="C11" s="8" t="s">
        <v>302</v>
      </c>
      <c r="D11" s="105">
        <v>2.1000000000000001E-2</v>
      </c>
      <c r="E11" s="27">
        <f>(E8+E9)*D11</f>
        <v>8.6950678710000007E-2</v>
      </c>
      <c r="F11" s="27"/>
      <c r="G11" s="27"/>
      <c r="H11" s="27" t="s">
        <v>106</v>
      </c>
      <c r="I11" s="27">
        <f>E11</f>
        <v>8.6950678710000007E-2</v>
      </c>
    </row>
    <row r="12" spans="1:13" s="25" customFormat="1" ht="45" customHeight="1" x14ac:dyDescent="0.2">
      <c r="A12" s="32">
        <v>4</v>
      </c>
      <c r="B12" s="8" t="s">
        <v>355</v>
      </c>
      <c r="C12" s="8" t="s">
        <v>356</v>
      </c>
      <c r="D12" s="16">
        <v>5.6000000000000001E-2</v>
      </c>
      <c r="E12" s="27"/>
      <c r="F12" s="27"/>
      <c r="G12" s="27"/>
      <c r="H12" s="27">
        <f>(G8+F8)*D12</f>
        <v>5.4704031200000003</v>
      </c>
      <c r="I12" s="27">
        <f>H12</f>
        <v>5.4704031200000003</v>
      </c>
      <c r="J12" s="36" t="s">
        <v>357</v>
      </c>
    </row>
    <row r="13" spans="1:13" s="25" customFormat="1" ht="13.15" customHeight="1" x14ac:dyDescent="0.2">
      <c r="A13" s="32"/>
      <c r="B13" s="8"/>
      <c r="C13" s="8"/>
      <c r="D13" s="16"/>
      <c r="E13" s="27"/>
      <c r="F13" s="27"/>
      <c r="G13" s="27"/>
      <c r="H13" s="27"/>
      <c r="I13" s="27"/>
    </row>
    <row r="14" spans="1:13" s="25" customFormat="1" ht="39.6" customHeight="1" x14ac:dyDescent="0.2">
      <c r="A14" s="32">
        <v>5</v>
      </c>
      <c r="B14" s="8" t="s">
        <v>305</v>
      </c>
      <c r="C14" s="8" t="s">
        <v>358</v>
      </c>
      <c r="D14" s="105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7"/>
      <c r="F14" s="27"/>
      <c r="G14" s="27"/>
      <c r="H14" s="27">
        <f>(I8+I9+I11+I12)*D14*1</f>
        <v>2.3006417510044002</v>
      </c>
      <c r="I14" s="27">
        <f>H14</f>
        <v>2.3006417510044002</v>
      </c>
      <c r="J14" s="37">
        <f>(I8+I9+I11+I12)/1000</f>
        <v>0.10750662387871</v>
      </c>
    </row>
    <row r="15" spans="1:13" s="25" customFormat="1" ht="13.15" customHeight="1" x14ac:dyDescent="0.2">
      <c r="A15" s="32"/>
      <c r="B15" s="8"/>
      <c r="C15" s="8"/>
      <c r="D15" s="16"/>
      <c r="E15" s="27"/>
      <c r="F15" s="27"/>
      <c r="G15" s="27"/>
      <c r="H15" s="27"/>
      <c r="I15" s="27"/>
    </row>
    <row r="16" spans="1:13" s="25" customFormat="1" ht="39.6" customHeight="1" x14ac:dyDescent="0.2">
      <c r="A16" s="32">
        <v>6</v>
      </c>
      <c r="B16" s="8" t="s">
        <v>359</v>
      </c>
      <c r="C16" s="8" t="s">
        <v>360</v>
      </c>
      <c r="D16" s="16">
        <v>0</v>
      </c>
      <c r="E16" s="27"/>
      <c r="F16" s="27"/>
      <c r="G16" s="27"/>
      <c r="H16" s="27">
        <f>(E8+F8)*D16</f>
        <v>0</v>
      </c>
      <c r="I16" s="27">
        <f>H16</f>
        <v>0</v>
      </c>
      <c r="J16" s="36" t="s">
        <v>361</v>
      </c>
    </row>
    <row r="17" spans="1:10" s="25" customFormat="1" ht="81.75" customHeight="1" x14ac:dyDescent="0.2">
      <c r="A17" s="32">
        <v>7</v>
      </c>
      <c r="B17" s="8" t="s">
        <v>359</v>
      </c>
      <c r="C17" s="8" t="s">
        <v>362</v>
      </c>
      <c r="D17" s="16">
        <v>0</v>
      </c>
      <c r="E17" s="27"/>
      <c r="F17" s="27"/>
      <c r="G17" s="27"/>
      <c r="H17" s="27">
        <f>(E9+F9)*D17</f>
        <v>0</v>
      </c>
      <c r="I17" s="27">
        <f>H17</f>
        <v>0</v>
      </c>
      <c r="J17" s="36"/>
    </row>
    <row r="18" spans="1:10" s="25" customFormat="1" ht="13.15" customHeight="1" x14ac:dyDescent="0.2">
      <c r="A18" s="32"/>
      <c r="B18" s="8"/>
      <c r="C18" s="8"/>
      <c r="D18" s="16"/>
      <c r="E18" s="27"/>
      <c r="F18" s="27"/>
      <c r="G18" s="27"/>
      <c r="H18" s="27"/>
      <c r="I18" s="27"/>
    </row>
    <row r="19" spans="1:10" s="39" customFormat="1" ht="13.15" customHeight="1" x14ac:dyDescent="0.2">
      <c r="A19" s="32">
        <v>8</v>
      </c>
      <c r="B19" s="8"/>
      <c r="C19" s="8" t="s">
        <v>363</v>
      </c>
      <c r="D19" s="38"/>
      <c r="E19" s="27">
        <f>SUM(E8:E18)</f>
        <v>4.2274591887100001</v>
      </c>
      <c r="F19" s="27"/>
      <c r="G19" s="27">
        <f>SUM(G8:G18)</f>
        <v>94.532139999999998</v>
      </c>
      <c r="H19" s="27">
        <f>SUM(H8:H18)</f>
        <v>7.7710448710044</v>
      </c>
      <c r="I19" s="27">
        <f>SUM(I8:I18)</f>
        <v>109.80726562971</v>
      </c>
    </row>
    <row r="20" spans="1:10" s="25" customFormat="1" ht="51" customHeight="1" x14ac:dyDescent="0.2">
      <c r="A20" s="32">
        <v>9</v>
      </c>
      <c r="B20" s="8" t="s">
        <v>364</v>
      </c>
      <c r="C20" s="8" t="s">
        <v>229</v>
      </c>
      <c r="D20" s="40">
        <v>0.03</v>
      </c>
      <c r="E20" s="27">
        <f>E19*3%</f>
        <v>0.12682377566129999</v>
      </c>
      <c r="F20" s="27"/>
      <c r="G20" s="27">
        <f>G19*3%</f>
        <v>2.8359641999999998</v>
      </c>
      <c r="H20" s="27">
        <f>H19*3%</f>
        <v>0.23313134613013001</v>
      </c>
      <c r="I20" s="27">
        <f>I19*3%</f>
        <v>3.2942179688914002</v>
      </c>
    </row>
    <row r="21" spans="1:10" s="28" customFormat="1" ht="13.15" customHeight="1" x14ac:dyDescent="0.2">
      <c r="A21" s="32">
        <v>10</v>
      </c>
      <c r="B21" s="8"/>
      <c r="C21" s="8" t="s">
        <v>365</v>
      </c>
      <c r="D21" s="41"/>
      <c r="E21" s="27"/>
      <c r="F21" s="27"/>
      <c r="G21" s="27"/>
      <c r="H21" s="27"/>
      <c r="I21" s="27">
        <f>I19+I20</f>
        <v>113.10148359861</v>
      </c>
    </row>
    <row r="22" spans="1:10" s="28" customFormat="1" ht="13.15" customHeight="1" x14ac:dyDescent="0.2">
      <c r="A22" s="42"/>
      <c r="B22" s="43"/>
      <c r="C22" s="43"/>
      <c r="D22" s="44"/>
      <c r="E22" s="45"/>
      <c r="F22" s="45"/>
      <c r="G22" s="45"/>
      <c r="H22" s="45"/>
      <c r="I22" s="45"/>
    </row>
    <row r="23" spans="1:10" x14ac:dyDescent="0.25">
      <c r="A23" s="4" t="s">
        <v>366</v>
      </c>
      <c r="B23" s="46"/>
      <c r="C23" s="4"/>
      <c r="D23" s="25"/>
      <c r="E23" s="25"/>
      <c r="F23" s="25"/>
      <c r="G23" s="25"/>
      <c r="H23" s="25"/>
      <c r="I23" s="25"/>
    </row>
    <row r="24" spans="1:10" x14ac:dyDescent="0.25">
      <c r="A24" s="26" t="s">
        <v>367</v>
      </c>
      <c r="B24" s="46"/>
      <c r="C24" s="4"/>
      <c r="D24" s="25"/>
      <c r="E24" s="25"/>
      <c r="F24" s="25"/>
      <c r="G24" s="25"/>
      <c r="H24" s="25"/>
      <c r="I24" s="25"/>
    </row>
    <row r="25" spans="1:10" x14ac:dyDescent="0.25">
      <c r="A25" s="4"/>
      <c r="B25" s="46"/>
      <c r="C25" s="4"/>
      <c r="D25" s="25"/>
      <c r="E25" s="25"/>
      <c r="F25" s="25"/>
      <c r="G25" s="25"/>
      <c r="H25" s="25"/>
      <c r="I25" s="25"/>
    </row>
    <row r="26" spans="1:10" x14ac:dyDescent="0.25">
      <c r="A26" s="4" t="s">
        <v>368</v>
      </c>
      <c r="B26" s="46"/>
      <c r="C26" s="4"/>
      <c r="D26" s="25"/>
      <c r="E26" s="25"/>
      <c r="F26" s="25"/>
      <c r="G26" s="25"/>
      <c r="H26" s="25"/>
      <c r="I26" s="25"/>
    </row>
    <row r="27" spans="1:10" x14ac:dyDescent="0.25">
      <c r="A27" s="26" t="s">
        <v>369</v>
      </c>
      <c r="B27" s="46"/>
      <c r="C27" s="4"/>
      <c r="D27" s="25"/>
      <c r="E27" s="25"/>
      <c r="F27" s="25"/>
      <c r="G27" s="25"/>
      <c r="H27" s="25"/>
      <c r="I27" s="25"/>
    </row>
    <row r="28" spans="1:10" x14ac:dyDescent="0.25">
      <c r="B28" s="47"/>
    </row>
    <row r="29" spans="1:10" x14ac:dyDescent="0.25">
      <c r="B29" s="47"/>
    </row>
    <row r="30" spans="1:10" x14ac:dyDescent="0.25">
      <c r="B30" s="47"/>
    </row>
    <row r="31" spans="1:10" x14ac:dyDescent="0.25">
      <c r="B31" s="47"/>
    </row>
    <row r="32" spans="1:10" x14ac:dyDescent="0.25">
      <c r="B32" s="47"/>
    </row>
    <row r="33" spans="2:2" x14ac:dyDescent="0.25">
      <c r="B33" s="47"/>
    </row>
    <row r="34" spans="2:2" x14ac:dyDescent="0.25">
      <c r="B34" s="47"/>
    </row>
    <row r="35" spans="2:2" x14ac:dyDescent="0.25">
      <c r="B35" s="47"/>
    </row>
    <row r="36" spans="2:2" x14ac:dyDescent="0.25">
      <c r="B36" s="47"/>
    </row>
    <row r="37" spans="2:2" x14ac:dyDescent="0.25">
      <c r="B37" s="47"/>
    </row>
    <row r="38" spans="2:2" x14ac:dyDescent="0.25">
      <c r="B38" s="47"/>
    </row>
    <row r="39" spans="2:2" x14ac:dyDescent="0.25">
      <c r="B39" s="47"/>
    </row>
    <row r="40" spans="2:2" x14ac:dyDescent="0.25">
      <c r="B40" s="47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60" t="s">
        <v>370</v>
      </c>
      <c r="O2" s="260"/>
    </row>
    <row r="3" spans="1:16" x14ac:dyDescent="0.25">
      <c r="A3" s="261" t="s">
        <v>371</v>
      </c>
      <c r="B3" s="261"/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</row>
    <row r="5" spans="1:16" ht="37.5" customHeight="1" x14ac:dyDescent="0.25">
      <c r="A5" s="262" t="s">
        <v>372</v>
      </c>
      <c r="B5" s="265" t="s">
        <v>373</v>
      </c>
      <c r="C5" s="268" t="s">
        <v>374</v>
      </c>
      <c r="D5" s="271" t="s">
        <v>375</v>
      </c>
      <c r="E5" s="272"/>
      <c r="F5" s="272"/>
      <c r="G5" s="272"/>
      <c r="H5" s="272"/>
      <c r="I5" s="271" t="s">
        <v>376</v>
      </c>
      <c r="J5" s="272"/>
      <c r="K5" s="272"/>
      <c r="L5" s="272"/>
      <c r="M5" s="272"/>
      <c r="N5" s="272"/>
      <c r="O5" s="48" t="s">
        <v>377</v>
      </c>
    </row>
    <row r="6" spans="1:16" s="51" customFormat="1" ht="150" customHeight="1" x14ac:dyDescent="0.25">
      <c r="A6" s="263"/>
      <c r="B6" s="266"/>
      <c r="C6" s="269"/>
      <c r="D6" s="268" t="s">
        <v>378</v>
      </c>
      <c r="E6" s="273" t="s">
        <v>379</v>
      </c>
      <c r="F6" s="274"/>
      <c r="G6" s="275"/>
      <c r="H6" s="49" t="s">
        <v>380</v>
      </c>
      <c r="I6" s="276" t="s">
        <v>381</v>
      </c>
      <c r="J6" s="276" t="s">
        <v>378</v>
      </c>
      <c r="K6" s="277" t="s">
        <v>379</v>
      </c>
      <c r="L6" s="277"/>
      <c r="M6" s="277"/>
      <c r="N6" s="49" t="s">
        <v>380</v>
      </c>
      <c r="O6" s="50" t="s">
        <v>382</v>
      </c>
    </row>
    <row r="7" spans="1:16" s="51" customFormat="1" ht="30.75" customHeight="1" x14ac:dyDescent="0.25">
      <c r="A7" s="264"/>
      <c r="B7" s="267"/>
      <c r="C7" s="270"/>
      <c r="D7" s="270"/>
      <c r="E7" s="48" t="s">
        <v>85</v>
      </c>
      <c r="F7" s="48" t="s">
        <v>86</v>
      </c>
      <c r="G7" s="48" t="s">
        <v>43</v>
      </c>
      <c r="H7" s="52" t="s">
        <v>383</v>
      </c>
      <c r="I7" s="276"/>
      <c r="J7" s="276"/>
      <c r="K7" s="48" t="s">
        <v>85</v>
      </c>
      <c r="L7" s="48" t="s">
        <v>86</v>
      </c>
      <c r="M7" s="48" t="s">
        <v>43</v>
      </c>
      <c r="N7" s="52" t="s">
        <v>383</v>
      </c>
      <c r="O7" s="48" t="s">
        <v>384</v>
      </c>
    </row>
    <row r="8" spans="1:16" s="51" customFormat="1" x14ac:dyDescent="0.25">
      <c r="A8" s="53">
        <v>1</v>
      </c>
      <c r="B8" s="53">
        <v>2</v>
      </c>
      <c r="C8" s="53">
        <v>3</v>
      </c>
      <c r="D8" s="53">
        <v>4</v>
      </c>
      <c r="E8" s="53">
        <v>5</v>
      </c>
      <c r="F8" s="53">
        <v>6</v>
      </c>
      <c r="G8" s="53">
        <v>7</v>
      </c>
      <c r="H8" s="53">
        <v>8</v>
      </c>
      <c r="I8" s="53">
        <v>9</v>
      </c>
      <c r="J8" s="53">
        <v>10</v>
      </c>
      <c r="K8" s="53">
        <v>11</v>
      </c>
      <c r="L8" s="53">
        <v>12</v>
      </c>
      <c r="M8" s="53">
        <v>13</v>
      </c>
      <c r="N8" s="53">
        <v>14</v>
      </c>
      <c r="O8" s="53">
        <v>15</v>
      </c>
    </row>
    <row r="9" spans="1:16" s="51" customFormat="1" ht="102.75" customHeight="1" x14ac:dyDescent="0.25">
      <c r="A9" s="53">
        <v>1</v>
      </c>
      <c r="B9" s="262" t="s">
        <v>385</v>
      </c>
      <c r="C9" s="54" t="s">
        <v>386</v>
      </c>
      <c r="D9" s="55">
        <f t="shared" ref="D9:D15" si="0">SUM(E9:G9)</f>
        <v>583.41863000000001</v>
      </c>
      <c r="E9" s="55">
        <f>340656.93/1000</f>
        <v>340.65692999999999</v>
      </c>
      <c r="F9" s="55">
        <f>242761.7/1000</f>
        <v>242.76169999999999</v>
      </c>
      <c r="G9" s="55">
        <v>0</v>
      </c>
      <c r="H9" s="55">
        <f>(713.49*0.8)/1000</f>
        <v>0.57079199999999997</v>
      </c>
      <c r="I9" s="55">
        <v>11656.266250000001</v>
      </c>
      <c r="J9" s="55">
        <f t="shared" ref="J9:J15" si="1">K9+L9+M9</f>
        <v>3553.0194566999999</v>
      </c>
      <c r="K9" s="55">
        <f>E9*H22</f>
        <v>2074.6007036999999</v>
      </c>
      <c r="L9" s="55">
        <f>F9*H22</f>
        <v>1478.4187529999999</v>
      </c>
      <c r="M9" s="55">
        <f>G9*H24</f>
        <v>0</v>
      </c>
      <c r="N9" s="55">
        <f>H9*H25</f>
        <v>6.48990504</v>
      </c>
      <c r="O9" s="56">
        <f t="shared" ref="O9:O15" si="2">N9/(L9+M9)</f>
        <v>4.389761038157E-3</v>
      </c>
    </row>
    <row r="10" spans="1:16" s="51" customFormat="1" ht="54.75" customHeight="1" x14ac:dyDescent="0.25">
      <c r="A10" s="52">
        <v>2</v>
      </c>
      <c r="B10" s="264"/>
      <c r="C10" s="57" t="s">
        <v>387</v>
      </c>
      <c r="D10" s="55">
        <f t="shared" si="0"/>
        <v>2228.558</v>
      </c>
      <c r="E10" s="55">
        <f>430700/1000</f>
        <v>430.7</v>
      </c>
      <c r="F10" s="55">
        <f>1797858/1000</f>
        <v>1797.8579999999999</v>
      </c>
      <c r="G10" s="55">
        <v>0</v>
      </c>
      <c r="H10" s="55">
        <f>1685/1000</f>
        <v>1.6850000000000001</v>
      </c>
      <c r="I10" s="55">
        <f>15834377.63/1000</f>
        <v>15834.377630000001</v>
      </c>
      <c r="J10" s="55">
        <f t="shared" si="1"/>
        <v>14351.91352</v>
      </c>
      <c r="K10" s="55">
        <f>E10*I22</f>
        <v>2773.7080000000001</v>
      </c>
      <c r="L10" s="55">
        <f>F10*I22</f>
        <v>11578.20552</v>
      </c>
      <c r="M10" s="55">
        <f>G10*I24</f>
        <v>0</v>
      </c>
      <c r="N10" s="55">
        <f>H10*I25</f>
        <v>14.1877</v>
      </c>
      <c r="O10" s="56">
        <f t="shared" si="2"/>
        <v>1.2253798721652001E-3</v>
      </c>
      <c r="P10" s="58"/>
    </row>
    <row r="11" spans="1:16" s="51" customFormat="1" ht="24.6" customHeight="1" x14ac:dyDescent="0.25">
      <c r="A11" s="53">
        <v>3</v>
      </c>
      <c r="B11" s="262" t="s">
        <v>388</v>
      </c>
      <c r="C11" s="57" t="s">
        <v>389</v>
      </c>
      <c r="D11" s="55">
        <f t="shared" si="0"/>
        <v>22378.080000000002</v>
      </c>
      <c r="E11" s="55">
        <v>15858.44</v>
      </c>
      <c r="F11" s="55">
        <v>6519.64</v>
      </c>
      <c r="G11" s="55">
        <v>0</v>
      </c>
      <c r="H11" s="55">
        <v>9.7100000000000009</v>
      </c>
      <c r="I11" s="55">
        <v>170961.79</v>
      </c>
      <c r="J11" s="55">
        <f t="shared" si="1"/>
        <v>129121.52159999999</v>
      </c>
      <c r="K11" s="55">
        <f>E11*J22</f>
        <v>91503.198799999998</v>
      </c>
      <c r="L11" s="55">
        <f>F11*J22</f>
        <v>37618.322800000002</v>
      </c>
      <c r="M11" s="55">
        <f>G11*J24</f>
        <v>0</v>
      </c>
      <c r="N11" s="55">
        <f>H11*J25</f>
        <v>154.48609999999999</v>
      </c>
      <c r="O11" s="56">
        <f t="shared" si="2"/>
        <v>4.1066716562919003E-3</v>
      </c>
    </row>
    <row r="12" spans="1:16" s="51" customFormat="1" ht="31.9" customHeight="1" x14ac:dyDescent="0.25">
      <c r="A12" s="52">
        <v>4</v>
      </c>
      <c r="B12" s="264"/>
      <c r="C12" s="57" t="s">
        <v>390</v>
      </c>
      <c r="D12" s="55">
        <f t="shared" si="0"/>
        <v>93405.18</v>
      </c>
      <c r="E12" s="55">
        <v>53163.12</v>
      </c>
      <c r="F12" s="55">
        <v>40153.81</v>
      </c>
      <c r="G12" s="55">
        <v>88.25</v>
      </c>
      <c r="H12" s="55">
        <v>33.76</v>
      </c>
      <c r="I12" s="55">
        <v>725870.83</v>
      </c>
      <c r="J12" s="55">
        <f t="shared" si="1"/>
        <v>538845.47</v>
      </c>
      <c r="K12" s="55">
        <v>306751.18</v>
      </c>
      <c r="L12" s="55">
        <v>231687.44</v>
      </c>
      <c r="M12" s="55">
        <v>406.85</v>
      </c>
      <c r="N12" s="55">
        <v>537.07000000000005</v>
      </c>
      <c r="O12" s="56">
        <f t="shared" si="2"/>
        <v>2.3140164284093001E-3</v>
      </c>
    </row>
    <row r="13" spans="1:16" s="51" customFormat="1" ht="60" customHeight="1" x14ac:dyDescent="0.25">
      <c r="A13" s="53">
        <v>5</v>
      </c>
      <c r="B13" s="262" t="s">
        <v>391</v>
      </c>
      <c r="C13" s="54" t="s">
        <v>392</v>
      </c>
      <c r="D13" s="55">
        <f t="shared" si="0"/>
        <v>52119.83</v>
      </c>
      <c r="E13" s="55">
        <v>15198.48</v>
      </c>
      <c r="F13" s="55">
        <v>31977.3</v>
      </c>
      <c r="G13" s="55">
        <v>4944.05</v>
      </c>
      <c r="H13" s="55">
        <v>16.13</v>
      </c>
      <c r="I13" s="55">
        <v>2024759.04</v>
      </c>
      <c r="J13" s="55">
        <f t="shared" si="1"/>
        <v>267889.86339999997</v>
      </c>
      <c r="K13" s="55">
        <f>E13*L22</f>
        <v>79488.050399999993</v>
      </c>
      <c r="L13" s="55">
        <f>F13*L22</f>
        <v>167241.27900000001</v>
      </c>
      <c r="M13" s="55">
        <f>G13*L24</f>
        <v>21160.534</v>
      </c>
      <c r="N13" s="55">
        <f>H13*L25</f>
        <v>231.46549999999999</v>
      </c>
      <c r="O13" s="56">
        <f t="shared" si="2"/>
        <v>1.2285736337367E-3</v>
      </c>
    </row>
    <row r="14" spans="1:16" s="51" customFormat="1" ht="39.6" customHeight="1" x14ac:dyDescent="0.25">
      <c r="A14" s="52">
        <v>6</v>
      </c>
      <c r="B14" s="264"/>
      <c r="C14" s="57" t="s">
        <v>393</v>
      </c>
      <c r="D14" s="55">
        <f t="shared" si="0"/>
        <v>89613.6</v>
      </c>
      <c r="E14" s="55">
        <v>44598.73</v>
      </c>
      <c r="F14" s="55">
        <v>40017</v>
      </c>
      <c r="G14" s="55">
        <v>4997.87</v>
      </c>
      <c r="H14" s="55">
        <f>7.69+81.8</f>
        <v>89.49</v>
      </c>
      <c r="I14" s="55">
        <v>738823.57</v>
      </c>
      <c r="J14" s="55">
        <f t="shared" si="1"/>
        <v>511472.85759999999</v>
      </c>
      <c r="K14" s="55">
        <f>E14*M22</f>
        <v>257334.6721</v>
      </c>
      <c r="L14" s="55">
        <f>F14*M22</f>
        <v>230898.09</v>
      </c>
      <c r="M14" s="55">
        <f>G14*M24</f>
        <v>23240.095499999999</v>
      </c>
      <c r="N14" s="55">
        <f>H14*M25</f>
        <v>1423.7859000000001</v>
      </c>
      <c r="O14" s="56">
        <f t="shared" si="2"/>
        <v>5.6024083795152002E-3</v>
      </c>
    </row>
    <row r="15" spans="1:16" s="51" customFormat="1" ht="46.15" customHeight="1" x14ac:dyDescent="0.25">
      <c r="A15" s="53">
        <v>7</v>
      </c>
      <c r="B15" s="59" t="s">
        <v>394</v>
      </c>
      <c r="C15" s="57" t="s">
        <v>395</v>
      </c>
      <c r="D15" s="55">
        <f t="shared" si="0"/>
        <v>981651.63</v>
      </c>
      <c r="E15" s="55">
        <v>448398.51</v>
      </c>
      <c r="F15" s="55">
        <v>486091.33</v>
      </c>
      <c r="G15" s="55">
        <v>47161.79</v>
      </c>
      <c r="H15" s="55">
        <v>143.03</v>
      </c>
      <c r="I15" s="55">
        <v>16001185.93</v>
      </c>
      <c r="J15" s="55">
        <f t="shared" si="1"/>
        <v>6269109.2307000002</v>
      </c>
      <c r="K15" s="55">
        <f>123094.59*N22+325303.92*N23</f>
        <v>2908258.6863000002</v>
      </c>
      <c r="L15" s="55">
        <f>110226.08*N22+375865.25*N23</f>
        <v>3158998.0832000002</v>
      </c>
      <c r="M15" s="55">
        <f>G15*N24</f>
        <v>201852.46119999999</v>
      </c>
      <c r="N15" s="55">
        <f>H15*N25</f>
        <v>1185.7186999999999</v>
      </c>
      <c r="O15" s="56">
        <f t="shared" si="2"/>
        <v>3.5280316227560002E-4</v>
      </c>
    </row>
    <row r="16" spans="1:16" s="51" customFormat="1" ht="24" customHeight="1" x14ac:dyDescent="0.25">
      <c r="A16" s="60"/>
      <c r="B16" s="60"/>
      <c r="C16" s="61" t="s">
        <v>396</v>
      </c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3">
        <f>(O9+O10+O11+O12+O13+O14+O15)/7</f>
        <v>2.7456591672216E-3</v>
      </c>
    </row>
    <row r="17" spans="1:15" s="51" customFormat="1" ht="18.75" customHeight="1" x14ac:dyDescent="0.25">
      <c r="A17" s="64"/>
      <c r="B17" s="64"/>
      <c r="C17" s="65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7"/>
    </row>
    <row r="18" spans="1:15" ht="21" customHeight="1" x14ac:dyDescent="0.25">
      <c r="C18" s="68" t="s">
        <v>397</v>
      </c>
    </row>
    <row r="19" spans="1:15" ht="30.75" customHeight="1" x14ac:dyDescent="0.25">
      <c r="L19" s="69"/>
    </row>
    <row r="20" spans="1:15" ht="15" customHeight="1" outlineLevel="1" x14ac:dyDescent="0.25">
      <c r="G20" s="259" t="s">
        <v>398</v>
      </c>
      <c r="H20" s="259"/>
      <c r="I20" s="259"/>
      <c r="J20" s="259"/>
      <c r="K20" s="259"/>
      <c r="L20" s="259"/>
      <c r="M20" s="259"/>
      <c r="N20" s="259"/>
    </row>
    <row r="21" spans="1:15" ht="15.75" customHeight="1" outlineLevel="1" x14ac:dyDescent="0.25">
      <c r="G21" s="70"/>
      <c r="H21" s="70" t="s">
        <v>399</v>
      </c>
      <c r="I21" s="70" t="s">
        <v>400</v>
      </c>
      <c r="J21" s="70" t="s">
        <v>401</v>
      </c>
      <c r="K21" s="71" t="s">
        <v>402</v>
      </c>
      <c r="L21" s="70" t="s">
        <v>403</v>
      </c>
      <c r="M21" s="70" t="s">
        <v>404</v>
      </c>
      <c r="N21" s="70" t="s">
        <v>405</v>
      </c>
      <c r="O21" s="64"/>
    </row>
    <row r="22" spans="1:15" ht="15.75" customHeight="1" outlineLevel="1" x14ac:dyDescent="0.25">
      <c r="G22" s="257" t="s">
        <v>406</v>
      </c>
      <c r="H22" s="256">
        <v>6.09</v>
      </c>
      <c r="I22" s="258">
        <v>6.44</v>
      </c>
      <c r="J22" s="256">
        <v>5.77</v>
      </c>
      <c r="K22" s="258">
        <v>5.77</v>
      </c>
      <c r="L22" s="256">
        <v>5.23</v>
      </c>
      <c r="M22" s="256">
        <v>5.77</v>
      </c>
      <c r="N22" s="72">
        <v>6.29</v>
      </c>
      <c r="O22" t="s">
        <v>407</v>
      </c>
    </row>
    <row r="23" spans="1:15" ht="15.75" customHeight="1" outlineLevel="1" x14ac:dyDescent="0.25">
      <c r="G23" s="257"/>
      <c r="H23" s="256"/>
      <c r="I23" s="258"/>
      <c r="J23" s="256"/>
      <c r="K23" s="258"/>
      <c r="L23" s="256"/>
      <c r="M23" s="256"/>
      <c r="N23" s="72">
        <v>6.56</v>
      </c>
      <c r="O23" t="s">
        <v>408</v>
      </c>
    </row>
    <row r="24" spans="1:15" ht="15.75" customHeight="1" outlineLevel="1" x14ac:dyDescent="0.25">
      <c r="G24" s="73" t="s">
        <v>409</v>
      </c>
      <c r="H24" s="72">
        <v>4.46</v>
      </c>
      <c r="I24" s="71">
        <v>4.28</v>
      </c>
      <c r="J24" s="72">
        <v>4.6500000000000004</v>
      </c>
      <c r="K24" s="71">
        <v>4.6100000000000003</v>
      </c>
      <c r="L24" s="72">
        <v>4.28</v>
      </c>
      <c r="M24" s="72">
        <v>4.6500000000000004</v>
      </c>
      <c r="N24" s="72">
        <v>4.28</v>
      </c>
      <c r="O24" s="64"/>
    </row>
    <row r="25" spans="1:15" ht="15.75" customHeight="1" outlineLevel="1" x14ac:dyDescent="0.25">
      <c r="G25" s="73" t="s">
        <v>383</v>
      </c>
      <c r="H25" s="72">
        <v>11.37</v>
      </c>
      <c r="I25" s="72">
        <v>8.42</v>
      </c>
      <c r="J25" s="72">
        <v>15.91</v>
      </c>
      <c r="K25" s="71">
        <v>15.91</v>
      </c>
      <c r="L25" s="72">
        <v>14.35</v>
      </c>
      <c r="M25" s="72">
        <v>15.91</v>
      </c>
      <c r="N25" s="72">
        <v>8.2899999999999991</v>
      </c>
      <c r="O25" s="64"/>
    </row>
    <row r="26" spans="1:15" ht="31.5" customHeight="1" outlineLevel="1" x14ac:dyDescent="0.25">
      <c r="G26" s="73" t="s">
        <v>410</v>
      </c>
      <c r="H26" s="72">
        <v>3.83</v>
      </c>
      <c r="I26" s="71">
        <v>3.95</v>
      </c>
      <c r="J26" s="72">
        <v>4.1500000000000004</v>
      </c>
      <c r="K26" s="71">
        <v>3.83</v>
      </c>
      <c r="L26" s="71">
        <v>3.95</v>
      </c>
      <c r="M26" s="72">
        <v>4.09</v>
      </c>
      <c r="N26" s="72">
        <v>3.95</v>
      </c>
      <c r="O26" s="64"/>
    </row>
    <row r="27" spans="1:15" ht="31.5" customHeight="1" outlineLevel="1" x14ac:dyDescent="0.25">
      <c r="G27" s="73" t="s">
        <v>411</v>
      </c>
      <c r="H27" s="72">
        <v>3.91</v>
      </c>
      <c r="I27" s="71">
        <v>3.99</v>
      </c>
      <c r="J27" s="72">
        <v>4.2300000000000004</v>
      </c>
      <c r="K27" s="71">
        <v>3.91</v>
      </c>
      <c r="L27" s="71">
        <v>3.99</v>
      </c>
      <c r="M27" s="72">
        <v>4.17</v>
      </c>
      <c r="N27" s="72">
        <v>3.99</v>
      </c>
      <c r="O27" s="64"/>
    </row>
    <row r="28" spans="1:15" ht="15.75" customHeight="1" outlineLevel="1" x14ac:dyDescent="0.25">
      <c r="G28" s="73" t="s">
        <v>350</v>
      </c>
      <c r="H28" s="72">
        <v>8.7899999999999991</v>
      </c>
      <c r="I28" s="72">
        <v>8.7899999999999991</v>
      </c>
      <c r="J28" s="72">
        <v>9.19</v>
      </c>
      <c r="K28" s="71">
        <v>9.1</v>
      </c>
      <c r="L28" s="72">
        <v>8.42</v>
      </c>
      <c r="M28" s="72">
        <v>9.19</v>
      </c>
      <c r="N28" s="72">
        <v>8.42</v>
      </c>
      <c r="O28" s="64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4" customWidth="1"/>
  </cols>
  <sheetData>
    <row r="2" spans="1:18" ht="18.75" customHeight="1" x14ac:dyDescent="0.25">
      <c r="A2" s="278" t="s">
        <v>412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</row>
    <row r="4" spans="1:18" ht="36.75" customHeight="1" x14ac:dyDescent="0.25">
      <c r="A4" s="262" t="s">
        <v>372</v>
      </c>
      <c r="B4" s="265" t="s">
        <v>373</v>
      </c>
      <c r="C4" s="268" t="s">
        <v>413</v>
      </c>
      <c r="D4" s="268" t="s">
        <v>414</v>
      </c>
      <c r="E4" s="271" t="s">
        <v>415</v>
      </c>
      <c r="F4" s="272"/>
      <c r="G4" s="272"/>
      <c r="H4" s="272"/>
      <c r="I4" s="272"/>
      <c r="J4" s="272"/>
      <c r="K4" s="272"/>
      <c r="L4" s="272"/>
      <c r="M4" s="272"/>
      <c r="N4" s="279" t="s">
        <v>416</v>
      </c>
      <c r="O4" s="280"/>
      <c r="P4" s="280"/>
      <c r="Q4" s="280"/>
      <c r="R4" s="281"/>
    </row>
    <row r="5" spans="1:18" ht="60" customHeight="1" x14ac:dyDescent="0.25">
      <c r="A5" s="263"/>
      <c r="B5" s="266"/>
      <c r="C5" s="269"/>
      <c r="D5" s="269"/>
      <c r="E5" s="276" t="s">
        <v>417</v>
      </c>
      <c r="F5" s="276" t="s">
        <v>418</v>
      </c>
      <c r="G5" s="273" t="s">
        <v>379</v>
      </c>
      <c r="H5" s="274"/>
      <c r="I5" s="274"/>
      <c r="J5" s="275"/>
      <c r="K5" s="276" t="s">
        <v>419</v>
      </c>
      <c r="L5" s="276"/>
      <c r="M5" s="276"/>
      <c r="N5" s="75" t="s">
        <v>420</v>
      </c>
      <c r="O5" s="75" t="s">
        <v>421</v>
      </c>
      <c r="P5" s="75" t="s">
        <v>422</v>
      </c>
      <c r="Q5" s="76" t="s">
        <v>423</v>
      </c>
      <c r="R5" s="75" t="s">
        <v>424</v>
      </c>
    </row>
    <row r="6" spans="1:18" ht="49.5" customHeight="1" x14ac:dyDescent="0.25">
      <c r="A6" s="264"/>
      <c r="B6" s="267"/>
      <c r="C6" s="270"/>
      <c r="D6" s="270"/>
      <c r="E6" s="276"/>
      <c r="F6" s="276"/>
      <c r="G6" s="48" t="s">
        <v>85</v>
      </c>
      <c r="H6" s="48" t="s">
        <v>86</v>
      </c>
      <c r="I6" s="48" t="s">
        <v>43</v>
      </c>
      <c r="J6" s="48" t="s">
        <v>350</v>
      </c>
      <c r="K6" s="48" t="s">
        <v>420</v>
      </c>
      <c r="L6" s="48" t="s">
        <v>421</v>
      </c>
      <c r="M6" s="48" t="s">
        <v>422</v>
      </c>
      <c r="N6" s="48" t="s">
        <v>425</v>
      </c>
      <c r="O6" s="48" t="s">
        <v>426</v>
      </c>
      <c r="P6" s="48" t="s">
        <v>427</v>
      </c>
      <c r="Q6" s="49" t="s">
        <v>428</v>
      </c>
      <c r="R6" s="48" t="s">
        <v>429</v>
      </c>
    </row>
    <row r="7" spans="1:18" ht="16.5" customHeight="1" x14ac:dyDescent="0.25">
      <c r="A7" s="53"/>
      <c r="B7" s="77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49"/>
      <c r="R7" s="52"/>
    </row>
    <row r="8" spans="1:18" x14ac:dyDescent="0.25">
      <c r="A8" s="53">
        <v>1</v>
      </c>
      <c r="B8" s="53"/>
      <c r="C8" s="53">
        <v>2</v>
      </c>
      <c r="D8" s="53">
        <v>3</v>
      </c>
      <c r="E8" s="53">
        <v>4</v>
      </c>
      <c r="F8" s="53">
        <v>5</v>
      </c>
      <c r="G8" s="53">
        <v>6</v>
      </c>
      <c r="H8" s="53">
        <v>7</v>
      </c>
      <c r="I8" s="53">
        <v>8</v>
      </c>
      <c r="J8" s="53">
        <v>9</v>
      </c>
      <c r="K8" s="53">
        <v>10</v>
      </c>
      <c r="L8" s="53">
        <v>11</v>
      </c>
      <c r="M8" s="53">
        <v>12</v>
      </c>
      <c r="N8" s="53">
        <v>13</v>
      </c>
      <c r="O8" s="53">
        <v>14</v>
      </c>
      <c r="P8" s="53">
        <v>15</v>
      </c>
      <c r="Q8" s="53">
        <v>16</v>
      </c>
      <c r="R8" s="53">
        <v>17</v>
      </c>
    </row>
    <row r="9" spans="1:18" ht="102.6" customHeight="1" x14ac:dyDescent="0.25">
      <c r="A9" s="262">
        <v>1</v>
      </c>
      <c r="B9" s="262" t="s">
        <v>430</v>
      </c>
      <c r="C9" s="282" t="s">
        <v>386</v>
      </c>
      <c r="D9" s="54" t="s">
        <v>431</v>
      </c>
      <c r="E9" s="55">
        <v>11656.266250000001</v>
      </c>
      <c r="F9" s="55">
        <f t="shared" ref="F9:F14" si="0">G9+H9+I9</f>
        <v>9442.6878704999999</v>
      </c>
      <c r="G9" s="55">
        <f>G10*E28</f>
        <v>2331.6699567000001</v>
      </c>
      <c r="H9" s="55">
        <f>H10*E28</f>
        <v>1695.3600216</v>
      </c>
      <c r="I9" s="55">
        <f>I10*E30</f>
        <v>5415.6578921999999</v>
      </c>
      <c r="J9" s="55"/>
      <c r="K9" s="55">
        <f>K10*1.19*E33</f>
        <v>136.37044035299999</v>
      </c>
      <c r="L9" s="55">
        <v>0</v>
      </c>
      <c r="M9" s="55">
        <f>M10*1.266*E34</f>
        <v>66.539350027799998</v>
      </c>
      <c r="N9" s="56">
        <f t="shared" ref="N9:N22" si="1">K9/(G9+H9)</f>
        <v>3.3863775806946002E-2</v>
      </c>
      <c r="O9" s="56">
        <f t="shared" ref="O9:O22" si="2">L9/(G9+H9)</f>
        <v>0</v>
      </c>
      <c r="P9" s="56">
        <f t="shared" ref="P9:P22" si="3">M9/(G9+H9)</f>
        <v>1.652318219292E-2</v>
      </c>
      <c r="Q9" s="78">
        <v>0</v>
      </c>
      <c r="R9" s="79">
        <f>N9+O9+P9+Q9</f>
        <v>5.0386957999864999E-2</v>
      </c>
    </row>
    <row r="10" spans="1:18" ht="72.599999999999994" hidden="1" customHeight="1" x14ac:dyDescent="0.25">
      <c r="A10" s="264"/>
      <c r="B10" s="263"/>
      <c r="C10" s="283"/>
      <c r="D10" s="54" t="s">
        <v>432</v>
      </c>
      <c r="E10" s="55">
        <v>2179.8248199999998</v>
      </c>
      <c r="F10" s="55">
        <f t="shared" si="0"/>
        <v>1875.52594</v>
      </c>
      <c r="G10" s="55">
        <f>382868.63/1000</f>
        <v>382.86863</v>
      </c>
      <c r="H10" s="55">
        <f>278384.24/1000</f>
        <v>278.38423999999998</v>
      </c>
      <c r="I10" s="55">
        <f>1214273.07/1000</f>
        <v>1214.27307</v>
      </c>
      <c r="J10" s="55"/>
      <c r="K10" s="55">
        <f>29920.89/1000</f>
        <v>29.92089</v>
      </c>
      <c r="L10" s="55">
        <v>0</v>
      </c>
      <c r="M10" s="55">
        <f>13442.13/1000</f>
        <v>13.442130000000001</v>
      </c>
      <c r="N10" s="56">
        <f t="shared" si="1"/>
        <v>4.5248786595059001E-2</v>
      </c>
      <c r="O10" s="56">
        <f t="shared" si="2"/>
        <v>0</v>
      </c>
      <c r="P10" s="56">
        <f t="shared" si="3"/>
        <v>2.0328274718868E-2</v>
      </c>
      <c r="Q10" s="78">
        <v>0</v>
      </c>
      <c r="R10" s="79"/>
    </row>
    <row r="11" spans="1:18" ht="192.75" customHeight="1" x14ac:dyDescent="0.25">
      <c r="A11" s="262">
        <v>2</v>
      </c>
      <c r="B11" s="263"/>
      <c r="C11" s="282" t="s">
        <v>433</v>
      </c>
      <c r="D11" s="54" t="s">
        <v>431</v>
      </c>
      <c r="E11" s="55">
        <v>688044.21</v>
      </c>
      <c r="F11" s="55">
        <f t="shared" si="0"/>
        <v>521424.06839999999</v>
      </c>
      <c r="G11" s="55">
        <f>G12*F28</f>
        <v>99804.705000000002</v>
      </c>
      <c r="H11" s="55">
        <f>H12*F28</f>
        <v>246917.90760000001</v>
      </c>
      <c r="I11" s="55">
        <f>I12*F30</f>
        <v>174701.4558</v>
      </c>
      <c r="J11" s="55"/>
      <c r="K11" s="55">
        <f>K12*1.19*F33</f>
        <v>8486.4829769999997</v>
      </c>
      <c r="L11" s="55">
        <f>L12*1.19*F33</f>
        <v>11572.501646999999</v>
      </c>
      <c r="M11" s="55">
        <f>M12*1.266*F34</f>
        <v>3883.6190735999999</v>
      </c>
      <c r="N11" s="56">
        <f t="shared" si="1"/>
        <v>2.4476289311970999E-2</v>
      </c>
      <c r="O11" s="56">
        <f t="shared" si="2"/>
        <v>3.3376829853179003E-2</v>
      </c>
      <c r="P11" s="56">
        <f t="shared" si="3"/>
        <v>1.1200939692042E-2</v>
      </c>
      <c r="Q11" s="78">
        <v>0</v>
      </c>
      <c r="R11" s="79">
        <f>N11+O11+P11+Q11</f>
        <v>6.9054058857192999E-2</v>
      </c>
    </row>
    <row r="12" spans="1:18" ht="100.9" hidden="1" customHeight="1" x14ac:dyDescent="0.25">
      <c r="A12" s="264"/>
      <c r="B12" s="264"/>
      <c r="C12" s="283"/>
      <c r="D12" s="54" t="s">
        <v>432</v>
      </c>
      <c r="E12" s="55">
        <v>116471.93</v>
      </c>
      <c r="F12" s="55">
        <f t="shared" si="0"/>
        <v>91466.75</v>
      </c>
      <c r="G12" s="55">
        <v>15053.5</v>
      </c>
      <c r="H12" s="55">
        <v>37242.519999999997</v>
      </c>
      <c r="I12" s="55">
        <v>39170.730000000003</v>
      </c>
      <c r="J12" s="55"/>
      <c r="K12" s="55">
        <v>1862.01</v>
      </c>
      <c r="L12" s="55">
        <v>2539.11</v>
      </c>
      <c r="M12" s="55">
        <v>784.56</v>
      </c>
      <c r="N12" s="56">
        <f t="shared" si="1"/>
        <v>3.5605195194586998E-2</v>
      </c>
      <c r="O12" s="56">
        <f t="shared" si="2"/>
        <v>4.8552643203058E-2</v>
      </c>
      <c r="P12" s="56">
        <f t="shared" si="3"/>
        <v>1.5002288893112999E-2</v>
      </c>
      <c r="Q12" s="78">
        <v>0</v>
      </c>
      <c r="R12" s="79"/>
    </row>
    <row r="13" spans="1:18" ht="49.15" customHeight="1" x14ac:dyDescent="0.25">
      <c r="A13" s="262">
        <v>3</v>
      </c>
      <c r="B13" s="262" t="s">
        <v>388</v>
      </c>
      <c r="C13" s="284" t="s">
        <v>389</v>
      </c>
      <c r="D13" s="54" t="s">
        <v>434</v>
      </c>
      <c r="E13" s="55">
        <v>170961.79</v>
      </c>
      <c r="F13" s="55">
        <f t="shared" si="0"/>
        <v>129121.52159999999</v>
      </c>
      <c r="G13" s="55">
        <f>G14*G28</f>
        <v>91503.198799999998</v>
      </c>
      <c r="H13" s="55">
        <f>H14*G28</f>
        <v>37618.322800000002</v>
      </c>
      <c r="I13" s="55">
        <f>I14*G30</f>
        <v>0</v>
      </c>
      <c r="J13" s="55"/>
      <c r="K13" s="55">
        <f>K14*1.19*G33</f>
        <v>1996.481088</v>
      </c>
      <c r="L13" s="55">
        <f>L14*1.19*G33</f>
        <v>2500.7293079999999</v>
      </c>
      <c r="M13" s="55">
        <f>M14*1.266*G34</f>
        <v>200.53819799999999</v>
      </c>
      <c r="N13" s="56">
        <f t="shared" si="1"/>
        <v>1.5462031915832E-2</v>
      </c>
      <c r="O13" s="56">
        <f t="shared" si="2"/>
        <v>1.9367254017862E-2</v>
      </c>
      <c r="P13" s="56">
        <f t="shared" si="3"/>
        <v>1.5530966140659E-3</v>
      </c>
      <c r="Q13" s="78">
        <v>4.5614105389631997E-3</v>
      </c>
      <c r="R13" s="79">
        <f>N13+O13+P13+Q13</f>
        <v>4.0943793086723003E-2</v>
      </c>
    </row>
    <row r="14" spans="1:18" ht="57" hidden="1" customHeight="1" x14ac:dyDescent="0.25">
      <c r="A14" s="264"/>
      <c r="B14" s="263"/>
      <c r="C14" s="285"/>
      <c r="D14" s="54" t="s">
        <v>432</v>
      </c>
      <c r="E14" s="55">
        <v>29033.31</v>
      </c>
      <c r="F14" s="55">
        <f t="shared" si="0"/>
        <v>22378.080000000002</v>
      </c>
      <c r="G14" s="55">
        <v>15858.44</v>
      </c>
      <c r="H14" s="55">
        <v>6519.64</v>
      </c>
      <c r="I14" s="55">
        <v>0</v>
      </c>
      <c r="J14" s="55"/>
      <c r="K14" s="55">
        <v>420.48</v>
      </c>
      <c r="L14" s="55">
        <v>526.67999999999995</v>
      </c>
      <c r="M14" s="55">
        <v>39.700000000000003</v>
      </c>
      <c r="N14" s="56">
        <f t="shared" si="1"/>
        <v>1.8789815748268001E-2</v>
      </c>
      <c r="O14" s="56">
        <f t="shared" si="2"/>
        <v>2.3535531198387E-2</v>
      </c>
      <c r="P14" s="56">
        <f t="shared" si="3"/>
        <v>1.7740574705247E-3</v>
      </c>
      <c r="Q14" s="78">
        <v>4.9753003421204997E-3</v>
      </c>
      <c r="R14" s="79"/>
    </row>
    <row r="15" spans="1:18" ht="67.900000000000006" customHeight="1" x14ac:dyDescent="0.25">
      <c r="A15" s="262">
        <v>4</v>
      </c>
      <c r="B15" s="263"/>
      <c r="C15" s="286" t="s">
        <v>390</v>
      </c>
      <c r="D15" s="57" t="s">
        <v>434</v>
      </c>
      <c r="E15" s="55">
        <v>725870.83</v>
      </c>
      <c r="F15" s="55">
        <v>551588.679</v>
      </c>
      <c r="G15" s="55">
        <v>319494.33</v>
      </c>
      <c r="H15" s="55">
        <v>231687.44</v>
      </c>
      <c r="I15" s="55">
        <v>406.85</v>
      </c>
      <c r="J15" s="55"/>
      <c r="K15" s="55">
        <v>12415.71</v>
      </c>
      <c r="L15" s="55">
        <v>14808.286339</v>
      </c>
      <c r="M15" s="55">
        <v>3822.96</v>
      </c>
      <c r="N15" s="56">
        <f t="shared" si="1"/>
        <v>2.2525618000755001E-2</v>
      </c>
      <c r="O15" s="56">
        <f t="shared" si="2"/>
        <v>2.6866429814977E-2</v>
      </c>
      <c r="P15" s="56">
        <f t="shared" si="3"/>
        <v>6.9359333128888E-3</v>
      </c>
      <c r="Q15" s="78">
        <v>3.5515340532281999E-3</v>
      </c>
      <c r="R15" s="79">
        <f>N15+O15+P15+Q15</f>
        <v>5.9879515181849002E-2</v>
      </c>
    </row>
    <row r="16" spans="1:18" ht="67.900000000000006" hidden="1" customHeight="1" x14ac:dyDescent="0.25">
      <c r="A16" s="264"/>
      <c r="B16" s="264"/>
      <c r="C16" s="287"/>
      <c r="D16" s="57" t="s">
        <v>432</v>
      </c>
      <c r="E16" s="55">
        <v>125177.97</v>
      </c>
      <c r="F16" s="55">
        <v>95613.7</v>
      </c>
      <c r="G16" s="55">
        <v>55371.64</v>
      </c>
      <c r="H16" s="55">
        <v>40153.81</v>
      </c>
      <c r="I16" s="55">
        <v>88.25</v>
      </c>
      <c r="J16" s="55"/>
      <c r="K16" s="55">
        <v>2724.12</v>
      </c>
      <c r="L16" s="55">
        <v>3249.07</v>
      </c>
      <c r="M16" s="55">
        <v>772.31</v>
      </c>
      <c r="N16" s="56">
        <f t="shared" si="1"/>
        <v>2.8517217139516E-2</v>
      </c>
      <c r="O16" s="56">
        <f t="shared" si="2"/>
        <v>3.4012611298874E-2</v>
      </c>
      <c r="P16" s="56">
        <f t="shared" si="3"/>
        <v>8.0848611548021993E-3</v>
      </c>
      <c r="Q16" s="78">
        <v>3.8737899135989E-3</v>
      </c>
      <c r="R16" s="79"/>
    </row>
    <row r="17" spans="1:18" ht="67.900000000000006" customHeight="1" x14ac:dyDescent="0.25">
      <c r="A17" s="262">
        <v>5</v>
      </c>
      <c r="B17" s="277" t="s">
        <v>391</v>
      </c>
      <c r="C17" s="282" t="s">
        <v>435</v>
      </c>
      <c r="D17" s="54" t="s">
        <v>436</v>
      </c>
      <c r="E17" s="55">
        <v>561932.85</v>
      </c>
      <c r="F17" s="55">
        <f>G17+H17+I17</f>
        <v>399667.21620000002</v>
      </c>
      <c r="G17" s="55">
        <f>G18*I28</f>
        <v>163785.296</v>
      </c>
      <c r="H17" s="55">
        <f>H18*I28</f>
        <v>147763.611</v>
      </c>
      <c r="I17" s="55">
        <f>I18*I30</f>
        <v>88118.309200000003</v>
      </c>
      <c r="J17" s="55"/>
      <c r="K17" s="55">
        <f>K18*1.19*I33</f>
        <v>19215.596995</v>
      </c>
      <c r="L17" s="55">
        <f>L18*1.19*I33</f>
        <v>0</v>
      </c>
      <c r="M17" s="55">
        <f>M18*1.266*I34</f>
        <v>1734.8322095999999</v>
      </c>
      <c r="N17" s="56">
        <f t="shared" si="1"/>
        <v>6.1677626090981999E-2</v>
      </c>
      <c r="O17" s="56">
        <f t="shared" si="2"/>
        <v>0</v>
      </c>
      <c r="P17" s="56">
        <f t="shared" si="3"/>
        <v>5.5684105147574998E-3</v>
      </c>
      <c r="Q17" s="78">
        <v>5.5643872525604002E-3</v>
      </c>
      <c r="R17" s="79">
        <f>N17+O17+P17+Q17</f>
        <v>7.2810423858299E-2</v>
      </c>
    </row>
    <row r="18" spans="1:18" ht="67.900000000000006" hidden="1" customHeight="1" x14ac:dyDescent="0.25">
      <c r="A18" s="264"/>
      <c r="B18" s="277"/>
      <c r="C18" s="283"/>
      <c r="D18" s="54" t="s">
        <v>432</v>
      </c>
      <c r="E18" s="55">
        <v>94393.09</v>
      </c>
      <c r="F18" s="55">
        <f>G18+H18+I18</f>
        <v>69651.210000000006</v>
      </c>
      <c r="G18" s="55">
        <v>25792.959999999999</v>
      </c>
      <c r="H18" s="55">
        <v>23269.86</v>
      </c>
      <c r="I18" s="55">
        <v>20588.39</v>
      </c>
      <c r="J18" s="55"/>
      <c r="K18" s="55">
        <v>4087.99</v>
      </c>
      <c r="L18" s="55">
        <v>0</v>
      </c>
      <c r="M18" s="55">
        <v>343.44</v>
      </c>
      <c r="N18" s="56">
        <f t="shared" si="1"/>
        <v>8.3321545724441004E-2</v>
      </c>
      <c r="O18" s="56">
        <f t="shared" si="2"/>
        <v>0</v>
      </c>
      <c r="P18" s="56">
        <f t="shared" si="3"/>
        <v>7.0000052993284996E-3</v>
      </c>
      <c r="Q18" s="78">
        <v>9.4728844648146997E-3</v>
      </c>
      <c r="R18" s="79"/>
    </row>
    <row r="19" spans="1:18" ht="67.900000000000006" customHeight="1" x14ac:dyDescent="0.25">
      <c r="A19" s="262">
        <v>6</v>
      </c>
      <c r="B19" s="277"/>
      <c r="C19" s="282" t="s">
        <v>393</v>
      </c>
      <c r="D19" s="57" t="s">
        <v>434</v>
      </c>
      <c r="E19" s="55">
        <v>738823.57</v>
      </c>
      <c r="F19" s="55">
        <v>511472.86</v>
      </c>
      <c r="G19" s="55">
        <v>257334.67</v>
      </c>
      <c r="H19" s="55">
        <v>230898.09</v>
      </c>
      <c r="I19" s="55">
        <v>23240.1</v>
      </c>
      <c r="J19" s="55"/>
      <c r="K19" s="55">
        <v>19584.188309000001</v>
      </c>
      <c r="L19" s="55">
        <v>0</v>
      </c>
      <c r="M19" s="55">
        <v>2539.5687809999999</v>
      </c>
      <c r="N19" s="56">
        <f t="shared" si="1"/>
        <v>4.0112401119907999E-2</v>
      </c>
      <c r="O19" s="56">
        <f t="shared" si="2"/>
        <v>0</v>
      </c>
      <c r="P19" s="56">
        <f t="shared" si="3"/>
        <v>5.2015534168579998E-3</v>
      </c>
      <c r="Q19" s="78">
        <v>5.1286902198045999E-3</v>
      </c>
      <c r="R19" s="79">
        <f>N19+O19+P19+Q19</f>
        <v>5.0442644756571002E-2</v>
      </c>
    </row>
    <row r="20" spans="1:18" ht="67.900000000000006" hidden="1" customHeight="1" x14ac:dyDescent="0.25">
      <c r="A20" s="264"/>
      <c r="B20" s="277"/>
      <c r="C20" s="283"/>
      <c r="D20" s="57" t="s">
        <v>432</v>
      </c>
      <c r="E20" s="55">
        <v>128717.35</v>
      </c>
      <c r="F20" s="55">
        <v>89613.6</v>
      </c>
      <c r="G20" s="55">
        <v>44598.73</v>
      </c>
      <c r="H20" s="55">
        <v>40017</v>
      </c>
      <c r="I20" s="55">
        <v>4997.87</v>
      </c>
      <c r="J20" s="55"/>
      <c r="K20" s="55">
        <v>4023.79</v>
      </c>
      <c r="L20" s="55">
        <v>0</v>
      </c>
      <c r="M20" s="55">
        <v>481.05</v>
      </c>
      <c r="N20" s="56">
        <f t="shared" si="1"/>
        <v>4.7553687712675E-2</v>
      </c>
      <c r="O20" s="56">
        <f t="shared" si="2"/>
        <v>0</v>
      </c>
      <c r="P20" s="56">
        <f t="shared" si="3"/>
        <v>5.6851131580381003E-3</v>
      </c>
      <c r="Q20" s="78">
        <v>5.5940533914911996E-3</v>
      </c>
      <c r="R20" s="79"/>
    </row>
    <row r="21" spans="1:18" ht="67.900000000000006" customHeight="1" x14ac:dyDescent="0.25">
      <c r="A21" s="262">
        <v>7</v>
      </c>
      <c r="B21" s="262" t="s">
        <v>394</v>
      </c>
      <c r="C21" s="282" t="s">
        <v>395</v>
      </c>
      <c r="D21" s="57" t="s">
        <v>437</v>
      </c>
      <c r="E21" s="55">
        <v>16001185.93</v>
      </c>
      <c r="F21" s="55">
        <f>G21+H21+I21+J21</f>
        <v>6269109.2307000002</v>
      </c>
      <c r="G21" s="55">
        <f>123094.59*K28+325303.92*K29</f>
        <v>2908258.6863000002</v>
      </c>
      <c r="H21" s="55">
        <f>110226.08*K28+375865.25*K29</f>
        <v>3158998.0832000002</v>
      </c>
      <c r="I21" s="55">
        <f>I22*K30</f>
        <v>201852.46119999999</v>
      </c>
      <c r="J21" s="55">
        <f>J22*K35</f>
        <v>0</v>
      </c>
      <c r="K21" s="55">
        <f>K22*K33*1.19</f>
        <v>48825.362634999998</v>
      </c>
      <c r="L21" s="55">
        <f>L22*1.19*K33</f>
        <v>73238.020449999996</v>
      </c>
      <c r="M21" s="55">
        <f>M22*K34*1.266</f>
        <v>11514.8831238</v>
      </c>
      <c r="N21" s="56">
        <f t="shared" si="1"/>
        <v>8.0473539343916007E-3</v>
      </c>
      <c r="O21" s="56">
        <f t="shared" si="2"/>
        <v>1.2071027027926E-2</v>
      </c>
      <c r="P21" s="56">
        <f t="shared" si="3"/>
        <v>1.8978730522309999E-3</v>
      </c>
      <c r="Q21" s="78">
        <v>5.9210415358545E-4</v>
      </c>
      <c r="R21" s="79">
        <f>N21+O21+P21+Q21</f>
        <v>2.2608358168133998E-2</v>
      </c>
    </row>
    <row r="22" spans="1:18" ht="67.900000000000006" hidden="1" customHeight="1" x14ac:dyDescent="0.25">
      <c r="A22" s="264"/>
      <c r="B22" s="264"/>
      <c r="C22" s="283"/>
      <c r="D22" s="80" t="s">
        <v>432</v>
      </c>
      <c r="E22" s="81">
        <v>2195184.4700000002</v>
      </c>
      <c r="F22" s="81">
        <f>G22+H22+I22+J22</f>
        <v>981651.63</v>
      </c>
      <c r="G22" s="81">
        <f>123094.59+325303.92</f>
        <v>448398.51</v>
      </c>
      <c r="H22" s="81">
        <f>110226.08+375865.25</f>
        <v>486091.33</v>
      </c>
      <c r="I22" s="81">
        <v>47161.79</v>
      </c>
      <c r="J22" s="81">
        <v>0</v>
      </c>
      <c r="K22" s="81">
        <v>10387.27</v>
      </c>
      <c r="L22" s="81">
        <v>15580.9</v>
      </c>
      <c r="M22" s="81">
        <v>2279.5700000000002</v>
      </c>
      <c r="N22" s="82">
        <f t="shared" si="1"/>
        <v>1.1115444551008E-2</v>
      </c>
      <c r="O22" s="82">
        <f t="shared" si="2"/>
        <v>1.6673161475998E-2</v>
      </c>
      <c r="P22" s="82">
        <f t="shared" si="3"/>
        <v>2.4393737656901999E-3</v>
      </c>
      <c r="Q22" s="83">
        <v>7.7662380726578996E-4</v>
      </c>
      <c r="R22" s="84"/>
    </row>
    <row r="23" spans="1:18" ht="67.900000000000006" customHeight="1" x14ac:dyDescent="0.25">
      <c r="A23" s="60"/>
      <c r="B23" s="60"/>
      <c r="C23" s="85" t="s">
        <v>438</v>
      </c>
      <c r="D23" s="61"/>
      <c r="E23" s="86"/>
      <c r="F23" s="86"/>
      <c r="G23" s="86"/>
      <c r="H23" s="86"/>
      <c r="I23" s="86"/>
      <c r="J23" s="86"/>
      <c r="K23" s="86"/>
      <c r="L23" s="86"/>
      <c r="M23" s="86"/>
      <c r="N23" s="63">
        <f>(N9+N11+N13+N15+N17+N19+N21)/7</f>
        <v>2.9452156597254999E-2</v>
      </c>
      <c r="O23" s="63">
        <f>(O9+O11+O13+O15+O17+O19+O21)/7</f>
        <v>1.3097362959135E-2</v>
      </c>
      <c r="P23" s="63">
        <f>(P9+P11+P13+P15+P17+P19+P21)/7</f>
        <v>6.9829983993947003E-3</v>
      </c>
      <c r="Q23" s="63">
        <f>(Q9+Q11+Q13+Q15+Q17+Q19+Q21)/7</f>
        <v>2.7711608883059999E-3</v>
      </c>
      <c r="R23" s="63">
        <f>N23+O23+P23+Q23</f>
        <v>5.2303678844090998E-2</v>
      </c>
    </row>
    <row r="24" spans="1:18" ht="67.900000000000006" customHeight="1" x14ac:dyDescent="0.25">
      <c r="A24" s="64"/>
      <c r="B24" s="64"/>
      <c r="C24" s="69"/>
      <c r="D24" s="65"/>
      <c r="E24" s="66"/>
      <c r="F24" s="66"/>
      <c r="G24" s="66"/>
      <c r="H24" s="66"/>
      <c r="I24" s="66"/>
      <c r="J24" s="66"/>
      <c r="K24" s="66"/>
      <c r="L24" s="66"/>
      <c r="M24" s="66"/>
      <c r="N24" s="67"/>
      <c r="O24" s="67"/>
      <c r="P24" s="67"/>
      <c r="Q24" s="66"/>
    </row>
    <row r="26" spans="1:18" ht="14.45" customHeight="1" outlineLevel="1" x14ac:dyDescent="0.25">
      <c r="D26" s="288" t="s">
        <v>439</v>
      </c>
      <c r="E26" s="288"/>
      <c r="F26" s="288"/>
      <c r="G26" s="288"/>
      <c r="H26" s="288"/>
      <c r="I26" s="288"/>
      <c r="J26" s="288"/>
      <c r="K26" s="288"/>
      <c r="L26" s="69"/>
      <c r="R26" s="87"/>
    </row>
    <row r="27" spans="1:18" outlineLevel="1" x14ac:dyDescent="0.25">
      <c r="D27" s="88"/>
      <c r="E27" s="88" t="s">
        <v>399</v>
      </c>
      <c r="F27" s="88" t="s">
        <v>400</v>
      </c>
      <c r="G27" s="88" t="s">
        <v>401</v>
      </c>
      <c r="H27" s="89" t="s">
        <v>402</v>
      </c>
      <c r="I27" s="89" t="s">
        <v>403</v>
      </c>
      <c r="J27" s="89" t="s">
        <v>404</v>
      </c>
      <c r="K27" s="60" t="s">
        <v>405</v>
      </c>
    </row>
    <row r="28" spans="1:18" outlineLevel="1" x14ac:dyDescent="0.25">
      <c r="D28" s="289" t="s">
        <v>406</v>
      </c>
      <c r="E28" s="291">
        <v>6.09</v>
      </c>
      <c r="F28" s="293">
        <v>6.63</v>
      </c>
      <c r="G28" s="291">
        <v>5.77</v>
      </c>
      <c r="H28" s="295">
        <v>5.77</v>
      </c>
      <c r="I28" s="295">
        <v>6.35</v>
      </c>
      <c r="J28" s="291">
        <v>5.77</v>
      </c>
      <c r="K28" s="90">
        <v>6.29</v>
      </c>
      <c r="L28" t="s">
        <v>407</v>
      </c>
    </row>
    <row r="29" spans="1:18" outlineLevel="1" x14ac:dyDescent="0.25">
      <c r="D29" s="290"/>
      <c r="E29" s="292"/>
      <c r="F29" s="294"/>
      <c r="G29" s="292"/>
      <c r="H29" s="296"/>
      <c r="I29" s="296"/>
      <c r="J29" s="292"/>
      <c r="K29" s="90">
        <v>6.56</v>
      </c>
      <c r="L29" t="s">
        <v>408</v>
      </c>
    </row>
    <row r="30" spans="1:18" outlineLevel="1" x14ac:dyDescent="0.25">
      <c r="D30" s="91" t="s">
        <v>409</v>
      </c>
      <c r="E30" s="90">
        <v>4.46</v>
      </c>
      <c r="F30" s="88">
        <v>4.46</v>
      </c>
      <c r="G30" s="90">
        <v>4.6500000000000004</v>
      </c>
      <c r="H30" s="89">
        <v>4.6100000000000003</v>
      </c>
      <c r="I30" s="89">
        <v>4.28</v>
      </c>
      <c r="J30" s="90">
        <v>4.6500000000000004</v>
      </c>
      <c r="K30" s="90">
        <v>4.28</v>
      </c>
    </row>
    <row r="31" spans="1:18" outlineLevel="1" x14ac:dyDescent="0.25">
      <c r="D31" s="289" t="s">
        <v>383</v>
      </c>
      <c r="E31" s="291">
        <v>11.37</v>
      </c>
      <c r="F31" s="293">
        <v>13.56</v>
      </c>
      <c r="G31" s="291">
        <v>15.91</v>
      </c>
      <c r="H31" s="295">
        <v>15.91</v>
      </c>
      <c r="I31" s="295">
        <v>14.03</v>
      </c>
      <c r="J31" s="291">
        <v>15.91</v>
      </c>
      <c r="K31" s="90">
        <v>8.2899999999999991</v>
      </c>
      <c r="L31" t="s">
        <v>407</v>
      </c>
    </row>
    <row r="32" spans="1:18" outlineLevel="1" x14ac:dyDescent="0.25">
      <c r="D32" s="290"/>
      <c r="E32" s="292"/>
      <c r="F32" s="294"/>
      <c r="G32" s="292"/>
      <c r="H32" s="296"/>
      <c r="I32" s="296"/>
      <c r="J32" s="292"/>
      <c r="K32" s="90">
        <v>11.84</v>
      </c>
      <c r="L32" t="s">
        <v>408</v>
      </c>
    </row>
    <row r="33" spans="4:12" ht="15" customHeight="1" outlineLevel="1" x14ac:dyDescent="0.25">
      <c r="D33" s="92" t="s">
        <v>410</v>
      </c>
      <c r="E33" s="93">
        <v>3.83</v>
      </c>
      <c r="F33" s="94">
        <v>3.83</v>
      </c>
      <c r="G33" s="93">
        <v>3.99</v>
      </c>
      <c r="H33" s="95">
        <v>3.83</v>
      </c>
      <c r="I33" s="95">
        <v>3.95</v>
      </c>
      <c r="J33" s="93">
        <v>4.09</v>
      </c>
      <c r="K33" s="90">
        <v>3.95</v>
      </c>
      <c r="L33" t="s">
        <v>440</v>
      </c>
    </row>
    <row r="34" spans="4:12" outlineLevel="1" x14ac:dyDescent="0.25">
      <c r="D34" s="92" t="s">
        <v>411</v>
      </c>
      <c r="E34" s="93">
        <v>3.91</v>
      </c>
      <c r="F34" s="94">
        <v>3.91</v>
      </c>
      <c r="G34" s="93">
        <v>3.99</v>
      </c>
      <c r="H34" s="95">
        <v>3.91</v>
      </c>
      <c r="I34" s="95">
        <v>3.99</v>
      </c>
      <c r="J34" s="93">
        <v>4.17</v>
      </c>
      <c r="K34" s="90">
        <v>3.99</v>
      </c>
      <c r="L34" t="s">
        <v>440</v>
      </c>
    </row>
    <row r="35" spans="4:12" outlineLevel="1" x14ac:dyDescent="0.25">
      <c r="D35" s="91" t="s">
        <v>350</v>
      </c>
      <c r="E35" s="90">
        <v>8.7899999999999991</v>
      </c>
      <c r="F35" s="88">
        <v>8.7899999999999991</v>
      </c>
      <c r="G35" s="90">
        <v>9.19</v>
      </c>
      <c r="H35" s="89">
        <v>9.1</v>
      </c>
      <c r="I35" s="89">
        <v>8.42</v>
      </c>
      <c r="J35" s="90">
        <v>9.19</v>
      </c>
      <c r="K35" s="90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03" t="s">
        <v>10</v>
      </c>
      <c r="B2" s="203"/>
      <c r="C2" s="203"/>
      <c r="D2" s="203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06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06"/>
    </row>
    <row r="5" spans="1:4" x14ac:dyDescent="0.25">
      <c r="A5" s="5"/>
      <c r="B5" s="1"/>
      <c r="C5" s="1"/>
    </row>
    <row r="6" spans="1:4" x14ac:dyDescent="0.25">
      <c r="A6" s="203" t="s">
        <v>12</v>
      </c>
      <c r="B6" s="203"/>
      <c r="C6" s="203"/>
      <c r="D6" s="203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07" t="s">
        <v>5</v>
      </c>
      <c r="B15" s="208" t="s">
        <v>15</v>
      </c>
      <c r="C15" s="208"/>
      <c r="D15" s="208"/>
    </row>
    <row r="16" spans="1:4" x14ac:dyDescent="0.25">
      <c r="A16" s="207"/>
      <c r="B16" s="207" t="s">
        <v>17</v>
      </c>
      <c r="C16" s="208" t="s">
        <v>28</v>
      </c>
      <c r="D16" s="208"/>
    </row>
    <row r="17" spans="1:4" ht="39" customHeight="1" x14ac:dyDescent="0.25">
      <c r="A17" s="207"/>
      <c r="B17" s="207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09" t="s">
        <v>29</v>
      </c>
      <c r="B2" s="209"/>
      <c r="C2" s="209"/>
      <c r="D2" s="209"/>
    </row>
    <row r="3" spans="1:10" x14ac:dyDescent="0.25">
      <c r="H3" s="99" t="s">
        <v>30</v>
      </c>
      <c r="I3" s="99" t="s">
        <v>31</v>
      </c>
      <c r="J3" s="99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6">
        <v>3985.09</v>
      </c>
      <c r="I4" s="96">
        <v>3153.63</v>
      </c>
      <c r="J4" s="96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97">
        <v>3</v>
      </c>
      <c r="B7" s="104" t="s">
        <v>41</v>
      </c>
      <c r="C7" s="104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98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N32"/>
  <sheetViews>
    <sheetView view="pageBreakPreview" topLeftCell="A22" zoomScale="70" zoomScaleNormal="55" workbookViewId="0">
      <selection activeCell="D28" sqref="D28"/>
    </sheetView>
  </sheetViews>
  <sheetFormatPr defaultColWidth="9.140625" defaultRowHeight="15.75" x14ac:dyDescent="0.25"/>
  <cols>
    <col min="1" max="2" width="9.140625" style="117"/>
    <col min="3" max="3" width="36.85546875" style="117" customWidth="1"/>
    <col min="4" max="4" width="41.7109375" style="117" customWidth="1"/>
    <col min="5" max="6" width="36.5703125" style="117" hidden="1" customWidth="1"/>
    <col min="7" max="11" width="9.140625" style="117"/>
    <col min="12" max="12" width="14.7109375" style="117" customWidth="1"/>
    <col min="13" max="13" width="17.7109375" style="117" customWidth="1"/>
    <col min="14" max="14" width="9.140625" style="117"/>
  </cols>
  <sheetData>
    <row r="3" spans="2:6" x14ac:dyDescent="0.25">
      <c r="B3" s="210" t="s">
        <v>45</v>
      </c>
      <c r="C3" s="210"/>
      <c r="D3" s="210"/>
      <c r="E3" s="210"/>
      <c r="F3" s="210"/>
    </row>
    <row r="4" spans="2:6" x14ac:dyDescent="0.25">
      <c r="B4" s="211" t="s">
        <v>46</v>
      </c>
      <c r="C4" s="211"/>
      <c r="D4" s="211"/>
      <c r="E4" s="211"/>
      <c r="F4" s="211"/>
    </row>
    <row r="5" spans="2:6" x14ac:dyDescent="0.25">
      <c r="B5" s="118"/>
      <c r="C5" s="118"/>
      <c r="D5" s="118"/>
      <c r="E5" s="118"/>
      <c r="F5" s="118"/>
    </row>
    <row r="6" spans="2:6" x14ac:dyDescent="0.25">
      <c r="B6" s="118"/>
      <c r="C6" s="118"/>
      <c r="D6" s="118"/>
      <c r="E6" s="118"/>
      <c r="F6" s="118"/>
    </row>
    <row r="7" spans="2:6" ht="48.75" customHeight="1" x14ac:dyDescent="0.25">
      <c r="B7" s="212" t="s">
        <v>47</v>
      </c>
      <c r="C7" s="212"/>
      <c r="D7" s="212"/>
      <c r="E7" s="212"/>
      <c r="F7" s="212"/>
    </row>
    <row r="8" spans="2:6" ht="31.5" customHeight="1" x14ac:dyDescent="0.25">
      <c r="B8" s="212" t="s">
        <v>48</v>
      </c>
      <c r="C8" s="212"/>
      <c r="D8" s="212"/>
      <c r="E8" s="212"/>
      <c r="F8" s="212"/>
    </row>
    <row r="9" spans="2:6" x14ac:dyDescent="0.25">
      <c r="B9" s="212" t="s">
        <v>49</v>
      </c>
      <c r="C9" s="212"/>
      <c r="D9" s="212"/>
      <c r="E9" s="212"/>
      <c r="F9" s="212"/>
    </row>
    <row r="10" spans="2:6" x14ac:dyDescent="0.25">
      <c r="B10" s="191"/>
    </row>
    <row r="11" spans="2:6" x14ac:dyDescent="0.25">
      <c r="B11" s="140" t="s">
        <v>33</v>
      </c>
      <c r="C11" s="140" t="s">
        <v>50</v>
      </c>
      <c r="D11" s="140" t="s">
        <v>51</v>
      </c>
      <c r="E11" s="119"/>
      <c r="F11" s="119"/>
    </row>
    <row r="12" spans="2:6" ht="31.5" customHeight="1" x14ac:dyDescent="0.25">
      <c r="B12" s="140">
        <v>1</v>
      </c>
      <c r="C12" s="119" t="s">
        <v>52</v>
      </c>
      <c r="D12" s="202" t="s">
        <v>53</v>
      </c>
      <c r="E12" s="119"/>
      <c r="F12" s="119"/>
    </row>
    <row r="13" spans="2:6" ht="31.5" customHeight="1" x14ac:dyDescent="0.25">
      <c r="B13" s="140">
        <v>2</v>
      </c>
      <c r="C13" s="119" t="s">
        <v>54</v>
      </c>
      <c r="D13" s="202" t="s">
        <v>55</v>
      </c>
      <c r="E13" s="119"/>
      <c r="F13" s="119"/>
    </row>
    <row r="14" spans="2:6" x14ac:dyDescent="0.25">
      <c r="B14" s="140">
        <v>3</v>
      </c>
      <c r="C14" s="119" t="s">
        <v>56</v>
      </c>
      <c r="D14" s="202" t="s">
        <v>57</v>
      </c>
      <c r="E14" s="119"/>
      <c r="F14" s="119"/>
    </row>
    <row r="15" spans="2:6" x14ac:dyDescent="0.25">
      <c r="B15" s="140">
        <v>4</v>
      </c>
      <c r="C15" s="119" t="s">
        <v>58</v>
      </c>
      <c r="D15" s="140">
        <v>1</v>
      </c>
      <c r="E15" s="115"/>
      <c r="F15" s="115"/>
    </row>
    <row r="16" spans="2:6" ht="110.25" customHeight="1" x14ac:dyDescent="0.25">
      <c r="B16" s="140">
        <v>5</v>
      </c>
      <c r="C16" s="120" t="s">
        <v>59</v>
      </c>
      <c r="D16" s="115" t="s">
        <v>60</v>
      </c>
      <c r="E16" s="119"/>
      <c r="F16" s="119"/>
    </row>
    <row r="17" spans="2:12" ht="78.75" customHeight="1" x14ac:dyDescent="0.25">
      <c r="B17" s="140">
        <v>6</v>
      </c>
      <c r="C17" s="120" t="s">
        <v>61</v>
      </c>
      <c r="D17" s="121">
        <f>D18+D19</f>
        <v>7782.5166663999998</v>
      </c>
      <c r="E17" s="121"/>
      <c r="F17" s="121"/>
    </row>
    <row r="18" spans="2:12" x14ac:dyDescent="0.25">
      <c r="B18" s="122" t="s">
        <v>62</v>
      </c>
      <c r="C18" s="119" t="s">
        <v>63</v>
      </c>
      <c r="D18" s="121">
        <f>'Прил.2 Расч стоим'!F14</f>
        <v>582.51671520000002</v>
      </c>
      <c r="E18" s="121"/>
      <c r="F18" s="121"/>
    </row>
    <row r="19" spans="2:12" ht="15.75" customHeight="1" x14ac:dyDescent="0.25">
      <c r="B19" s="122" t="s">
        <v>64</v>
      </c>
      <c r="C19" s="119" t="s">
        <v>65</v>
      </c>
      <c r="D19" s="121">
        <f>'Прил.2 Расч стоим'!H14</f>
        <v>7199.9999512000004</v>
      </c>
      <c r="E19" s="121"/>
      <c r="F19" s="121"/>
    </row>
    <row r="20" spans="2:12" ht="16.5" customHeight="1" x14ac:dyDescent="0.25">
      <c r="B20" s="122" t="s">
        <v>66</v>
      </c>
      <c r="C20" s="119" t="s">
        <v>67</v>
      </c>
      <c r="D20" s="121"/>
      <c r="E20" s="121"/>
      <c r="F20" s="121"/>
      <c r="L20" s="183"/>
    </row>
    <row r="21" spans="2:12" ht="35.25" customHeight="1" x14ac:dyDescent="0.25">
      <c r="B21" s="122" t="s">
        <v>68</v>
      </c>
      <c r="C21" s="123" t="s">
        <v>69</v>
      </c>
      <c r="D21" s="121"/>
      <c r="E21" s="121"/>
      <c r="F21" s="121"/>
    </row>
    <row r="22" spans="2:12" x14ac:dyDescent="0.25">
      <c r="B22" s="140">
        <v>7</v>
      </c>
      <c r="C22" s="123" t="s">
        <v>70</v>
      </c>
      <c r="D22" s="140" t="s">
        <v>71</v>
      </c>
      <c r="E22" s="140"/>
      <c r="F22" s="121"/>
      <c r="G22" s="179"/>
    </row>
    <row r="23" spans="2:12" ht="123" customHeight="1" x14ac:dyDescent="0.25">
      <c r="B23" s="140">
        <v>8</v>
      </c>
      <c r="C23" s="124" t="s">
        <v>72</v>
      </c>
      <c r="D23" s="121">
        <f>D17</f>
        <v>7782.5166663999998</v>
      </c>
      <c r="E23" s="121"/>
      <c r="F23" s="125"/>
    </row>
    <row r="24" spans="2:12" ht="60.75" customHeight="1" x14ac:dyDescent="0.25">
      <c r="B24" s="140">
        <v>9</v>
      </c>
      <c r="C24" s="120" t="s">
        <v>73</v>
      </c>
      <c r="D24" s="121">
        <f>D17/D15</f>
        <v>7782.5166663999998</v>
      </c>
      <c r="E24" s="121"/>
      <c r="F24" s="121"/>
    </row>
    <row r="25" spans="2:12" ht="122.25" customHeight="1" x14ac:dyDescent="0.25">
      <c r="B25" s="140">
        <v>10</v>
      </c>
      <c r="C25" s="119" t="s">
        <v>74</v>
      </c>
      <c r="D25" s="119"/>
      <c r="E25" s="119"/>
      <c r="F25" s="119"/>
    </row>
    <row r="26" spans="2:12" x14ac:dyDescent="0.25">
      <c r="B26" s="126"/>
      <c r="C26" s="127"/>
      <c r="D26" s="127"/>
      <c r="E26" s="127"/>
      <c r="F26" s="127"/>
    </row>
    <row r="27" spans="2:12" ht="37.5" customHeight="1" x14ac:dyDescent="0.25">
      <c r="B27" s="128"/>
    </row>
    <row r="28" spans="2:12" x14ac:dyDescent="0.25">
      <c r="B28" s="117" t="s">
        <v>75</v>
      </c>
    </row>
    <row r="29" spans="2:12" x14ac:dyDescent="0.25">
      <c r="B29" s="128" t="s">
        <v>76</v>
      </c>
    </row>
    <row r="31" spans="2:12" x14ac:dyDescent="0.25">
      <c r="B31" s="117" t="s">
        <v>77</v>
      </c>
    </row>
    <row r="32" spans="2:12" x14ac:dyDescent="0.25">
      <c r="B32" s="128" t="s">
        <v>78</v>
      </c>
    </row>
  </sheetData>
  <mergeCells count="5">
    <mergeCell ref="B3:F3"/>
    <mergeCell ref="B4:F4"/>
    <mergeCell ref="B7:F7"/>
    <mergeCell ref="B8:F8"/>
    <mergeCell ref="B9:F9"/>
  </mergeCells>
  <pageMargins left="0.7" right="0.7" top="0.75" bottom="0.75" header="0.3" footer="0.3"/>
  <pageSetup paperSize="9" scale="73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K37"/>
  <sheetViews>
    <sheetView view="pageBreakPreview" zoomScale="70" zoomScaleNormal="70" workbookViewId="0">
      <selection activeCell="F18" sqref="F18"/>
    </sheetView>
  </sheetViews>
  <sheetFormatPr defaultColWidth="9.140625" defaultRowHeight="15.75" x14ac:dyDescent="0.25"/>
  <cols>
    <col min="1" max="1" width="5.5703125" style="117" customWidth="1"/>
    <col min="2" max="2" width="9.140625" style="117"/>
    <col min="3" max="3" width="35.28515625" style="117" customWidth="1"/>
    <col min="4" max="4" width="13.85546875" style="117" customWidth="1"/>
    <col min="5" max="5" width="24.85546875" style="117" customWidth="1"/>
    <col min="6" max="6" width="15.5703125" style="117" customWidth="1"/>
    <col min="7" max="7" width="14.85546875" style="117" customWidth="1"/>
    <col min="8" max="8" width="16.7109375" style="117" customWidth="1"/>
    <col min="9" max="10" width="13" style="117" customWidth="1"/>
    <col min="11" max="11" width="9.140625" style="117"/>
  </cols>
  <sheetData>
    <row r="3" spans="2:10" x14ac:dyDescent="0.25">
      <c r="B3" s="210" t="s">
        <v>79</v>
      </c>
      <c r="C3" s="210"/>
      <c r="D3" s="210"/>
      <c r="E3" s="210"/>
      <c r="F3" s="210"/>
      <c r="G3" s="210"/>
      <c r="H3" s="210"/>
      <c r="I3" s="210"/>
      <c r="J3" s="210"/>
    </row>
    <row r="4" spans="2:10" x14ac:dyDescent="0.25">
      <c r="B4" s="211" t="s">
        <v>80</v>
      </c>
      <c r="C4" s="211"/>
      <c r="D4" s="211"/>
      <c r="E4" s="211"/>
      <c r="F4" s="211"/>
      <c r="G4" s="211"/>
      <c r="H4" s="211"/>
      <c r="I4" s="211"/>
      <c r="J4" s="211"/>
    </row>
    <row r="5" spans="2:10" x14ac:dyDescent="0.25">
      <c r="B5" s="118"/>
      <c r="C5" s="118"/>
      <c r="D5" s="118"/>
      <c r="E5" s="118"/>
      <c r="F5" s="118"/>
      <c r="G5" s="118"/>
      <c r="H5" s="118"/>
      <c r="I5" s="118"/>
      <c r="J5" s="118"/>
    </row>
    <row r="6" spans="2:10" ht="30" customHeight="1" x14ac:dyDescent="0.25">
      <c r="B6" s="214" t="s">
        <v>47</v>
      </c>
      <c r="C6" s="214"/>
      <c r="D6" s="214"/>
      <c r="E6" s="214"/>
      <c r="F6" s="214"/>
      <c r="G6" s="214"/>
      <c r="H6" s="214"/>
      <c r="I6" s="214"/>
      <c r="J6" s="214"/>
    </row>
    <row r="7" spans="2:10" x14ac:dyDescent="0.25">
      <c r="B7" s="212" t="s">
        <v>49</v>
      </c>
      <c r="C7" s="212"/>
      <c r="D7" s="212"/>
      <c r="E7" s="212"/>
      <c r="F7" s="212"/>
      <c r="G7" s="212"/>
      <c r="H7" s="212"/>
      <c r="I7" s="212"/>
      <c r="J7" s="212"/>
    </row>
    <row r="8" spans="2:10" x14ac:dyDescent="0.25">
      <c r="B8" s="191"/>
    </row>
    <row r="9" spans="2:10" ht="15.75" customHeight="1" x14ac:dyDescent="0.25">
      <c r="B9" s="215" t="s">
        <v>33</v>
      </c>
      <c r="C9" s="215" t="s">
        <v>81</v>
      </c>
      <c r="D9" s="215" t="s">
        <v>51</v>
      </c>
      <c r="E9" s="215"/>
      <c r="F9" s="215"/>
      <c r="G9" s="215"/>
      <c r="H9" s="215"/>
      <c r="I9" s="215"/>
      <c r="J9" s="215"/>
    </row>
    <row r="10" spans="2:10" ht="15.75" customHeight="1" x14ac:dyDescent="0.25">
      <c r="B10" s="215"/>
      <c r="C10" s="215"/>
      <c r="D10" s="215" t="s">
        <v>82</v>
      </c>
      <c r="E10" s="215" t="s">
        <v>83</v>
      </c>
      <c r="F10" s="215" t="s">
        <v>84</v>
      </c>
      <c r="G10" s="215"/>
      <c r="H10" s="215"/>
      <c r="I10" s="215"/>
      <c r="J10" s="215"/>
    </row>
    <row r="11" spans="2:10" ht="31.5" customHeight="1" x14ac:dyDescent="0.25">
      <c r="B11" s="215"/>
      <c r="C11" s="215"/>
      <c r="D11" s="215"/>
      <c r="E11" s="215"/>
      <c r="F11" s="140" t="s">
        <v>85</v>
      </c>
      <c r="G11" s="140" t="s">
        <v>86</v>
      </c>
      <c r="H11" s="140" t="s">
        <v>43</v>
      </c>
      <c r="I11" s="140" t="s">
        <v>87</v>
      </c>
      <c r="J11" s="140" t="s">
        <v>88</v>
      </c>
    </row>
    <row r="12" spans="2:10" ht="51.75" customHeight="1" x14ac:dyDescent="0.25">
      <c r="B12" s="135"/>
      <c r="C12" s="170" t="s">
        <v>89</v>
      </c>
      <c r="D12" s="129"/>
      <c r="E12" s="119"/>
      <c r="F12" s="216">
        <v>582.51671520000002</v>
      </c>
      <c r="G12" s="217"/>
      <c r="H12" s="180">
        <v>7199.9999512000004</v>
      </c>
      <c r="I12" s="130"/>
      <c r="J12" s="131">
        <v>7782.5166663999998</v>
      </c>
    </row>
    <row r="13" spans="2:10" ht="15.75" customHeight="1" x14ac:dyDescent="0.25">
      <c r="B13" s="213" t="s">
        <v>90</v>
      </c>
      <c r="C13" s="213"/>
      <c r="D13" s="213"/>
      <c r="E13" s="213"/>
      <c r="F13" s="132"/>
      <c r="G13" s="132"/>
      <c r="H13" s="132"/>
      <c r="I13" s="133"/>
      <c r="J13" s="134"/>
    </row>
    <row r="14" spans="2:10" ht="28.5" customHeight="1" x14ac:dyDescent="0.25">
      <c r="B14" s="213" t="s">
        <v>91</v>
      </c>
      <c r="C14" s="213"/>
      <c r="D14" s="213"/>
      <c r="E14" s="213"/>
      <c r="F14" s="218">
        <f>F12</f>
        <v>582.51671520000002</v>
      </c>
      <c r="G14" s="219"/>
      <c r="H14" s="132">
        <f>H12</f>
        <v>7199.9999512000004</v>
      </c>
      <c r="I14" s="133"/>
      <c r="J14" s="134">
        <f>J12</f>
        <v>7782.5166663999998</v>
      </c>
    </row>
    <row r="18" spans="2:2" x14ac:dyDescent="0.25">
      <c r="B18" s="117" t="s">
        <v>75</v>
      </c>
    </row>
    <row r="19" spans="2:2" x14ac:dyDescent="0.25">
      <c r="B19" s="128" t="s">
        <v>76</v>
      </c>
    </row>
    <row r="21" spans="2:2" x14ac:dyDescent="0.25">
      <c r="B21" s="117" t="s">
        <v>77</v>
      </c>
    </row>
    <row r="22" spans="2:2" x14ac:dyDescent="0.25">
      <c r="B22" s="128" t="s">
        <v>78</v>
      </c>
    </row>
    <row r="37" spans="9:9" x14ac:dyDescent="0.25">
      <c r="I37" s="181"/>
    </row>
  </sheetData>
  <mergeCells count="14">
    <mergeCell ref="B13:E13"/>
    <mergeCell ref="B14:E14"/>
    <mergeCell ref="B3:J3"/>
    <mergeCell ref="B4:J4"/>
    <mergeCell ref="B6:J6"/>
    <mergeCell ref="B7:J7"/>
    <mergeCell ref="B9:B11"/>
    <mergeCell ref="C9:C11"/>
    <mergeCell ref="D9:J9"/>
    <mergeCell ref="D10:D11"/>
    <mergeCell ref="E10:E11"/>
    <mergeCell ref="F10:J10"/>
    <mergeCell ref="F12:G12"/>
    <mergeCell ref="F14:G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4:L62"/>
  <sheetViews>
    <sheetView view="pageBreakPreview" zoomScale="55" zoomScaleSheetLayoutView="55" workbookViewId="0">
      <selection activeCell="D69" sqref="D69"/>
    </sheetView>
  </sheetViews>
  <sheetFormatPr defaultColWidth="9.140625" defaultRowHeight="15.75" x14ac:dyDescent="0.25"/>
  <cols>
    <col min="1" max="1" width="9.140625" style="117"/>
    <col min="2" max="2" width="12.5703125" style="117" customWidth="1"/>
    <col min="3" max="3" width="22.42578125" style="117" customWidth="1"/>
    <col min="4" max="4" width="49.7109375" style="117" customWidth="1"/>
    <col min="5" max="5" width="10.140625" style="168" customWidth="1"/>
    <col min="6" max="6" width="20.7109375" style="117" customWidth="1"/>
    <col min="7" max="7" width="16.140625" style="117" customWidth="1"/>
    <col min="8" max="8" width="16.7109375" style="117" customWidth="1"/>
    <col min="9" max="9" width="9.140625" style="117"/>
    <col min="10" max="10" width="10.140625" style="117" customWidth="1"/>
    <col min="11" max="11" width="14" style="117" customWidth="1"/>
    <col min="12" max="12" width="9.140625" style="117"/>
  </cols>
  <sheetData>
    <row r="4" spans="1:12" x14ac:dyDescent="0.25">
      <c r="A4" s="210" t="s">
        <v>92</v>
      </c>
      <c r="B4" s="210"/>
      <c r="C4" s="210"/>
      <c r="D4" s="210"/>
      <c r="E4" s="210"/>
      <c r="F4" s="210"/>
      <c r="G4" s="210"/>
      <c r="H4" s="210"/>
    </row>
    <row r="5" spans="1:12" x14ac:dyDescent="0.25">
      <c r="A5" s="211" t="s">
        <v>93</v>
      </c>
      <c r="B5" s="211"/>
      <c r="C5" s="211"/>
      <c r="D5" s="211"/>
      <c r="E5" s="211"/>
      <c r="F5" s="211"/>
      <c r="G5" s="211"/>
      <c r="H5" s="211"/>
    </row>
    <row r="6" spans="1:12" x14ac:dyDescent="0.25">
      <c r="A6" s="191"/>
    </row>
    <row r="7" spans="1:12" ht="41.25" customHeight="1" x14ac:dyDescent="0.25">
      <c r="A7" s="214" t="s">
        <v>94</v>
      </c>
      <c r="B7" s="214"/>
      <c r="C7" s="214"/>
      <c r="D7" s="214"/>
      <c r="E7" s="214"/>
      <c r="F7" s="214"/>
      <c r="G7" s="214"/>
      <c r="H7" s="214"/>
    </row>
    <row r="8" spans="1:12" x14ac:dyDescent="0.25">
      <c r="A8" s="169"/>
      <c r="B8" s="169"/>
      <c r="C8" s="169"/>
      <c r="D8" s="169"/>
      <c r="E8" s="118"/>
      <c r="F8" s="169"/>
      <c r="G8" s="169"/>
      <c r="H8" s="169"/>
    </row>
    <row r="9" spans="1:12" ht="38.25" customHeight="1" x14ac:dyDescent="0.25">
      <c r="A9" s="215" t="s">
        <v>95</v>
      </c>
      <c r="B9" s="215" t="s">
        <v>96</v>
      </c>
      <c r="C9" s="215" t="s">
        <v>97</v>
      </c>
      <c r="D9" s="215" t="s">
        <v>98</v>
      </c>
      <c r="E9" s="215" t="s">
        <v>99</v>
      </c>
      <c r="F9" s="215" t="s">
        <v>100</v>
      </c>
      <c r="G9" s="215" t="s">
        <v>101</v>
      </c>
      <c r="H9" s="215"/>
    </row>
    <row r="10" spans="1:12" ht="40.5" customHeight="1" x14ac:dyDescent="0.25">
      <c r="A10" s="215"/>
      <c r="B10" s="215"/>
      <c r="C10" s="215"/>
      <c r="D10" s="215"/>
      <c r="E10" s="215"/>
      <c r="F10" s="215"/>
      <c r="G10" s="140" t="s">
        <v>102</v>
      </c>
      <c r="H10" s="140" t="s">
        <v>103</v>
      </c>
    </row>
    <row r="11" spans="1:12" x14ac:dyDescent="0.25">
      <c r="A11" s="170">
        <v>1</v>
      </c>
      <c r="B11" s="170"/>
      <c r="C11" s="170">
        <v>2</v>
      </c>
      <c r="D11" s="170" t="s">
        <v>104</v>
      </c>
      <c r="E11" s="170">
        <v>4</v>
      </c>
      <c r="F11" s="170">
        <v>5</v>
      </c>
      <c r="G11" s="170">
        <v>6</v>
      </c>
      <c r="H11" s="170">
        <v>7</v>
      </c>
    </row>
    <row r="12" spans="1:12" s="172" customFormat="1" x14ac:dyDescent="0.25">
      <c r="A12" s="220" t="s">
        <v>105</v>
      </c>
      <c r="B12" s="221"/>
      <c r="C12" s="222"/>
      <c r="D12" s="222"/>
      <c r="E12" s="221"/>
      <c r="F12" s="171">
        <f>SUM(F13:F14)</f>
        <v>167.17330000000001</v>
      </c>
      <c r="G12" s="171"/>
      <c r="H12" s="171">
        <f>SUM(H13:H14)</f>
        <v>1578.55</v>
      </c>
    </row>
    <row r="13" spans="1:12" x14ac:dyDescent="0.25">
      <c r="A13" s="173">
        <v>1</v>
      </c>
      <c r="B13" s="174" t="s">
        <v>106</v>
      </c>
      <c r="C13" s="175" t="s">
        <v>107</v>
      </c>
      <c r="D13" s="176" t="s">
        <v>108</v>
      </c>
      <c r="E13" s="177" t="s">
        <v>109</v>
      </c>
      <c r="F13" s="173">
        <v>153.47370000000001</v>
      </c>
      <c r="G13" s="136">
        <v>9.4</v>
      </c>
      <c r="H13" s="136">
        <f>ROUND(F13*G13,2)</f>
        <v>1442.65</v>
      </c>
      <c r="K13" s="178"/>
      <c r="L13" s="182"/>
    </row>
    <row r="14" spans="1:12" x14ac:dyDescent="0.25">
      <c r="A14" s="173">
        <v>2</v>
      </c>
      <c r="B14" s="174" t="s">
        <v>106</v>
      </c>
      <c r="C14" s="175" t="s">
        <v>110</v>
      </c>
      <c r="D14" s="176" t="s">
        <v>111</v>
      </c>
      <c r="E14" s="177" t="s">
        <v>109</v>
      </c>
      <c r="F14" s="173">
        <v>13.6996</v>
      </c>
      <c r="G14" s="136">
        <v>9.92</v>
      </c>
      <c r="H14" s="136">
        <f>ROUND(F14*G14,2)</f>
        <v>135.9</v>
      </c>
      <c r="L14" s="172"/>
    </row>
    <row r="15" spans="1:12" x14ac:dyDescent="0.25">
      <c r="A15" s="220" t="s">
        <v>112</v>
      </c>
      <c r="B15" s="221"/>
      <c r="C15" s="222"/>
      <c r="D15" s="222"/>
      <c r="E15" s="221"/>
      <c r="F15" s="192">
        <f>F16</f>
        <v>10.802</v>
      </c>
      <c r="G15" s="171"/>
      <c r="H15" s="171">
        <f>H16</f>
        <v>133.97</v>
      </c>
    </row>
    <row r="16" spans="1:12" x14ac:dyDescent="0.25">
      <c r="A16" s="173">
        <v>3</v>
      </c>
      <c r="B16" s="173" t="s">
        <v>106</v>
      </c>
      <c r="C16" s="176">
        <v>2</v>
      </c>
      <c r="D16" s="176" t="s">
        <v>112</v>
      </c>
      <c r="E16" s="177" t="s">
        <v>109</v>
      </c>
      <c r="F16" s="173">
        <v>10.802</v>
      </c>
      <c r="G16" s="136"/>
      <c r="H16" s="136">
        <v>133.97</v>
      </c>
    </row>
    <row r="17" spans="1:11" s="172" customFormat="1" x14ac:dyDescent="0.25">
      <c r="A17" s="220" t="s">
        <v>113</v>
      </c>
      <c r="B17" s="221"/>
      <c r="C17" s="222"/>
      <c r="D17" s="222"/>
      <c r="E17" s="221"/>
      <c r="F17" s="192"/>
      <c r="G17" s="171"/>
      <c r="H17" s="171">
        <f>SUM(H18:H25)</f>
        <v>1127.7</v>
      </c>
    </row>
    <row r="18" spans="1:11" ht="31.5" customHeight="1" x14ac:dyDescent="0.25">
      <c r="A18" s="173">
        <v>4</v>
      </c>
      <c r="B18" s="173" t="s">
        <v>106</v>
      </c>
      <c r="C18" s="176" t="s">
        <v>114</v>
      </c>
      <c r="D18" s="176" t="s">
        <v>115</v>
      </c>
      <c r="E18" s="177" t="s">
        <v>116</v>
      </c>
      <c r="F18" s="173">
        <v>4.7709999999999999</v>
      </c>
      <c r="G18" s="136">
        <v>115.4</v>
      </c>
      <c r="H18" s="136">
        <f t="shared" ref="H18:H25" si="0">ROUND(F18*G18,2)</f>
        <v>550.57000000000005</v>
      </c>
      <c r="J18" s="114"/>
    </row>
    <row r="19" spans="1:11" x14ac:dyDescent="0.25">
      <c r="A19" s="173">
        <v>5</v>
      </c>
      <c r="B19" s="173" t="s">
        <v>106</v>
      </c>
      <c r="C19" s="176" t="s">
        <v>117</v>
      </c>
      <c r="D19" s="176" t="s">
        <v>118</v>
      </c>
      <c r="E19" s="177" t="s">
        <v>116</v>
      </c>
      <c r="F19" s="173">
        <v>4.7709999999999999</v>
      </c>
      <c r="G19" s="136">
        <v>65.709999999999994</v>
      </c>
      <c r="H19" s="136">
        <f t="shared" si="0"/>
        <v>313.5</v>
      </c>
      <c r="J19" s="114"/>
    </row>
    <row r="20" spans="1:11" ht="31.5" customHeight="1" x14ac:dyDescent="0.25">
      <c r="A20" s="173">
        <v>6</v>
      </c>
      <c r="B20" s="173" t="s">
        <v>106</v>
      </c>
      <c r="C20" s="176" t="s">
        <v>119</v>
      </c>
      <c r="D20" s="176" t="s">
        <v>120</v>
      </c>
      <c r="E20" s="177" t="s">
        <v>116</v>
      </c>
      <c r="F20" s="173">
        <v>1.1100000000000001</v>
      </c>
      <c r="G20" s="136">
        <v>112.36</v>
      </c>
      <c r="H20" s="136">
        <f t="shared" si="0"/>
        <v>124.72</v>
      </c>
      <c r="J20" s="114"/>
      <c r="K20" s="114"/>
    </row>
    <row r="21" spans="1:11" ht="31.5" customHeight="1" x14ac:dyDescent="0.25">
      <c r="A21" s="173">
        <v>7</v>
      </c>
      <c r="B21" s="173" t="s">
        <v>106</v>
      </c>
      <c r="C21" s="176" t="s">
        <v>121</v>
      </c>
      <c r="D21" s="176" t="s">
        <v>122</v>
      </c>
      <c r="E21" s="177" t="s">
        <v>116</v>
      </c>
      <c r="F21" s="173">
        <v>25.4374</v>
      </c>
      <c r="G21" s="136">
        <v>3.28</v>
      </c>
      <c r="H21" s="136">
        <f t="shared" si="0"/>
        <v>83.43</v>
      </c>
      <c r="J21" s="114"/>
    </row>
    <row r="22" spans="1:11" ht="31.5" customHeight="1" x14ac:dyDescent="0.25">
      <c r="A22" s="173">
        <v>8</v>
      </c>
      <c r="B22" s="173" t="s">
        <v>106</v>
      </c>
      <c r="C22" s="176" t="s">
        <v>123</v>
      </c>
      <c r="D22" s="176" t="s">
        <v>124</v>
      </c>
      <c r="E22" s="177" t="s">
        <v>116</v>
      </c>
      <c r="F22" s="173">
        <v>3.7120000000000002</v>
      </c>
      <c r="G22" s="136">
        <v>8.1</v>
      </c>
      <c r="H22" s="136">
        <f t="shared" si="0"/>
        <v>30.07</v>
      </c>
      <c r="J22" s="114"/>
    </row>
    <row r="23" spans="1:11" ht="31.5" customHeight="1" x14ac:dyDescent="0.25">
      <c r="A23" s="173">
        <v>9</v>
      </c>
      <c r="B23" s="173" t="s">
        <v>106</v>
      </c>
      <c r="C23" s="176" t="s">
        <v>125</v>
      </c>
      <c r="D23" s="176" t="s">
        <v>126</v>
      </c>
      <c r="E23" s="177" t="s">
        <v>116</v>
      </c>
      <c r="F23" s="173">
        <v>25.4374</v>
      </c>
      <c r="G23" s="136">
        <v>0.9</v>
      </c>
      <c r="H23" s="136">
        <f t="shared" si="0"/>
        <v>22.89</v>
      </c>
      <c r="J23" s="114"/>
    </row>
    <row r="24" spans="1:11" ht="47.25" customHeight="1" x14ac:dyDescent="0.25">
      <c r="A24" s="173">
        <v>10</v>
      </c>
      <c r="B24" s="173" t="s">
        <v>106</v>
      </c>
      <c r="C24" s="176" t="s">
        <v>127</v>
      </c>
      <c r="D24" s="176" t="s">
        <v>128</v>
      </c>
      <c r="E24" s="177" t="s">
        <v>116</v>
      </c>
      <c r="F24" s="173">
        <v>0.15</v>
      </c>
      <c r="G24" s="136">
        <v>13.13</v>
      </c>
      <c r="H24" s="136">
        <f t="shared" si="0"/>
        <v>1.97</v>
      </c>
      <c r="J24" s="114"/>
    </row>
    <row r="25" spans="1:11" x14ac:dyDescent="0.25">
      <c r="A25" s="173">
        <v>11</v>
      </c>
      <c r="B25" s="173" t="s">
        <v>106</v>
      </c>
      <c r="C25" s="176" t="s">
        <v>129</v>
      </c>
      <c r="D25" s="176" t="s">
        <v>130</v>
      </c>
      <c r="E25" s="177" t="s">
        <v>116</v>
      </c>
      <c r="F25" s="173">
        <v>0.49440000000000001</v>
      </c>
      <c r="G25" s="136">
        <v>1.1100000000000001</v>
      </c>
      <c r="H25" s="136">
        <f t="shared" si="0"/>
        <v>0.55000000000000004</v>
      </c>
      <c r="J25" s="114"/>
    </row>
    <row r="26" spans="1:11" x14ac:dyDescent="0.25">
      <c r="A26" s="220" t="s">
        <v>43</v>
      </c>
      <c r="B26" s="221"/>
      <c r="C26" s="222"/>
      <c r="D26" s="222"/>
      <c r="E26" s="221"/>
      <c r="F26" s="192"/>
      <c r="G26" s="171"/>
      <c r="H26" s="171">
        <f>SUM(H27:H28)</f>
        <v>1294964.02</v>
      </c>
    </row>
    <row r="27" spans="1:11" s="172" customFormat="1" ht="31.5" customHeight="1" x14ac:dyDescent="0.25">
      <c r="A27" s="173">
        <v>12</v>
      </c>
      <c r="B27" s="173" t="s">
        <v>106</v>
      </c>
      <c r="C27" s="176" t="s">
        <v>131</v>
      </c>
      <c r="D27" s="176" t="s">
        <v>132</v>
      </c>
      <c r="E27" s="177" t="s">
        <v>133</v>
      </c>
      <c r="F27" s="173">
        <v>1</v>
      </c>
      <c r="G27" s="136">
        <v>944244.6</v>
      </c>
      <c r="H27" s="136">
        <f>ROUND(F27*G27,2)</f>
        <v>944244.6</v>
      </c>
      <c r="J27" s="114"/>
    </row>
    <row r="28" spans="1:11" s="172" customFormat="1" ht="31.5" customHeight="1" x14ac:dyDescent="0.25">
      <c r="A28" s="173">
        <v>13</v>
      </c>
      <c r="B28" s="173" t="s">
        <v>106</v>
      </c>
      <c r="C28" s="176" t="s">
        <v>131</v>
      </c>
      <c r="D28" s="176" t="s">
        <v>134</v>
      </c>
      <c r="E28" s="177" t="s">
        <v>133</v>
      </c>
      <c r="F28" s="173">
        <v>1</v>
      </c>
      <c r="G28" s="136">
        <v>350719.42</v>
      </c>
      <c r="H28" s="136">
        <f>ROUND(F28*G28,2)</f>
        <v>350719.42</v>
      </c>
      <c r="J28" s="114"/>
    </row>
    <row r="29" spans="1:11" x14ac:dyDescent="0.25">
      <c r="A29" s="220" t="s">
        <v>135</v>
      </c>
      <c r="B29" s="221"/>
      <c r="C29" s="222"/>
      <c r="D29" s="222"/>
      <c r="E29" s="221"/>
      <c r="F29" s="192"/>
      <c r="G29" s="171"/>
      <c r="H29" s="171">
        <f>SUM(H30:H55)</f>
        <v>64658.82</v>
      </c>
    </row>
    <row r="30" spans="1:11" ht="31.5" customHeight="1" x14ac:dyDescent="0.25">
      <c r="A30" s="173">
        <v>14</v>
      </c>
      <c r="B30" s="173" t="s">
        <v>106</v>
      </c>
      <c r="C30" s="176" t="s">
        <v>136</v>
      </c>
      <c r="D30" s="176" t="s">
        <v>137</v>
      </c>
      <c r="E30" s="177" t="s">
        <v>138</v>
      </c>
      <c r="F30" s="173">
        <v>0.59874000000000005</v>
      </c>
      <c r="G30" s="136">
        <v>71107.06</v>
      </c>
      <c r="H30" s="136">
        <f t="shared" ref="H30:H55" si="1">ROUND(F30*G30,2)</f>
        <v>42574.64</v>
      </c>
      <c r="J30" s="114"/>
    </row>
    <row r="31" spans="1:11" ht="31.5" customHeight="1" x14ac:dyDescent="0.25">
      <c r="A31" s="173">
        <v>15</v>
      </c>
      <c r="B31" s="173" t="s">
        <v>106</v>
      </c>
      <c r="C31" s="176" t="s">
        <v>139</v>
      </c>
      <c r="D31" s="176" t="s">
        <v>140</v>
      </c>
      <c r="E31" s="177" t="s">
        <v>138</v>
      </c>
      <c r="F31" s="173">
        <v>0.55793999999999999</v>
      </c>
      <c r="G31" s="136">
        <v>26001.05</v>
      </c>
      <c r="H31" s="136">
        <f t="shared" si="1"/>
        <v>14507.03</v>
      </c>
      <c r="J31" s="114"/>
      <c r="K31" s="114"/>
    </row>
    <row r="32" spans="1:11" ht="31.5" customHeight="1" x14ac:dyDescent="0.25">
      <c r="A32" s="173">
        <v>16</v>
      </c>
      <c r="B32" s="173" t="s">
        <v>106</v>
      </c>
      <c r="C32" s="176" t="s">
        <v>141</v>
      </c>
      <c r="D32" s="176" t="s">
        <v>142</v>
      </c>
      <c r="E32" s="177" t="s">
        <v>138</v>
      </c>
      <c r="F32" s="173">
        <v>0.20451</v>
      </c>
      <c r="G32" s="136">
        <v>16394.77</v>
      </c>
      <c r="H32" s="136">
        <f t="shared" si="1"/>
        <v>3352.89</v>
      </c>
      <c r="J32" s="114"/>
      <c r="K32" s="114"/>
    </row>
    <row r="33" spans="1:11" ht="31.5" customHeight="1" x14ac:dyDescent="0.25">
      <c r="A33" s="173">
        <v>17</v>
      </c>
      <c r="B33" s="173" t="s">
        <v>106</v>
      </c>
      <c r="C33" s="176" t="s">
        <v>143</v>
      </c>
      <c r="D33" s="176" t="s">
        <v>144</v>
      </c>
      <c r="E33" s="177" t="s">
        <v>138</v>
      </c>
      <c r="F33" s="173">
        <v>0.23663999999999999</v>
      </c>
      <c r="G33" s="136">
        <v>13942.81</v>
      </c>
      <c r="H33" s="136">
        <f t="shared" si="1"/>
        <v>3299.43</v>
      </c>
      <c r="J33" s="114"/>
    </row>
    <row r="34" spans="1:11" ht="31.5" customHeight="1" x14ac:dyDescent="0.25">
      <c r="A34" s="173">
        <v>18</v>
      </c>
      <c r="B34" s="173" t="s">
        <v>106</v>
      </c>
      <c r="C34" s="176" t="s">
        <v>145</v>
      </c>
      <c r="D34" s="176" t="s">
        <v>146</v>
      </c>
      <c r="E34" s="177" t="s">
        <v>147</v>
      </c>
      <c r="F34" s="173">
        <v>7.0939000000000002E-3</v>
      </c>
      <c r="G34" s="136">
        <v>68050</v>
      </c>
      <c r="H34" s="136">
        <f t="shared" si="1"/>
        <v>482.74</v>
      </c>
      <c r="J34" s="114"/>
    </row>
    <row r="35" spans="1:11" s="172" customFormat="1" ht="31.5" customHeight="1" x14ac:dyDescent="0.25">
      <c r="A35" s="173">
        <v>19</v>
      </c>
      <c r="B35" s="173" t="s">
        <v>106</v>
      </c>
      <c r="C35" s="176" t="s">
        <v>148</v>
      </c>
      <c r="D35" s="176" t="s">
        <v>149</v>
      </c>
      <c r="E35" s="177" t="s">
        <v>138</v>
      </c>
      <c r="F35" s="173">
        <v>1.2239999999999999E-2</v>
      </c>
      <c r="G35" s="136">
        <v>12127</v>
      </c>
      <c r="H35" s="136">
        <f t="shared" si="1"/>
        <v>148.43</v>
      </c>
      <c r="J35" s="114"/>
      <c r="K35" s="114"/>
    </row>
    <row r="36" spans="1:11" x14ac:dyDescent="0.25">
      <c r="A36" s="173">
        <v>20</v>
      </c>
      <c r="B36" s="173" t="s">
        <v>106</v>
      </c>
      <c r="C36" s="176" t="s">
        <v>150</v>
      </c>
      <c r="D36" s="176" t="s">
        <v>151</v>
      </c>
      <c r="E36" s="177" t="s">
        <v>152</v>
      </c>
      <c r="F36" s="173">
        <v>13.436624999999999</v>
      </c>
      <c r="G36" s="136">
        <v>6.9</v>
      </c>
      <c r="H36" s="136">
        <f t="shared" si="1"/>
        <v>92.71</v>
      </c>
      <c r="J36" s="114"/>
    </row>
    <row r="37" spans="1:11" x14ac:dyDescent="0.25">
      <c r="A37" s="173">
        <v>21</v>
      </c>
      <c r="B37" s="173" t="s">
        <v>106</v>
      </c>
      <c r="C37" s="176" t="s">
        <v>153</v>
      </c>
      <c r="D37" s="176" t="s">
        <v>154</v>
      </c>
      <c r="E37" s="177" t="s">
        <v>147</v>
      </c>
      <c r="F37" s="173">
        <v>1.2800000000000001E-2</v>
      </c>
      <c r="G37" s="136">
        <v>4488.3999999999996</v>
      </c>
      <c r="H37" s="136">
        <f t="shared" si="1"/>
        <v>57.45</v>
      </c>
      <c r="J37" s="114"/>
    </row>
    <row r="38" spans="1:11" ht="31.5" customHeight="1" x14ac:dyDescent="0.25">
      <c r="A38" s="173">
        <v>22</v>
      </c>
      <c r="B38" s="173" t="s">
        <v>106</v>
      </c>
      <c r="C38" s="176" t="s">
        <v>155</v>
      </c>
      <c r="D38" s="176" t="s">
        <v>156</v>
      </c>
      <c r="E38" s="177" t="s">
        <v>157</v>
      </c>
      <c r="F38" s="173">
        <v>31.530200000000001</v>
      </c>
      <c r="G38" s="136">
        <v>1</v>
      </c>
      <c r="H38" s="136">
        <f t="shared" si="1"/>
        <v>31.53</v>
      </c>
      <c r="J38" s="114"/>
    </row>
    <row r="39" spans="1:11" x14ac:dyDescent="0.25">
      <c r="A39" s="173">
        <v>23</v>
      </c>
      <c r="B39" s="173" t="s">
        <v>106</v>
      </c>
      <c r="C39" s="176" t="s">
        <v>158</v>
      </c>
      <c r="D39" s="176" t="s">
        <v>159</v>
      </c>
      <c r="E39" s="177" t="s">
        <v>147</v>
      </c>
      <c r="F39" s="173">
        <v>2.9759999999999999E-3</v>
      </c>
      <c r="G39" s="136">
        <v>7826.9</v>
      </c>
      <c r="H39" s="136">
        <f t="shared" si="1"/>
        <v>23.29</v>
      </c>
      <c r="J39" s="114"/>
    </row>
    <row r="40" spans="1:11" x14ac:dyDescent="0.25">
      <c r="A40" s="173">
        <v>24</v>
      </c>
      <c r="B40" s="173" t="s">
        <v>106</v>
      </c>
      <c r="C40" s="176" t="s">
        <v>160</v>
      </c>
      <c r="D40" s="176" t="s">
        <v>161</v>
      </c>
      <c r="E40" s="177" t="s">
        <v>162</v>
      </c>
      <c r="F40" s="173">
        <v>0.24479999999999999</v>
      </c>
      <c r="G40" s="136">
        <v>86</v>
      </c>
      <c r="H40" s="136">
        <f t="shared" si="1"/>
        <v>21.05</v>
      </c>
      <c r="J40" s="114"/>
    </row>
    <row r="41" spans="1:11" x14ac:dyDescent="0.25">
      <c r="A41" s="173">
        <v>25</v>
      </c>
      <c r="B41" s="173" t="s">
        <v>106</v>
      </c>
      <c r="C41" s="176" t="s">
        <v>163</v>
      </c>
      <c r="D41" s="176" t="s">
        <v>164</v>
      </c>
      <c r="E41" s="177" t="s">
        <v>165</v>
      </c>
      <c r="F41" s="173">
        <v>2.4</v>
      </c>
      <c r="G41" s="136">
        <v>6.09</v>
      </c>
      <c r="H41" s="136">
        <f t="shared" si="1"/>
        <v>14.62</v>
      </c>
      <c r="J41" s="114"/>
    </row>
    <row r="42" spans="1:11" x14ac:dyDescent="0.25">
      <c r="A42" s="173">
        <v>26</v>
      </c>
      <c r="B42" s="173" t="s">
        <v>106</v>
      </c>
      <c r="C42" s="176" t="s">
        <v>166</v>
      </c>
      <c r="D42" s="176" t="s">
        <v>167</v>
      </c>
      <c r="E42" s="177" t="s">
        <v>162</v>
      </c>
      <c r="F42" s="173">
        <v>0.20399999999999999</v>
      </c>
      <c r="G42" s="136">
        <v>63</v>
      </c>
      <c r="H42" s="136">
        <f t="shared" si="1"/>
        <v>12.85</v>
      </c>
      <c r="J42" s="114"/>
    </row>
    <row r="43" spans="1:11" x14ac:dyDescent="0.25">
      <c r="A43" s="173">
        <v>27</v>
      </c>
      <c r="B43" s="173" t="s">
        <v>106</v>
      </c>
      <c r="C43" s="176" t="s">
        <v>168</v>
      </c>
      <c r="D43" s="176" t="s">
        <v>169</v>
      </c>
      <c r="E43" s="177" t="s">
        <v>165</v>
      </c>
      <c r="F43" s="173">
        <v>1.0376000000000001</v>
      </c>
      <c r="G43" s="136">
        <v>9.0399999999999991</v>
      </c>
      <c r="H43" s="136">
        <f t="shared" si="1"/>
        <v>9.3800000000000008</v>
      </c>
      <c r="J43" s="114"/>
    </row>
    <row r="44" spans="1:11" x14ac:dyDescent="0.25">
      <c r="A44" s="173">
        <v>28</v>
      </c>
      <c r="B44" s="173" t="s">
        <v>106</v>
      </c>
      <c r="C44" s="176" t="s">
        <v>170</v>
      </c>
      <c r="D44" s="176" t="s">
        <v>171</v>
      </c>
      <c r="E44" s="177" t="s">
        <v>165</v>
      </c>
      <c r="F44" s="173">
        <v>0.24</v>
      </c>
      <c r="G44" s="136">
        <v>28.6</v>
      </c>
      <c r="H44" s="136">
        <f t="shared" si="1"/>
        <v>6.86</v>
      </c>
      <c r="J44" s="114"/>
    </row>
    <row r="45" spans="1:11" x14ac:dyDescent="0.25">
      <c r="A45" s="173">
        <v>29</v>
      </c>
      <c r="B45" s="173" t="s">
        <v>106</v>
      </c>
      <c r="C45" s="176" t="s">
        <v>172</v>
      </c>
      <c r="D45" s="176" t="s">
        <v>173</v>
      </c>
      <c r="E45" s="177" t="s">
        <v>174</v>
      </c>
      <c r="F45" s="173">
        <v>0.16</v>
      </c>
      <c r="G45" s="136">
        <v>39</v>
      </c>
      <c r="H45" s="136">
        <f t="shared" si="1"/>
        <v>6.24</v>
      </c>
      <c r="J45" s="114"/>
    </row>
    <row r="46" spans="1:11" x14ac:dyDescent="0.25">
      <c r="A46" s="173">
        <v>30</v>
      </c>
      <c r="B46" s="173" t="s">
        <v>106</v>
      </c>
      <c r="C46" s="176" t="s">
        <v>175</v>
      </c>
      <c r="D46" s="176" t="s">
        <v>176</v>
      </c>
      <c r="E46" s="177" t="s">
        <v>147</v>
      </c>
      <c r="F46" s="173">
        <v>3.3940000000000001E-4</v>
      </c>
      <c r="G46" s="136">
        <v>12430</v>
      </c>
      <c r="H46" s="136">
        <f t="shared" si="1"/>
        <v>4.22</v>
      </c>
      <c r="J46" s="114"/>
    </row>
    <row r="47" spans="1:11" x14ac:dyDescent="0.25">
      <c r="A47" s="173">
        <v>31</v>
      </c>
      <c r="B47" s="173" t="s">
        <v>106</v>
      </c>
      <c r="C47" s="176" t="s">
        <v>177</v>
      </c>
      <c r="D47" s="176" t="s">
        <v>178</v>
      </c>
      <c r="E47" s="177" t="s">
        <v>165</v>
      </c>
      <c r="F47" s="173">
        <v>0.32</v>
      </c>
      <c r="G47" s="136">
        <v>10.57</v>
      </c>
      <c r="H47" s="136">
        <f t="shared" si="1"/>
        <v>3.38</v>
      </c>
      <c r="J47" s="114"/>
    </row>
    <row r="48" spans="1:11" ht="31.5" customHeight="1" x14ac:dyDescent="0.25">
      <c r="A48" s="173">
        <v>32</v>
      </c>
      <c r="B48" s="173" t="s">
        <v>106</v>
      </c>
      <c r="C48" s="176" t="s">
        <v>179</v>
      </c>
      <c r="D48" s="176" t="s">
        <v>180</v>
      </c>
      <c r="E48" s="177" t="s">
        <v>147</v>
      </c>
      <c r="F48" s="173">
        <v>6.4000000000000005E-4</v>
      </c>
      <c r="G48" s="136">
        <v>5000</v>
      </c>
      <c r="H48" s="136">
        <f t="shared" si="1"/>
        <v>3.2</v>
      </c>
      <c r="J48" s="114"/>
    </row>
    <row r="49" spans="1:10" x14ac:dyDescent="0.25">
      <c r="A49" s="173">
        <v>33</v>
      </c>
      <c r="B49" s="173" t="s">
        <v>106</v>
      </c>
      <c r="C49" s="176" t="s">
        <v>181</v>
      </c>
      <c r="D49" s="176" t="s">
        <v>182</v>
      </c>
      <c r="E49" s="177" t="s">
        <v>147</v>
      </c>
      <c r="F49" s="173">
        <v>2.8E-5</v>
      </c>
      <c r="G49" s="136">
        <v>70200</v>
      </c>
      <c r="H49" s="136">
        <f t="shared" si="1"/>
        <v>1.97</v>
      </c>
      <c r="J49" s="114"/>
    </row>
    <row r="50" spans="1:10" ht="47.25" customHeight="1" x14ac:dyDescent="0.25">
      <c r="A50" s="173">
        <v>34</v>
      </c>
      <c r="B50" s="173" t="s">
        <v>106</v>
      </c>
      <c r="C50" s="176" t="s">
        <v>183</v>
      </c>
      <c r="D50" s="176" t="s">
        <v>184</v>
      </c>
      <c r="E50" s="177" t="s">
        <v>165</v>
      </c>
      <c r="F50" s="173">
        <v>5.6000000000000001E-2</v>
      </c>
      <c r="G50" s="136">
        <v>30.4</v>
      </c>
      <c r="H50" s="136">
        <f t="shared" si="1"/>
        <v>1.7</v>
      </c>
      <c r="J50" s="114"/>
    </row>
    <row r="51" spans="1:10" ht="31.5" customHeight="1" x14ac:dyDescent="0.25">
      <c r="A51" s="173">
        <v>35</v>
      </c>
      <c r="B51" s="173" t="s">
        <v>106</v>
      </c>
      <c r="C51" s="176" t="s">
        <v>185</v>
      </c>
      <c r="D51" s="176" t="s">
        <v>186</v>
      </c>
      <c r="E51" s="177" t="s">
        <v>147</v>
      </c>
      <c r="F51" s="173">
        <v>1.6000000000000001E-4</v>
      </c>
      <c r="G51" s="136">
        <v>8105.71</v>
      </c>
      <c r="H51" s="136">
        <f t="shared" si="1"/>
        <v>1.3</v>
      </c>
      <c r="J51" s="114"/>
    </row>
    <row r="52" spans="1:10" x14ac:dyDescent="0.25">
      <c r="A52" s="173">
        <v>36</v>
      </c>
      <c r="B52" s="173" t="s">
        <v>106</v>
      </c>
      <c r="C52" s="176" t="s">
        <v>187</v>
      </c>
      <c r="D52" s="176" t="s">
        <v>188</v>
      </c>
      <c r="E52" s="177" t="s">
        <v>165</v>
      </c>
      <c r="F52" s="173">
        <v>2.1999999999999999E-2</v>
      </c>
      <c r="G52" s="136">
        <v>44.97</v>
      </c>
      <c r="H52" s="136">
        <f t="shared" si="1"/>
        <v>0.99</v>
      </c>
      <c r="J52" s="114"/>
    </row>
    <row r="53" spans="1:10" ht="47.25" customHeight="1" x14ac:dyDescent="0.25">
      <c r="A53" s="173">
        <v>37</v>
      </c>
      <c r="B53" s="173" t="s">
        <v>106</v>
      </c>
      <c r="C53" s="176" t="s">
        <v>189</v>
      </c>
      <c r="D53" s="176" t="s">
        <v>190</v>
      </c>
      <c r="E53" s="177" t="s">
        <v>162</v>
      </c>
      <c r="F53" s="173">
        <v>0.24479999999999999</v>
      </c>
      <c r="G53" s="136">
        <v>2</v>
      </c>
      <c r="H53" s="136">
        <f t="shared" si="1"/>
        <v>0.49</v>
      </c>
      <c r="J53" s="114"/>
    </row>
    <row r="54" spans="1:10" x14ac:dyDescent="0.25">
      <c r="A54" s="173">
        <v>38</v>
      </c>
      <c r="B54" s="173" t="s">
        <v>106</v>
      </c>
      <c r="C54" s="176" t="s">
        <v>191</v>
      </c>
      <c r="D54" s="176" t="s">
        <v>192</v>
      </c>
      <c r="E54" s="177" t="s">
        <v>165</v>
      </c>
      <c r="F54" s="173">
        <v>2.8E-3</v>
      </c>
      <c r="G54" s="136">
        <v>133.05000000000001</v>
      </c>
      <c r="H54" s="136">
        <f t="shared" si="1"/>
        <v>0.37</v>
      </c>
      <c r="J54" s="114"/>
    </row>
    <row r="55" spans="1:10" x14ac:dyDescent="0.25">
      <c r="A55" s="173">
        <v>39</v>
      </c>
      <c r="B55" s="173" t="s">
        <v>106</v>
      </c>
      <c r="C55" s="176" t="s">
        <v>193</v>
      </c>
      <c r="D55" s="176" t="s">
        <v>194</v>
      </c>
      <c r="E55" s="177" t="s">
        <v>165</v>
      </c>
      <c r="F55" s="173">
        <v>5.5999999999999999E-3</v>
      </c>
      <c r="G55" s="136">
        <v>11.5</v>
      </c>
      <c r="H55" s="136">
        <f t="shared" si="1"/>
        <v>0.06</v>
      </c>
      <c r="J55" s="114"/>
    </row>
    <row r="58" spans="1:10" x14ac:dyDescent="0.25">
      <c r="B58" s="117" t="s">
        <v>75</v>
      </c>
    </row>
    <row r="59" spans="1:10" x14ac:dyDescent="0.25">
      <c r="B59" s="128" t="s">
        <v>76</v>
      </c>
    </row>
    <row r="61" spans="1:10" x14ac:dyDescent="0.25">
      <c r="B61" s="117" t="s">
        <v>77</v>
      </c>
    </row>
    <row r="62" spans="1:10" x14ac:dyDescent="0.25">
      <c r="B62" s="128" t="s">
        <v>78</v>
      </c>
    </row>
  </sheetData>
  <mergeCells count="15">
    <mergeCell ref="A15:E15"/>
    <mergeCell ref="A29:E29"/>
    <mergeCell ref="A12:E12"/>
    <mergeCell ref="A17:E17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26:E26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K50"/>
  <sheetViews>
    <sheetView view="pageBreakPreview" topLeftCell="A36" workbookViewId="0">
      <selection activeCell="D49" sqref="D49:D50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10" width="9.140625" customWidth="1"/>
    <col min="11" max="11" width="13.5703125" customWidth="1"/>
    <col min="12" max="12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6" t="s">
        <v>195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03" t="s">
        <v>196</v>
      </c>
      <c r="C5" s="203"/>
      <c r="D5" s="203"/>
      <c r="E5" s="203"/>
    </row>
    <row r="6" spans="2:5" x14ac:dyDescent="0.25">
      <c r="B6" s="189"/>
      <c r="C6" s="4"/>
      <c r="D6" s="4"/>
      <c r="E6" s="4"/>
    </row>
    <row r="7" spans="2:5" ht="25.5" customHeight="1" x14ac:dyDescent="0.25">
      <c r="B7" s="223" t="s">
        <v>47</v>
      </c>
      <c r="C7" s="223"/>
      <c r="D7" s="223"/>
      <c r="E7" s="223"/>
    </row>
    <row r="8" spans="2:5" x14ac:dyDescent="0.25">
      <c r="B8" s="224" t="s">
        <v>49</v>
      </c>
      <c r="C8" s="224"/>
      <c r="D8" s="224"/>
      <c r="E8" s="224"/>
    </row>
    <row r="9" spans="2:5" x14ac:dyDescent="0.25">
      <c r="B9" s="189"/>
      <c r="C9" s="4"/>
      <c r="D9" s="4"/>
      <c r="E9" s="4"/>
    </row>
    <row r="10" spans="2:5" ht="51" customHeight="1" x14ac:dyDescent="0.25">
      <c r="B10" s="2" t="s">
        <v>197</v>
      </c>
      <c r="C10" s="2" t="s">
        <v>198</v>
      </c>
      <c r="D10" s="2" t="s">
        <v>199</v>
      </c>
      <c r="E10" s="2" t="s">
        <v>200</v>
      </c>
    </row>
    <row r="11" spans="2:5" x14ac:dyDescent="0.25">
      <c r="B11" s="106" t="s">
        <v>201</v>
      </c>
      <c r="C11" s="107">
        <f>'Прил.5 Расчет СМР и ОБ'!J14</f>
        <v>75496.490000000005</v>
      </c>
      <c r="D11" s="108">
        <f t="shared" ref="D11:D18" si="0">C11/$C$24</f>
        <v>0.10326987740392847</v>
      </c>
      <c r="E11" s="108">
        <f t="shared" ref="E11:E18" si="1">C11/$C$40</f>
        <v>2.8477027873369806E-2</v>
      </c>
    </row>
    <row r="12" spans="2:5" x14ac:dyDescent="0.25">
      <c r="B12" s="106" t="s">
        <v>202</v>
      </c>
      <c r="C12" s="107">
        <f>'Прил.5 Расчет СМР и ОБ'!J22</f>
        <v>13319.06</v>
      </c>
      <c r="D12" s="108">
        <f t="shared" si="0"/>
        <v>1.8218829687785053E-2</v>
      </c>
      <c r="E12" s="108">
        <f t="shared" si="1"/>
        <v>5.0239056526612666E-3</v>
      </c>
    </row>
    <row r="13" spans="2:5" x14ac:dyDescent="0.25">
      <c r="B13" s="106" t="s">
        <v>203</v>
      </c>
      <c r="C13" s="107">
        <f>'Прил.5 Расчет СМР и ОБ'!J28</f>
        <v>1871.06</v>
      </c>
      <c r="D13" s="108">
        <f t="shared" si="0"/>
        <v>2.5593790759728613E-3</v>
      </c>
      <c r="E13" s="108">
        <f t="shared" si="1"/>
        <v>7.0575768188358562E-4</v>
      </c>
    </row>
    <row r="14" spans="2:5" x14ac:dyDescent="0.25">
      <c r="B14" s="106" t="s">
        <v>204</v>
      </c>
      <c r="C14" s="107">
        <f>C13+C12</f>
        <v>15190.119999999999</v>
      </c>
      <c r="D14" s="108">
        <f t="shared" si="0"/>
        <v>2.0778208763757914E-2</v>
      </c>
      <c r="E14" s="108">
        <f t="shared" si="1"/>
        <v>5.7296633345448522E-3</v>
      </c>
    </row>
    <row r="15" spans="2:5" x14ac:dyDescent="0.25">
      <c r="B15" s="106" t="s">
        <v>205</v>
      </c>
      <c r="C15" s="107">
        <f>'Прил.5 Расчет СМР и ОБ'!J16</f>
        <v>5933.54</v>
      </c>
      <c r="D15" s="108">
        <f t="shared" si="0"/>
        <v>8.1163501557662571E-3</v>
      </c>
      <c r="E15" s="108">
        <f t="shared" si="1"/>
        <v>2.2381117846373344E-3</v>
      </c>
    </row>
    <row r="16" spans="2:5" x14ac:dyDescent="0.25">
      <c r="B16" s="106" t="s">
        <v>206</v>
      </c>
      <c r="C16" s="107">
        <f>'Прил.5 Расчет СМР и ОБ'!J42</f>
        <v>458936.6</v>
      </c>
      <c r="D16" s="108">
        <f t="shared" si="0"/>
        <v>0.62776860776144361</v>
      </c>
      <c r="E16" s="108">
        <f t="shared" si="1"/>
        <v>0.17310937700957446</v>
      </c>
    </row>
    <row r="17" spans="2:6" x14ac:dyDescent="0.25">
      <c r="B17" s="106" t="s">
        <v>207</v>
      </c>
      <c r="C17" s="107">
        <f>'Прил.5 Расчет СМР и ОБ'!J67</f>
        <v>60920.470000000023</v>
      </c>
      <c r="D17" s="108">
        <f t="shared" si="0"/>
        <v>8.3331681622413223E-2</v>
      </c>
      <c r="E17" s="108">
        <f t="shared" si="1"/>
        <v>2.2979001040297233E-2</v>
      </c>
    </row>
    <row r="18" spans="2:6" x14ac:dyDescent="0.25">
      <c r="B18" s="106" t="s">
        <v>208</v>
      </c>
      <c r="C18" s="107">
        <f>C17+C16</f>
        <v>519857.07</v>
      </c>
      <c r="D18" s="108">
        <f t="shared" si="0"/>
        <v>0.71110028938385683</v>
      </c>
      <c r="E18" s="108">
        <f t="shared" si="1"/>
        <v>0.1960883780498717</v>
      </c>
    </row>
    <row r="19" spans="2:6" x14ac:dyDescent="0.25">
      <c r="B19" s="106" t="s">
        <v>209</v>
      </c>
      <c r="C19" s="107">
        <f>C18+C14+C11</f>
        <v>610543.68000000005</v>
      </c>
      <c r="D19" s="108"/>
      <c r="E19" s="106"/>
    </row>
    <row r="20" spans="2:6" x14ac:dyDescent="0.25">
      <c r="B20" s="106" t="s">
        <v>210</v>
      </c>
      <c r="C20" s="107">
        <f>ROUND(C21*(C11+C15),2)</f>
        <v>41529.32</v>
      </c>
      <c r="D20" s="108">
        <f>C20/$C$24</f>
        <v>5.680698248446403E-2</v>
      </c>
      <c r="E20" s="108">
        <f>C20/$C$40</f>
        <v>1.5664722998408192E-2</v>
      </c>
    </row>
    <row r="21" spans="2:6" x14ac:dyDescent="0.25">
      <c r="B21" s="106" t="s">
        <v>211</v>
      </c>
      <c r="C21" s="111">
        <f>'Прил.5 Расчет СМР и ОБ'!D71</f>
        <v>0.51</v>
      </c>
      <c r="D21" s="108"/>
      <c r="E21" s="106"/>
    </row>
    <row r="22" spans="2:6" x14ac:dyDescent="0.25">
      <c r="B22" s="106" t="s">
        <v>212</v>
      </c>
      <c r="C22" s="107">
        <f>ROUND(C23*(C11+C15),2)</f>
        <v>78987.13</v>
      </c>
      <c r="D22" s="108">
        <f>C22/$C$24</f>
        <v>0.10804464196399276</v>
      </c>
      <c r="E22" s="108">
        <f>C22/$C$40</f>
        <v>2.9793685807743969E-2</v>
      </c>
    </row>
    <row r="23" spans="2:6" x14ac:dyDescent="0.25">
      <c r="B23" s="106" t="s">
        <v>213</v>
      </c>
      <c r="C23" s="111">
        <f>'Прил.5 Расчет СМР и ОБ'!D70</f>
        <v>0.97</v>
      </c>
      <c r="D23" s="108"/>
      <c r="E23" s="106"/>
    </row>
    <row r="24" spans="2:6" x14ac:dyDescent="0.25">
      <c r="B24" s="106" t="s">
        <v>214</v>
      </c>
      <c r="C24" s="107">
        <f>C19+C20+C22</f>
        <v>731060.13</v>
      </c>
      <c r="D24" s="108">
        <f>C24/$C$24</f>
        <v>1</v>
      </c>
      <c r="E24" s="108">
        <f>C24/$C$40</f>
        <v>0.27575347806393852</v>
      </c>
    </row>
    <row r="25" spans="2:6" ht="25.5" customHeight="1" x14ac:dyDescent="0.25">
      <c r="B25" s="106" t="s">
        <v>215</v>
      </c>
      <c r="C25" s="107">
        <f>'Прил.5 Расчет СМР и ОБ'!J36</f>
        <v>1652293.75</v>
      </c>
      <c r="D25" s="108"/>
      <c r="E25" s="108">
        <f>C25/$C$40</f>
        <v>0.62323977146149068</v>
      </c>
    </row>
    <row r="26" spans="2:6" ht="25.5" customHeight="1" x14ac:dyDescent="0.25">
      <c r="B26" s="106" t="s">
        <v>216</v>
      </c>
      <c r="C26" s="107">
        <f>'Прил.5 Расчет СМР и ОБ'!J37</f>
        <v>1652293.75</v>
      </c>
      <c r="D26" s="108"/>
      <c r="E26" s="108">
        <f>C26/$C$40</f>
        <v>0.62323977146149068</v>
      </c>
    </row>
    <row r="27" spans="2:6" x14ac:dyDescent="0.25">
      <c r="B27" s="106" t="s">
        <v>217</v>
      </c>
      <c r="C27" s="110">
        <f>C24+C25</f>
        <v>2383353.88</v>
      </c>
      <c r="D27" s="108"/>
      <c r="E27" s="108">
        <f>C27/$C$40</f>
        <v>0.89899324952542914</v>
      </c>
    </row>
    <row r="28" spans="2:6" ht="33" customHeight="1" x14ac:dyDescent="0.25">
      <c r="B28" s="106" t="s">
        <v>218</v>
      </c>
      <c r="C28" s="106"/>
      <c r="D28" s="106"/>
      <c r="E28" s="106"/>
      <c r="F28" s="109"/>
    </row>
    <row r="29" spans="2:6" ht="25.5" customHeight="1" x14ac:dyDescent="0.25">
      <c r="B29" s="106" t="s">
        <v>219</v>
      </c>
      <c r="C29" s="198">
        <f>ROUND(C24*2.5%,2)</f>
        <v>18276.5</v>
      </c>
      <c r="D29" s="199"/>
      <c r="E29" s="108">
        <f t="shared" ref="E29:E38" si="2">C29/$C$40</f>
        <v>6.8938357257091456E-3</v>
      </c>
    </row>
    <row r="30" spans="2:6" ht="38.25" customHeight="1" x14ac:dyDescent="0.25">
      <c r="B30" s="106" t="s">
        <v>220</v>
      </c>
      <c r="C30" s="198">
        <f>ROUND((C24+C29)*2.1%,2)</f>
        <v>15736.07</v>
      </c>
      <c r="D30" s="199"/>
      <c r="E30" s="108">
        <f t="shared" si="2"/>
        <v>5.9355938800240695E-3</v>
      </c>
      <c r="F30" s="109"/>
    </row>
    <row r="31" spans="2:6" x14ac:dyDescent="0.25">
      <c r="B31" s="106" t="s">
        <v>221</v>
      </c>
      <c r="C31" s="198">
        <v>97700</v>
      </c>
      <c r="D31" s="199"/>
      <c r="E31" s="108">
        <f t="shared" si="2"/>
        <v>3.6852118863118406E-2</v>
      </c>
    </row>
    <row r="32" spans="2:6" ht="25.5" customHeight="1" x14ac:dyDescent="0.25">
      <c r="B32" s="106" t="s">
        <v>222</v>
      </c>
      <c r="C32" s="110">
        <v>0</v>
      </c>
      <c r="D32" s="199"/>
      <c r="E32" s="108">
        <f t="shared" si="2"/>
        <v>0</v>
      </c>
      <c r="F32" s="190"/>
    </row>
    <row r="33" spans="2:11" ht="25.5" customHeight="1" x14ac:dyDescent="0.25">
      <c r="B33" s="106" t="s">
        <v>223</v>
      </c>
      <c r="C33" s="110">
        <f>ROUND($C$27*0,2)</f>
        <v>0</v>
      </c>
      <c r="D33" s="106"/>
      <c r="E33" s="108">
        <f t="shared" si="2"/>
        <v>0</v>
      </c>
    </row>
    <row r="34" spans="2:11" ht="51" customHeight="1" x14ac:dyDescent="0.25">
      <c r="B34" s="106" t="s">
        <v>224</v>
      </c>
      <c r="C34" s="110">
        <v>0</v>
      </c>
      <c r="D34" s="106"/>
      <c r="E34" s="108">
        <f t="shared" si="2"/>
        <v>0</v>
      </c>
      <c r="G34" s="112"/>
    </row>
    <row r="35" spans="2:11" ht="76.5" customHeight="1" x14ac:dyDescent="0.25">
      <c r="B35" s="106" t="s">
        <v>225</v>
      </c>
      <c r="C35" s="110">
        <v>0</v>
      </c>
      <c r="D35" s="106"/>
      <c r="E35" s="108">
        <f t="shared" si="2"/>
        <v>0</v>
      </c>
    </row>
    <row r="36" spans="2:11" ht="25.5" customHeight="1" x14ac:dyDescent="0.25">
      <c r="B36" s="106" t="s">
        <v>226</v>
      </c>
      <c r="C36" s="110">
        <f>ROUND((C27+C32+C33+C34+C35+C29+C31+C30)*2.14%,2)</f>
        <v>53822.42</v>
      </c>
      <c r="D36" s="106"/>
      <c r="E36" s="108">
        <f t="shared" si="2"/>
        <v>2.0301639911368283E-2</v>
      </c>
      <c r="K36" s="109"/>
    </row>
    <row r="37" spans="2:11" x14ac:dyDescent="0.25">
      <c r="B37" s="106" t="s">
        <v>227</v>
      </c>
      <c r="C37" s="110">
        <f>ROUND((C27+C32+C33+C34+C35+C29+C31+C30)*0.2%,2)</f>
        <v>5030.13</v>
      </c>
      <c r="D37" s="106"/>
      <c r="E37" s="108">
        <f t="shared" si="2"/>
        <v>1.8973485021180939E-3</v>
      </c>
      <c r="K37" s="109"/>
    </row>
    <row r="38" spans="2:11" ht="38.25" customHeight="1" x14ac:dyDescent="0.25">
      <c r="B38" s="106" t="s">
        <v>228</v>
      </c>
      <c r="C38" s="107">
        <f>C27+C32+C33+C34+C35+C29+C31+C30+C36+C37</f>
        <v>2573918.9999999995</v>
      </c>
      <c r="D38" s="106"/>
      <c r="E38" s="108">
        <f t="shared" si="2"/>
        <v>0.970873786407767</v>
      </c>
    </row>
    <row r="39" spans="2:11" ht="13.5" customHeight="1" x14ac:dyDescent="0.25">
      <c r="B39" s="106" t="s">
        <v>229</v>
      </c>
      <c r="C39" s="107">
        <f>ROUND(C38*3%,2)</f>
        <v>77217.570000000007</v>
      </c>
      <c r="D39" s="106"/>
      <c r="E39" s="108">
        <f>C39/$C$38</f>
        <v>3.0000000000000009E-2</v>
      </c>
    </row>
    <row r="40" spans="2:11" x14ac:dyDescent="0.25">
      <c r="B40" s="106" t="s">
        <v>230</v>
      </c>
      <c r="C40" s="107">
        <f>C39+C38</f>
        <v>2651136.5699999994</v>
      </c>
      <c r="D40" s="106"/>
      <c r="E40" s="108">
        <f>C40/$C$40</f>
        <v>1</v>
      </c>
    </row>
    <row r="41" spans="2:11" x14ac:dyDescent="0.25">
      <c r="B41" s="106" t="s">
        <v>231</v>
      </c>
      <c r="C41" s="107">
        <f>C40/'Прил.5 Расчет СМР и ОБ'!E74</f>
        <v>2651136.5699999994</v>
      </c>
      <c r="D41" s="106"/>
      <c r="E41" s="106"/>
    </row>
    <row r="42" spans="2:11" x14ac:dyDescent="0.25">
      <c r="B42" s="113"/>
      <c r="C42" s="4"/>
      <c r="D42" s="4"/>
      <c r="E42" s="4"/>
    </row>
    <row r="43" spans="2:11" x14ac:dyDescent="0.25">
      <c r="B43" s="113" t="s">
        <v>232</v>
      </c>
      <c r="C43" s="4"/>
      <c r="D43" s="4"/>
      <c r="E43" s="4"/>
    </row>
    <row r="44" spans="2:11" x14ac:dyDescent="0.25">
      <c r="B44" s="113" t="s">
        <v>233</v>
      </c>
      <c r="C44" s="4"/>
      <c r="D44" s="4"/>
      <c r="E44" s="4"/>
    </row>
    <row r="45" spans="2:11" x14ac:dyDescent="0.25">
      <c r="B45" s="113"/>
      <c r="C45" s="4"/>
      <c r="D45" s="4"/>
      <c r="E45" s="4"/>
    </row>
    <row r="46" spans="2:11" x14ac:dyDescent="0.25">
      <c r="B46" s="113" t="s">
        <v>234</v>
      </c>
      <c r="C46" s="4"/>
      <c r="D46" s="4"/>
      <c r="E46" s="4"/>
    </row>
    <row r="47" spans="2:11" x14ac:dyDescent="0.25">
      <c r="B47" s="224" t="s">
        <v>235</v>
      </c>
      <c r="C47" s="224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80"/>
  <sheetViews>
    <sheetView tabSelected="1" view="pageBreakPreview" zoomScale="40" zoomScaleSheetLayoutView="40" workbookViewId="0">
      <selection activeCell="AV87" sqref="AV87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25" t="s">
        <v>236</v>
      </c>
      <c r="I2" s="225"/>
      <c r="J2" s="225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03" t="s">
        <v>237</v>
      </c>
      <c r="B4" s="203"/>
      <c r="C4" s="203"/>
      <c r="D4" s="203"/>
      <c r="E4" s="203"/>
      <c r="F4" s="203"/>
      <c r="G4" s="203"/>
      <c r="H4" s="203"/>
      <c r="I4" s="203"/>
      <c r="J4" s="203"/>
    </row>
    <row r="5" spans="1:14" s="4" customFormat="1" ht="12.75" customHeight="1" x14ac:dyDescent="0.2">
      <c r="A5" s="194"/>
      <c r="B5" s="194"/>
      <c r="C5" s="29"/>
      <c r="D5" s="194"/>
      <c r="E5" s="194"/>
      <c r="F5" s="194"/>
      <c r="G5" s="194"/>
      <c r="H5" s="194"/>
      <c r="I5" s="194"/>
      <c r="J5" s="194"/>
    </row>
    <row r="6" spans="1:14" s="4" customFormat="1" ht="25.5" customHeight="1" x14ac:dyDescent="0.2">
      <c r="A6" s="155" t="s">
        <v>238</v>
      </c>
      <c r="B6" s="156"/>
      <c r="C6" s="156"/>
      <c r="D6" s="231" t="s">
        <v>239</v>
      </c>
      <c r="E6" s="231"/>
      <c r="F6" s="231"/>
      <c r="G6" s="231"/>
      <c r="H6" s="231"/>
      <c r="I6" s="231"/>
      <c r="J6" s="231"/>
    </row>
    <row r="7" spans="1:14" s="4" customFormat="1" ht="12.75" customHeight="1" x14ac:dyDescent="0.2">
      <c r="A7" s="206" t="s">
        <v>49</v>
      </c>
      <c r="B7" s="223"/>
      <c r="C7" s="223"/>
      <c r="D7" s="223"/>
      <c r="E7" s="223"/>
      <c r="F7" s="223"/>
      <c r="G7" s="223"/>
      <c r="H7" s="223"/>
      <c r="I7" s="43"/>
      <c r="J7" s="43"/>
    </row>
    <row r="8" spans="1:14" s="4" customFormat="1" ht="13.5" customHeight="1" x14ac:dyDescent="0.2">
      <c r="A8" s="206"/>
      <c r="B8" s="223"/>
      <c r="C8" s="223"/>
      <c r="D8" s="223"/>
      <c r="E8" s="223"/>
      <c r="F8" s="223"/>
      <c r="G8" s="223"/>
      <c r="H8" s="223"/>
    </row>
    <row r="9" spans="1:14" ht="27" customHeight="1" x14ac:dyDescent="0.25">
      <c r="A9" s="228" t="s">
        <v>13</v>
      </c>
      <c r="B9" s="228" t="s">
        <v>97</v>
      </c>
      <c r="C9" s="228" t="s">
        <v>197</v>
      </c>
      <c r="D9" s="228" t="s">
        <v>99</v>
      </c>
      <c r="E9" s="229" t="s">
        <v>240</v>
      </c>
      <c r="F9" s="226" t="s">
        <v>101</v>
      </c>
      <c r="G9" s="227"/>
      <c r="H9" s="229" t="s">
        <v>241</v>
      </c>
      <c r="I9" s="226" t="s">
        <v>242</v>
      </c>
      <c r="J9" s="227"/>
      <c r="M9" s="12"/>
      <c r="N9" s="12"/>
    </row>
    <row r="10" spans="1:14" ht="28.5" customHeight="1" x14ac:dyDescent="0.25">
      <c r="A10" s="228"/>
      <c r="B10" s="228"/>
      <c r="C10" s="228"/>
      <c r="D10" s="228"/>
      <c r="E10" s="230"/>
      <c r="F10" s="2" t="s">
        <v>243</v>
      </c>
      <c r="G10" s="2" t="s">
        <v>103</v>
      </c>
      <c r="H10" s="230"/>
      <c r="I10" s="2" t="s">
        <v>243</v>
      </c>
      <c r="J10" s="2" t="s">
        <v>103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93">
        <v>9</v>
      </c>
      <c r="J11" s="193">
        <v>10</v>
      </c>
      <c r="M11" s="12"/>
      <c r="N11" s="12"/>
    </row>
    <row r="12" spans="1:14" x14ac:dyDescent="0.25">
      <c r="A12" s="2"/>
      <c r="B12" s="236" t="s">
        <v>244</v>
      </c>
      <c r="C12" s="237"/>
      <c r="D12" s="228"/>
      <c r="E12" s="238"/>
      <c r="F12" s="239"/>
      <c r="G12" s="239"/>
      <c r="H12" s="240"/>
      <c r="I12" s="157"/>
      <c r="J12" s="157"/>
    </row>
    <row r="13" spans="1:14" ht="25.5" customHeight="1" x14ac:dyDescent="0.25">
      <c r="A13" s="2">
        <v>1</v>
      </c>
      <c r="B13" s="158" t="s">
        <v>107</v>
      </c>
      <c r="C13" s="8" t="s">
        <v>245</v>
      </c>
      <c r="D13" s="2" t="s">
        <v>246</v>
      </c>
      <c r="E13" s="159">
        <f>G13/F13</f>
        <v>174.04079382579934</v>
      </c>
      <c r="F13" s="27">
        <v>9.07</v>
      </c>
      <c r="G13" s="27">
        <f>SUM(Прил.3!H13:H14)</f>
        <v>1578.5500000000002</v>
      </c>
      <c r="H13" s="160">
        <f>G13/$G$14</f>
        <v>1</v>
      </c>
      <c r="I13" s="27">
        <f>ФОТр.тек.!E13</f>
        <v>433.78619657747998</v>
      </c>
      <c r="J13" s="27">
        <f>ROUND(I13*E13,2)</f>
        <v>75496.490000000005</v>
      </c>
    </row>
    <row r="14" spans="1:14" s="12" customFormat="1" ht="25.5" customHeight="1" x14ac:dyDescent="0.2">
      <c r="A14" s="2"/>
      <c r="B14" s="2"/>
      <c r="C14" s="151" t="s">
        <v>247</v>
      </c>
      <c r="D14" s="2" t="s">
        <v>246</v>
      </c>
      <c r="E14" s="159">
        <f>SUM(E13:E13)</f>
        <v>174.04079382579934</v>
      </c>
      <c r="F14" s="27"/>
      <c r="G14" s="27">
        <f>SUM(G13:G13)</f>
        <v>1578.5500000000002</v>
      </c>
      <c r="H14" s="196">
        <v>1</v>
      </c>
      <c r="I14" s="157"/>
      <c r="J14" s="27">
        <f>SUM(J13:J13)</f>
        <v>75496.490000000005</v>
      </c>
    </row>
    <row r="15" spans="1:14" s="12" customFormat="1" ht="14.25" customHeight="1" x14ac:dyDescent="0.2">
      <c r="A15" s="2"/>
      <c r="B15" s="237" t="s">
        <v>112</v>
      </c>
      <c r="C15" s="237"/>
      <c r="D15" s="228"/>
      <c r="E15" s="238"/>
      <c r="F15" s="239"/>
      <c r="G15" s="239"/>
      <c r="H15" s="240"/>
      <c r="I15" s="157"/>
      <c r="J15" s="157"/>
    </row>
    <row r="16" spans="1:14" s="12" customFormat="1" ht="14.25" customHeight="1" x14ac:dyDescent="0.2">
      <c r="A16" s="2">
        <v>2</v>
      </c>
      <c r="B16" s="2">
        <v>2</v>
      </c>
      <c r="C16" s="8" t="s">
        <v>112</v>
      </c>
      <c r="D16" s="2" t="s">
        <v>246</v>
      </c>
      <c r="E16" s="159">
        <f>Прил.3!F16</f>
        <v>10.802</v>
      </c>
      <c r="F16" s="27">
        <f>G16/E16</f>
        <v>12.402332901314571</v>
      </c>
      <c r="G16" s="27">
        <f>Прил.3!H15</f>
        <v>133.97</v>
      </c>
      <c r="H16" s="196">
        <v>1</v>
      </c>
      <c r="I16" s="27">
        <f>ROUND(F16*Прил.10!D11,2)</f>
        <v>549.29999999999995</v>
      </c>
      <c r="J16" s="27">
        <f>ROUND(I16*E16,2)</f>
        <v>5933.54</v>
      </c>
    </row>
    <row r="17" spans="1:11" s="12" customFormat="1" ht="14.25" customHeight="1" x14ac:dyDescent="0.2">
      <c r="A17" s="2"/>
      <c r="B17" s="236" t="s">
        <v>113</v>
      </c>
      <c r="C17" s="237"/>
      <c r="D17" s="228"/>
      <c r="E17" s="238"/>
      <c r="F17" s="239"/>
      <c r="G17" s="239"/>
      <c r="H17" s="240"/>
      <c r="I17" s="157"/>
      <c r="J17" s="157"/>
    </row>
    <row r="18" spans="1:11" s="12" customFormat="1" ht="14.25" customHeight="1" x14ac:dyDescent="0.2">
      <c r="A18" s="2"/>
      <c r="B18" s="237" t="s">
        <v>248</v>
      </c>
      <c r="C18" s="237"/>
      <c r="D18" s="228"/>
      <c r="E18" s="238"/>
      <c r="F18" s="239"/>
      <c r="G18" s="239"/>
      <c r="H18" s="240"/>
      <c r="I18" s="157"/>
      <c r="J18" s="157"/>
    </row>
    <row r="19" spans="1:11" s="12" customFormat="1" ht="25.5" customHeight="1" x14ac:dyDescent="0.2">
      <c r="A19" s="2">
        <v>3</v>
      </c>
      <c r="B19" s="158" t="s">
        <v>114</v>
      </c>
      <c r="C19" s="8" t="s">
        <v>115</v>
      </c>
      <c r="D19" s="2" t="s">
        <v>116</v>
      </c>
      <c r="E19" s="159">
        <v>4.7709999999999999</v>
      </c>
      <c r="F19" s="161">
        <v>115.4</v>
      </c>
      <c r="G19" s="27">
        <f>ROUND(E19*F19,2)</f>
        <v>550.57000000000005</v>
      </c>
      <c r="H19" s="160">
        <f>G19/$G$29</f>
        <v>0.48822381839141621</v>
      </c>
      <c r="I19" s="27">
        <f>ROUND(F19*Прил.10!$D$12,2)</f>
        <v>1554.44</v>
      </c>
      <c r="J19" s="27">
        <f>ROUND(I19*E19,2)</f>
        <v>7416.23</v>
      </c>
    </row>
    <row r="20" spans="1:11" s="12" customFormat="1" ht="25.5" customHeight="1" x14ac:dyDescent="0.2">
      <c r="A20" s="2">
        <v>4</v>
      </c>
      <c r="B20" s="158" t="s">
        <v>117</v>
      </c>
      <c r="C20" s="8" t="s">
        <v>118</v>
      </c>
      <c r="D20" s="2" t="s">
        <v>116</v>
      </c>
      <c r="E20" s="159">
        <v>4.7709999999999999</v>
      </c>
      <c r="F20" s="161">
        <v>65.709999999999994</v>
      </c>
      <c r="G20" s="27">
        <f>ROUND(E20*F20,2)</f>
        <v>313.5</v>
      </c>
      <c r="H20" s="160">
        <f>G20/$G$29</f>
        <v>0.27799946794360203</v>
      </c>
      <c r="I20" s="27">
        <f>ROUND(F20*Прил.10!$D$12,2)</f>
        <v>885.11</v>
      </c>
      <c r="J20" s="27">
        <f>ROUND(I20*E20,2)</f>
        <v>4222.8599999999997</v>
      </c>
    </row>
    <row r="21" spans="1:11" s="12" customFormat="1" ht="25.5" customHeight="1" x14ac:dyDescent="0.2">
      <c r="A21" s="2">
        <v>5</v>
      </c>
      <c r="B21" s="158" t="s">
        <v>119</v>
      </c>
      <c r="C21" s="8" t="s">
        <v>120</v>
      </c>
      <c r="D21" s="2" t="s">
        <v>116</v>
      </c>
      <c r="E21" s="159">
        <v>1.1100000000000001</v>
      </c>
      <c r="F21" s="161">
        <v>112.36</v>
      </c>
      <c r="G21" s="27">
        <f>ROUND(E21*F21,2)</f>
        <v>124.72</v>
      </c>
      <c r="H21" s="160">
        <f>G21/$G$29</f>
        <v>0.11059678992639886</v>
      </c>
      <c r="I21" s="27">
        <f>ROUND(F21*Прил.10!$D$12,2)</f>
        <v>1513.49</v>
      </c>
      <c r="J21" s="27">
        <f>ROUND(I21*E21,2)</f>
        <v>1679.97</v>
      </c>
    </row>
    <row r="22" spans="1:11" s="12" customFormat="1" ht="14.25" customHeight="1" x14ac:dyDescent="0.2">
      <c r="A22" s="2"/>
      <c r="B22" s="2"/>
      <c r="C22" s="8" t="s">
        <v>249</v>
      </c>
      <c r="D22" s="2"/>
      <c r="E22" s="159"/>
      <c r="F22" s="27"/>
      <c r="G22" s="27">
        <f>SUM(G19:G21)</f>
        <v>988.79000000000008</v>
      </c>
      <c r="H22" s="196">
        <f>G22/G29</f>
        <v>0.87682007626141711</v>
      </c>
      <c r="I22" s="184"/>
      <c r="J22" s="27">
        <f>SUM(J19:J21)</f>
        <v>13319.06</v>
      </c>
      <c r="K22" s="24"/>
    </row>
    <row r="23" spans="1:11" s="12" customFormat="1" ht="25.5" hidden="1" customHeight="1" outlineLevel="1" x14ac:dyDescent="0.2">
      <c r="A23" s="2">
        <v>6</v>
      </c>
      <c r="B23" s="158" t="s">
        <v>121</v>
      </c>
      <c r="C23" s="8" t="s">
        <v>122</v>
      </c>
      <c r="D23" s="2" t="s">
        <v>116</v>
      </c>
      <c r="E23" s="159">
        <v>25.4374</v>
      </c>
      <c r="F23" s="161">
        <v>3.28</v>
      </c>
      <c r="G23" s="27">
        <f>ROUND(E23*F23,2)</f>
        <v>83.43</v>
      </c>
      <c r="H23" s="160">
        <f>G23/$G$29</f>
        <v>7.3982442138866719E-2</v>
      </c>
      <c r="I23" s="27">
        <f>ROUND(F23*Прил.10!$D$12,2)</f>
        <v>44.18</v>
      </c>
      <c r="J23" s="27">
        <f>ROUND(I23*E23,2)</f>
        <v>1123.82</v>
      </c>
    </row>
    <row r="24" spans="1:11" s="12" customFormat="1" ht="25.5" hidden="1" customHeight="1" outlineLevel="1" x14ac:dyDescent="0.2">
      <c r="A24" s="2">
        <v>7</v>
      </c>
      <c r="B24" s="158" t="s">
        <v>123</v>
      </c>
      <c r="C24" s="8" t="s">
        <v>124</v>
      </c>
      <c r="D24" s="2" t="s">
        <v>116</v>
      </c>
      <c r="E24" s="159">
        <v>3.7120000000000002</v>
      </c>
      <c r="F24" s="161">
        <v>8.1</v>
      </c>
      <c r="G24" s="27">
        <f>ROUND(E24*F24,2)</f>
        <v>30.07</v>
      </c>
      <c r="H24" s="160">
        <f>G24/$G$29</f>
        <v>2.6664893145340072E-2</v>
      </c>
      <c r="I24" s="27">
        <f>ROUND(F24*Прил.10!$D$12,2)</f>
        <v>109.11</v>
      </c>
      <c r="J24" s="27">
        <f>ROUND(I24*E24,2)</f>
        <v>405.02</v>
      </c>
    </row>
    <row r="25" spans="1:11" s="12" customFormat="1" ht="25.5" hidden="1" customHeight="1" outlineLevel="1" x14ac:dyDescent="0.2">
      <c r="A25" s="2">
        <v>8</v>
      </c>
      <c r="B25" s="158" t="s">
        <v>125</v>
      </c>
      <c r="C25" s="8" t="s">
        <v>126</v>
      </c>
      <c r="D25" s="2" t="s">
        <v>116</v>
      </c>
      <c r="E25" s="159">
        <v>25.4374</v>
      </c>
      <c r="F25" s="161">
        <v>0.9</v>
      </c>
      <c r="G25" s="27">
        <f>ROUND(E25*F25,2)</f>
        <v>22.89</v>
      </c>
      <c r="H25" s="160">
        <f>G25/$G$29</f>
        <v>2.0297951582867783E-2</v>
      </c>
      <c r="I25" s="27">
        <f>ROUND(F25*Прил.10!$D$12,2)</f>
        <v>12.12</v>
      </c>
      <c r="J25" s="27">
        <f>ROUND(I25*E25,2)</f>
        <v>308.3</v>
      </c>
    </row>
    <row r="26" spans="1:11" s="12" customFormat="1" ht="38.25" hidden="1" customHeight="1" outlineLevel="1" x14ac:dyDescent="0.2">
      <c r="A26" s="2">
        <v>9</v>
      </c>
      <c r="B26" s="158" t="s">
        <v>127</v>
      </c>
      <c r="C26" s="8" t="s">
        <v>128</v>
      </c>
      <c r="D26" s="2" t="s">
        <v>116</v>
      </c>
      <c r="E26" s="159">
        <v>0.15</v>
      </c>
      <c r="F26" s="161">
        <v>13.13</v>
      </c>
      <c r="G26" s="27">
        <f>ROUND(E26*F26,2)</f>
        <v>1.97</v>
      </c>
      <c r="H26" s="160">
        <f>G26/$G$29</f>
        <v>1.746918506695043E-3</v>
      </c>
      <c r="I26" s="27">
        <f>ROUND(F26*Прил.10!$D$12,2)</f>
        <v>176.86</v>
      </c>
      <c r="J26" s="27">
        <f>ROUND(I26*E26,2)</f>
        <v>26.53</v>
      </c>
    </row>
    <row r="27" spans="1:11" s="12" customFormat="1" ht="25.5" hidden="1" customHeight="1" outlineLevel="1" x14ac:dyDescent="0.2">
      <c r="A27" s="2">
        <v>10</v>
      </c>
      <c r="B27" s="158" t="s">
        <v>129</v>
      </c>
      <c r="C27" s="8" t="s">
        <v>130</v>
      </c>
      <c r="D27" s="2" t="s">
        <v>116</v>
      </c>
      <c r="E27" s="159">
        <v>0.49440000000000001</v>
      </c>
      <c r="F27" s="161">
        <v>1.1100000000000001</v>
      </c>
      <c r="G27" s="27">
        <f>ROUND(E27*F27,2)</f>
        <v>0.55000000000000004</v>
      </c>
      <c r="H27" s="160">
        <f>G27/$G$29</f>
        <v>4.8771836481333692E-4</v>
      </c>
      <c r="I27" s="27">
        <f>ROUND(F27*Прил.10!$D$12,2)</f>
        <v>14.95</v>
      </c>
      <c r="J27" s="27">
        <f>ROUND(I27*E27,2)</f>
        <v>7.39</v>
      </c>
    </row>
    <row r="28" spans="1:11" s="12" customFormat="1" ht="14.25" customHeight="1" collapsed="1" x14ac:dyDescent="0.2">
      <c r="A28" s="2"/>
      <c r="B28" s="2"/>
      <c r="C28" s="8" t="s">
        <v>250</v>
      </c>
      <c r="D28" s="2"/>
      <c r="E28" s="195"/>
      <c r="F28" s="27"/>
      <c r="G28" s="184">
        <f>SUM(G23:G27)</f>
        <v>138.91</v>
      </c>
      <c r="H28" s="160">
        <f>G28/G29</f>
        <v>0.12317992373858294</v>
      </c>
      <c r="I28" s="27"/>
      <c r="J28" s="184">
        <f>SUM(J23:J27)</f>
        <v>1871.06</v>
      </c>
    </row>
    <row r="29" spans="1:11" s="12" customFormat="1" ht="25.5" customHeight="1" x14ac:dyDescent="0.2">
      <c r="A29" s="2"/>
      <c r="B29" s="2"/>
      <c r="C29" s="151" t="s">
        <v>251</v>
      </c>
      <c r="D29" s="2"/>
      <c r="E29" s="195"/>
      <c r="F29" s="27"/>
      <c r="G29" s="27">
        <f>G28+G22</f>
        <v>1127.7</v>
      </c>
      <c r="H29" s="185">
        <f>H28+H22</f>
        <v>1</v>
      </c>
      <c r="I29" s="186"/>
      <c r="J29" s="166">
        <f>J28+J22</f>
        <v>15190.119999999999</v>
      </c>
    </row>
    <row r="30" spans="1:11" s="12" customFormat="1" ht="14.25" customHeight="1" x14ac:dyDescent="0.2">
      <c r="A30" s="2"/>
      <c r="B30" s="236" t="s">
        <v>43</v>
      </c>
      <c r="C30" s="236"/>
      <c r="D30" s="241"/>
      <c r="E30" s="242"/>
      <c r="F30" s="243"/>
      <c r="G30" s="243"/>
      <c r="H30" s="244"/>
      <c r="I30" s="157"/>
      <c r="J30" s="157"/>
    </row>
    <row r="31" spans="1:11" x14ac:dyDescent="0.25">
      <c r="A31" s="2"/>
      <c r="B31" s="237" t="s">
        <v>252</v>
      </c>
      <c r="C31" s="237"/>
      <c r="D31" s="228"/>
      <c r="E31" s="238"/>
      <c r="F31" s="239"/>
      <c r="G31" s="239"/>
      <c r="H31" s="240"/>
      <c r="I31" s="157"/>
      <c r="J31" s="157"/>
    </row>
    <row r="32" spans="1:11" s="12" customFormat="1" ht="25.5" customHeight="1" x14ac:dyDescent="0.2">
      <c r="A32" s="2">
        <v>11</v>
      </c>
      <c r="B32" s="2" t="s">
        <v>253</v>
      </c>
      <c r="C32" s="8" t="s">
        <v>254</v>
      </c>
      <c r="D32" s="2" t="s">
        <v>133</v>
      </c>
      <c r="E32" s="153">
        <v>1</v>
      </c>
      <c r="F32" s="161">
        <v>944244.6</v>
      </c>
      <c r="G32" s="27">
        <f>ROUND(E32*F32,2)</f>
        <v>944244.6</v>
      </c>
      <c r="H32" s="160">
        <f>G32/$G$68</f>
        <v>14.60349260936095</v>
      </c>
      <c r="I32" s="27">
        <v>1302293.75</v>
      </c>
      <c r="J32" s="27">
        <f>ROUND(I32*E32,2)</f>
        <v>1302293.75</v>
      </c>
    </row>
    <row r="33" spans="1:12" s="12" customFormat="1" ht="25.5" customHeight="1" x14ac:dyDescent="0.2">
      <c r="A33" s="2">
        <v>12</v>
      </c>
      <c r="B33" s="2" t="s">
        <v>255</v>
      </c>
      <c r="C33" s="8" t="s">
        <v>256</v>
      </c>
      <c r="D33" s="2" t="s">
        <v>133</v>
      </c>
      <c r="E33" s="153">
        <v>1</v>
      </c>
      <c r="F33" s="161">
        <v>350719.42</v>
      </c>
      <c r="G33" s="27">
        <f>ROUND(E33*F33,2)</f>
        <v>350719.42</v>
      </c>
      <c r="H33" s="160">
        <f>G33/$G$68</f>
        <v>5.4241543535746555</v>
      </c>
      <c r="I33" s="27">
        <v>350000</v>
      </c>
      <c r="J33" s="27">
        <f>ROUND(I33*E33,2)</f>
        <v>350000</v>
      </c>
    </row>
    <row r="34" spans="1:12" x14ac:dyDescent="0.25">
      <c r="A34" s="2"/>
      <c r="B34" s="2"/>
      <c r="C34" s="8" t="s">
        <v>257</v>
      </c>
      <c r="D34" s="2"/>
      <c r="E34" s="159"/>
      <c r="F34" s="161"/>
      <c r="G34" s="27">
        <f>SUM(G32:G33)</f>
        <v>1294964.02</v>
      </c>
      <c r="H34" s="160">
        <f>G34/$G$36</f>
        <v>1</v>
      </c>
      <c r="I34" s="184"/>
      <c r="J34" s="27">
        <f>SUM(J32:J33)</f>
        <v>1652293.75</v>
      </c>
    </row>
    <row r="35" spans="1:12" x14ac:dyDescent="0.25">
      <c r="A35" s="2"/>
      <c r="B35" s="2"/>
      <c r="C35" s="8" t="s">
        <v>258</v>
      </c>
      <c r="D35" s="2"/>
      <c r="E35" s="159"/>
      <c r="F35" s="161"/>
      <c r="G35" s="27">
        <v>0</v>
      </c>
      <c r="H35" s="160">
        <f>G35/$G$36</f>
        <v>0</v>
      </c>
      <c r="I35" s="184"/>
      <c r="J35" s="27">
        <v>0</v>
      </c>
    </row>
    <row r="36" spans="1:12" x14ac:dyDescent="0.25">
      <c r="A36" s="2"/>
      <c r="B36" s="2"/>
      <c r="C36" s="151" t="s">
        <v>259</v>
      </c>
      <c r="D36" s="2"/>
      <c r="E36" s="195"/>
      <c r="F36" s="161"/>
      <c r="G36" s="27">
        <f>G34+G35</f>
        <v>1294964.02</v>
      </c>
      <c r="H36" s="196">
        <f>H35+H34</f>
        <v>1</v>
      </c>
      <c r="I36" s="184"/>
      <c r="J36" s="27">
        <f>J35+J34</f>
        <v>1652293.75</v>
      </c>
    </row>
    <row r="37" spans="1:12" ht="25.5" customHeight="1" x14ac:dyDescent="0.25">
      <c r="A37" s="2"/>
      <c r="B37" s="2"/>
      <c r="C37" s="8" t="s">
        <v>260</v>
      </c>
      <c r="D37" s="2"/>
      <c r="E37" s="153"/>
      <c r="F37" s="161"/>
      <c r="G37" s="27">
        <f>'Прил.6 Расчет ОБ'!G14</f>
        <v>1294964.02</v>
      </c>
      <c r="H37" s="196"/>
      <c r="I37" s="184"/>
      <c r="J37" s="27">
        <f>J36</f>
        <v>1652293.75</v>
      </c>
    </row>
    <row r="38" spans="1:12" s="12" customFormat="1" ht="14.25" customHeight="1" x14ac:dyDescent="0.2">
      <c r="A38" s="2"/>
      <c r="B38" s="236" t="s">
        <v>135</v>
      </c>
      <c r="C38" s="236"/>
      <c r="D38" s="241"/>
      <c r="E38" s="242"/>
      <c r="F38" s="243"/>
      <c r="G38" s="243"/>
      <c r="H38" s="244"/>
      <c r="I38" s="157"/>
      <c r="J38" s="157"/>
    </row>
    <row r="39" spans="1:12" s="12" customFormat="1" ht="14.25" customHeight="1" x14ac:dyDescent="0.2">
      <c r="A39" s="193"/>
      <c r="B39" s="232" t="s">
        <v>261</v>
      </c>
      <c r="C39" s="232"/>
      <c r="D39" s="229"/>
      <c r="E39" s="233"/>
      <c r="F39" s="234"/>
      <c r="G39" s="234"/>
      <c r="H39" s="235"/>
      <c r="I39" s="187"/>
      <c r="J39" s="187"/>
    </row>
    <row r="40" spans="1:12" s="12" customFormat="1" ht="25.5" customHeight="1" x14ac:dyDescent="0.2">
      <c r="A40" s="2">
        <v>13</v>
      </c>
      <c r="B40" s="2" t="s">
        <v>136</v>
      </c>
      <c r="C40" s="8" t="s">
        <v>137</v>
      </c>
      <c r="D40" s="2" t="s">
        <v>138</v>
      </c>
      <c r="E40" s="153">
        <v>0.59874000000000005</v>
      </c>
      <c r="F40" s="161">
        <v>71107.06</v>
      </c>
      <c r="G40" s="27">
        <f>ROUND(E40*F40,2)</f>
        <v>42574.64</v>
      </c>
      <c r="H40" s="160">
        <f t="shared" ref="H40:H68" si="0">G40/$G$68</f>
        <v>0.6584506181832579</v>
      </c>
      <c r="I40" s="27">
        <f>ROUND(F40*Прил.10!$D$13,2)</f>
        <v>571700.76</v>
      </c>
      <c r="J40" s="27">
        <f>ROUND(I40*E40,2)</f>
        <v>342300.11</v>
      </c>
    </row>
    <row r="41" spans="1:12" s="12" customFormat="1" ht="25.5" customHeight="1" x14ac:dyDescent="0.2">
      <c r="A41" s="2">
        <v>14</v>
      </c>
      <c r="B41" s="2" t="s">
        <v>139</v>
      </c>
      <c r="C41" s="8" t="s">
        <v>140</v>
      </c>
      <c r="D41" s="2" t="s">
        <v>138</v>
      </c>
      <c r="E41" s="153">
        <v>0.55793999999999999</v>
      </c>
      <c r="F41" s="161">
        <v>26001.05</v>
      </c>
      <c r="G41" s="27">
        <f>ROUND(E41*F41,2)</f>
        <v>14507.03</v>
      </c>
      <c r="H41" s="160">
        <f t="shared" si="0"/>
        <v>0.22436273968501128</v>
      </c>
      <c r="I41" s="27">
        <f>ROUND(F41*Прил.10!$D$13,2)</f>
        <v>209048.44</v>
      </c>
      <c r="J41" s="27">
        <f>ROUND(I41*E41,2)</f>
        <v>116636.49</v>
      </c>
    </row>
    <row r="42" spans="1:12" s="12" customFormat="1" ht="14.25" customHeight="1" x14ac:dyDescent="0.2">
      <c r="A42" s="162"/>
      <c r="B42" s="162"/>
      <c r="C42" s="163" t="s">
        <v>262</v>
      </c>
      <c r="D42" s="164"/>
      <c r="E42" s="165"/>
      <c r="F42" s="166"/>
      <c r="G42" s="166">
        <f>SUM(G40:G41)</f>
        <v>57081.67</v>
      </c>
      <c r="H42" s="160">
        <f t="shared" si="0"/>
        <v>0.8828133578682692</v>
      </c>
      <c r="I42" s="27"/>
      <c r="J42" s="166">
        <f>SUM(J40:J41)</f>
        <v>458936.6</v>
      </c>
      <c r="K42" s="24"/>
      <c r="L42" s="24"/>
    </row>
    <row r="43" spans="1:12" s="12" customFormat="1" ht="25.5" hidden="1" customHeight="1" outlineLevel="1" x14ac:dyDescent="0.2">
      <c r="A43" s="2">
        <v>15</v>
      </c>
      <c r="B43" s="2" t="s">
        <v>141</v>
      </c>
      <c r="C43" s="8" t="s">
        <v>142</v>
      </c>
      <c r="D43" s="2" t="s">
        <v>138</v>
      </c>
      <c r="E43" s="153">
        <v>0.20451</v>
      </c>
      <c r="F43" s="161">
        <v>16394.77</v>
      </c>
      <c r="G43" s="27">
        <f t="shared" ref="G43:G66" si="1">ROUND(E43*F43,2)</f>
        <v>3352.89</v>
      </c>
      <c r="H43" s="160">
        <f t="shared" si="0"/>
        <v>5.1855106542309307E-2</v>
      </c>
      <c r="I43" s="27">
        <f>ROUND(F43*Прил.10!$D$13,2)</f>
        <v>131813.95000000001</v>
      </c>
      <c r="J43" s="27">
        <f t="shared" ref="J43:J66" si="2">ROUND(I43*E43,2)</f>
        <v>26957.27</v>
      </c>
    </row>
    <row r="44" spans="1:12" s="12" customFormat="1" ht="25.5" hidden="1" customHeight="1" outlineLevel="1" x14ac:dyDescent="0.2">
      <c r="A44" s="2">
        <v>16</v>
      </c>
      <c r="B44" s="2" t="s">
        <v>143</v>
      </c>
      <c r="C44" s="8" t="s">
        <v>144</v>
      </c>
      <c r="D44" s="2" t="s">
        <v>138</v>
      </c>
      <c r="E44" s="153">
        <v>0.23663999999999999</v>
      </c>
      <c r="F44" s="161">
        <v>13942.81</v>
      </c>
      <c r="G44" s="27">
        <f t="shared" si="1"/>
        <v>3299.43</v>
      </c>
      <c r="H44" s="160">
        <f t="shared" si="0"/>
        <v>5.1028305187134561E-2</v>
      </c>
      <c r="I44" s="27">
        <f>ROUND(F44*Прил.10!$D$13,2)</f>
        <v>112100.19</v>
      </c>
      <c r="J44" s="27">
        <f t="shared" si="2"/>
        <v>26527.39</v>
      </c>
    </row>
    <row r="45" spans="1:12" s="12" customFormat="1" ht="25.5" hidden="1" customHeight="1" outlineLevel="1" x14ac:dyDescent="0.2">
      <c r="A45" s="2">
        <v>17</v>
      </c>
      <c r="B45" s="2" t="s">
        <v>145</v>
      </c>
      <c r="C45" s="8" t="s">
        <v>146</v>
      </c>
      <c r="D45" s="2" t="s">
        <v>147</v>
      </c>
      <c r="E45" s="153">
        <v>7.0939000000000002E-3</v>
      </c>
      <c r="F45" s="161">
        <v>68050</v>
      </c>
      <c r="G45" s="27">
        <f t="shared" si="1"/>
        <v>482.74</v>
      </c>
      <c r="H45" s="160">
        <f t="shared" si="0"/>
        <v>7.4659574672101964E-3</v>
      </c>
      <c r="I45" s="27">
        <f>ROUND(F45*Прил.10!$D$13,2)</f>
        <v>547122</v>
      </c>
      <c r="J45" s="27">
        <f t="shared" si="2"/>
        <v>3881.23</v>
      </c>
    </row>
    <row r="46" spans="1:12" s="12" customFormat="1" ht="25.5" hidden="1" customHeight="1" outlineLevel="1" x14ac:dyDescent="0.2">
      <c r="A46" s="2">
        <v>18</v>
      </c>
      <c r="B46" s="2" t="s">
        <v>148</v>
      </c>
      <c r="C46" s="8" t="s">
        <v>149</v>
      </c>
      <c r="D46" s="2" t="s">
        <v>138</v>
      </c>
      <c r="E46" s="153">
        <v>1.2239999999999999E-2</v>
      </c>
      <c r="F46" s="161">
        <v>12127</v>
      </c>
      <c r="G46" s="27">
        <f t="shared" si="1"/>
        <v>148.43</v>
      </c>
      <c r="H46" s="160">
        <f t="shared" si="0"/>
        <v>2.2955878254505729E-3</v>
      </c>
      <c r="I46" s="27">
        <f>ROUND(F46*Прил.10!$D$13,2)</f>
        <v>97501.08</v>
      </c>
      <c r="J46" s="27">
        <f t="shared" si="2"/>
        <v>1193.4100000000001</v>
      </c>
    </row>
    <row r="47" spans="1:12" s="12" customFormat="1" ht="14.25" hidden="1" customHeight="1" outlineLevel="1" x14ac:dyDescent="0.2">
      <c r="A47" s="2">
        <v>19</v>
      </c>
      <c r="B47" s="2" t="s">
        <v>150</v>
      </c>
      <c r="C47" s="8" t="s">
        <v>151</v>
      </c>
      <c r="D47" s="2" t="s">
        <v>152</v>
      </c>
      <c r="E47" s="153">
        <v>13.436624999999999</v>
      </c>
      <c r="F47" s="161">
        <v>6.9</v>
      </c>
      <c r="G47" s="27">
        <f t="shared" si="1"/>
        <v>92.71</v>
      </c>
      <c r="H47" s="160">
        <f t="shared" si="0"/>
        <v>1.4338337755003879E-3</v>
      </c>
      <c r="I47" s="27">
        <f>ROUND(F47*Прил.10!$D$13,2)</f>
        <v>55.48</v>
      </c>
      <c r="J47" s="27">
        <f t="shared" si="2"/>
        <v>745.46</v>
      </c>
    </row>
    <row r="48" spans="1:12" s="12" customFormat="1" ht="14.25" hidden="1" customHeight="1" outlineLevel="1" x14ac:dyDescent="0.2">
      <c r="A48" s="2">
        <v>20</v>
      </c>
      <c r="B48" s="2" t="s">
        <v>153</v>
      </c>
      <c r="C48" s="8" t="s">
        <v>154</v>
      </c>
      <c r="D48" s="2" t="s">
        <v>147</v>
      </c>
      <c r="E48" s="153">
        <v>1.2800000000000001E-2</v>
      </c>
      <c r="F48" s="161">
        <v>4488.3999999999996</v>
      </c>
      <c r="G48" s="27">
        <f t="shared" si="1"/>
        <v>57.45</v>
      </c>
      <c r="H48" s="160">
        <f t="shared" si="0"/>
        <v>8.8850987382695827E-4</v>
      </c>
      <c r="I48" s="27">
        <f>ROUND(F48*Прил.10!$D$13,2)</f>
        <v>36086.74</v>
      </c>
      <c r="J48" s="27">
        <f t="shared" si="2"/>
        <v>461.91</v>
      </c>
    </row>
    <row r="49" spans="1:10" s="12" customFormat="1" ht="25.5" hidden="1" customHeight="1" outlineLevel="1" x14ac:dyDescent="0.2">
      <c r="A49" s="2">
        <v>21</v>
      </c>
      <c r="B49" s="2" t="s">
        <v>155</v>
      </c>
      <c r="C49" s="8" t="s">
        <v>156</v>
      </c>
      <c r="D49" s="2" t="s">
        <v>157</v>
      </c>
      <c r="E49" s="153">
        <v>31.530200000000001</v>
      </c>
      <c r="F49" s="161">
        <v>1</v>
      </c>
      <c r="G49" s="27">
        <f t="shared" si="1"/>
        <v>31.53</v>
      </c>
      <c r="H49" s="160">
        <f t="shared" si="0"/>
        <v>4.8763648949980842E-4</v>
      </c>
      <c r="I49" s="27">
        <f>ROUND(F49*Прил.10!$D$13,2)</f>
        <v>8.0399999999999991</v>
      </c>
      <c r="J49" s="27">
        <f t="shared" si="2"/>
        <v>253.5</v>
      </c>
    </row>
    <row r="50" spans="1:10" s="12" customFormat="1" ht="14.25" hidden="1" customHeight="1" outlineLevel="1" x14ac:dyDescent="0.2">
      <c r="A50" s="2">
        <v>22</v>
      </c>
      <c r="B50" s="2" t="s">
        <v>158</v>
      </c>
      <c r="C50" s="8" t="s">
        <v>159</v>
      </c>
      <c r="D50" s="2" t="s">
        <v>147</v>
      </c>
      <c r="E50" s="153">
        <v>2.9759999999999999E-3</v>
      </c>
      <c r="F50" s="161">
        <v>7826.9</v>
      </c>
      <c r="G50" s="27">
        <f t="shared" si="1"/>
        <v>23.29</v>
      </c>
      <c r="H50" s="160">
        <f t="shared" si="0"/>
        <v>3.6019834571679471E-4</v>
      </c>
      <c r="I50" s="27">
        <f>ROUND(F50*Прил.10!$D$13,2)</f>
        <v>62928.28</v>
      </c>
      <c r="J50" s="27">
        <f t="shared" si="2"/>
        <v>187.27</v>
      </c>
    </row>
    <row r="51" spans="1:10" s="12" customFormat="1" ht="14.25" hidden="1" customHeight="1" outlineLevel="1" x14ac:dyDescent="0.2">
      <c r="A51" s="2">
        <v>23</v>
      </c>
      <c r="B51" s="2" t="s">
        <v>160</v>
      </c>
      <c r="C51" s="8" t="s">
        <v>161</v>
      </c>
      <c r="D51" s="2" t="s">
        <v>162</v>
      </c>
      <c r="E51" s="153">
        <v>0.24479999999999999</v>
      </c>
      <c r="F51" s="161">
        <v>86</v>
      </c>
      <c r="G51" s="27">
        <f t="shared" si="1"/>
        <v>21.05</v>
      </c>
      <c r="H51" s="160">
        <f t="shared" si="0"/>
        <v>3.2555496682432501E-4</v>
      </c>
      <c r="I51" s="27">
        <f>ROUND(F51*Прил.10!$D$13,2)</f>
        <v>691.44</v>
      </c>
      <c r="J51" s="27">
        <f t="shared" si="2"/>
        <v>169.26</v>
      </c>
    </row>
    <row r="52" spans="1:10" s="12" customFormat="1" ht="14.25" hidden="1" customHeight="1" outlineLevel="1" x14ac:dyDescent="0.2">
      <c r="A52" s="2">
        <v>24</v>
      </c>
      <c r="B52" s="2" t="s">
        <v>163</v>
      </c>
      <c r="C52" s="8" t="s">
        <v>164</v>
      </c>
      <c r="D52" s="2" t="s">
        <v>165</v>
      </c>
      <c r="E52" s="153">
        <v>2.4</v>
      </c>
      <c r="F52" s="161">
        <v>6.09</v>
      </c>
      <c r="G52" s="27">
        <f t="shared" si="1"/>
        <v>14.62</v>
      </c>
      <c r="H52" s="160">
        <f t="shared" si="0"/>
        <v>2.2610991044995872E-4</v>
      </c>
      <c r="I52" s="27">
        <f>ROUND(F52*Прил.10!$D$13,2)</f>
        <v>48.96</v>
      </c>
      <c r="J52" s="27">
        <f t="shared" si="2"/>
        <v>117.5</v>
      </c>
    </row>
    <row r="53" spans="1:10" s="12" customFormat="1" ht="14.25" hidden="1" customHeight="1" outlineLevel="1" x14ac:dyDescent="0.2">
      <c r="A53" s="2">
        <v>25</v>
      </c>
      <c r="B53" s="2" t="s">
        <v>166</v>
      </c>
      <c r="C53" s="8" t="s">
        <v>167</v>
      </c>
      <c r="D53" s="2" t="s">
        <v>162</v>
      </c>
      <c r="E53" s="153">
        <v>0.20399999999999999</v>
      </c>
      <c r="F53" s="161">
        <v>63</v>
      </c>
      <c r="G53" s="27">
        <f t="shared" si="1"/>
        <v>12.85</v>
      </c>
      <c r="H53" s="160">
        <f t="shared" si="0"/>
        <v>1.9873545480724825E-4</v>
      </c>
      <c r="I53" s="27">
        <f>ROUND(F53*Прил.10!$D$13,2)</f>
        <v>506.52</v>
      </c>
      <c r="J53" s="27">
        <f t="shared" si="2"/>
        <v>103.33</v>
      </c>
    </row>
    <row r="54" spans="1:10" s="12" customFormat="1" ht="14.25" hidden="1" customHeight="1" outlineLevel="1" x14ac:dyDescent="0.2">
      <c r="A54" s="2">
        <v>26</v>
      </c>
      <c r="B54" s="2" t="s">
        <v>168</v>
      </c>
      <c r="C54" s="8" t="s">
        <v>169</v>
      </c>
      <c r="D54" s="2" t="s">
        <v>165</v>
      </c>
      <c r="E54" s="153">
        <v>1.0376000000000001</v>
      </c>
      <c r="F54" s="161">
        <v>9.0399999999999991</v>
      </c>
      <c r="G54" s="27">
        <f t="shared" si="1"/>
        <v>9.3800000000000008</v>
      </c>
      <c r="H54" s="160">
        <f t="shared" si="0"/>
        <v>1.4506914911221704E-4</v>
      </c>
      <c r="I54" s="27">
        <f>ROUND(F54*Прил.10!$D$13,2)</f>
        <v>72.680000000000007</v>
      </c>
      <c r="J54" s="27">
        <f t="shared" si="2"/>
        <v>75.41</v>
      </c>
    </row>
    <row r="55" spans="1:10" s="12" customFormat="1" ht="14.25" hidden="1" customHeight="1" outlineLevel="1" x14ac:dyDescent="0.2">
      <c r="A55" s="2">
        <v>27</v>
      </c>
      <c r="B55" s="2" t="s">
        <v>170</v>
      </c>
      <c r="C55" s="8" t="s">
        <v>171</v>
      </c>
      <c r="D55" s="2" t="s">
        <v>165</v>
      </c>
      <c r="E55" s="153">
        <v>0.24</v>
      </c>
      <c r="F55" s="161">
        <v>28.6</v>
      </c>
      <c r="G55" s="27">
        <f t="shared" si="1"/>
        <v>6.86</v>
      </c>
      <c r="H55" s="160">
        <f t="shared" si="0"/>
        <v>1.0609534785818858E-4</v>
      </c>
      <c r="I55" s="27">
        <f>ROUND(F55*Прил.10!$D$13,2)</f>
        <v>229.94</v>
      </c>
      <c r="J55" s="27">
        <f t="shared" si="2"/>
        <v>55.19</v>
      </c>
    </row>
    <row r="56" spans="1:10" s="12" customFormat="1" ht="14.25" hidden="1" customHeight="1" outlineLevel="1" x14ac:dyDescent="0.2">
      <c r="A56" s="2">
        <v>28</v>
      </c>
      <c r="B56" s="2" t="s">
        <v>172</v>
      </c>
      <c r="C56" s="8" t="s">
        <v>173</v>
      </c>
      <c r="D56" s="2" t="s">
        <v>174</v>
      </c>
      <c r="E56" s="153">
        <v>0.16</v>
      </c>
      <c r="F56" s="161">
        <v>39</v>
      </c>
      <c r="G56" s="27">
        <f t="shared" si="1"/>
        <v>6.24</v>
      </c>
      <c r="H56" s="160">
        <f t="shared" si="0"/>
        <v>9.6506555486165692E-5</v>
      </c>
      <c r="I56" s="27">
        <f>ROUND(F56*Прил.10!$D$13,2)</f>
        <v>313.56</v>
      </c>
      <c r="J56" s="27">
        <f t="shared" si="2"/>
        <v>50.17</v>
      </c>
    </row>
    <row r="57" spans="1:10" s="12" customFormat="1" ht="14.25" hidden="1" customHeight="1" outlineLevel="1" x14ac:dyDescent="0.2">
      <c r="A57" s="2">
        <v>29</v>
      </c>
      <c r="B57" s="2" t="s">
        <v>175</v>
      </c>
      <c r="C57" s="8" t="s">
        <v>176</v>
      </c>
      <c r="D57" s="2" t="s">
        <v>147</v>
      </c>
      <c r="E57" s="153">
        <v>3.3940000000000001E-4</v>
      </c>
      <c r="F57" s="161">
        <v>12430</v>
      </c>
      <c r="G57" s="27">
        <f t="shared" si="1"/>
        <v>4.22</v>
      </c>
      <c r="H57" s="160">
        <f t="shared" si="0"/>
        <v>6.5265651306349232E-5</v>
      </c>
      <c r="I57" s="27">
        <f>ROUND(F57*Прил.10!$D$13,2)</f>
        <v>99937.2</v>
      </c>
      <c r="J57" s="27">
        <f t="shared" si="2"/>
        <v>33.92</v>
      </c>
    </row>
    <row r="58" spans="1:10" s="12" customFormat="1" ht="25.5" hidden="1" customHeight="1" outlineLevel="1" x14ac:dyDescent="0.2">
      <c r="A58" s="2">
        <v>30</v>
      </c>
      <c r="B58" s="2" t="s">
        <v>177</v>
      </c>
      <c r="C58" s="8" t="s">
        <v>178</v>
      </c>
      <c r="D58" s="2" t="s">
        <v>165</v>
      </c>
      <c r="E58" s="153">
        <v>0.32</v>
      </c>
      <c r="F58" s="161">
        <v>10.57</v>
      </c>
      <c r="G58" s="27">
        <f t="shared" si="1"/>
        <v>3.38</v>
      </c>
      <c r="H58" s="160">
        <f t="shared" si="0"/>
        <v>5.2274384221673081E-5</v>
      </c>
      <c r="I58" s="27">
        <f>ROUND(F58*Прил.10!$D$13,2)</f>
        <v>84.98</v>
      </c>
      <c r="J58" s="27">
        <f t="shared" si="2"/>
        <v>27.19</v>
      </c>
    </row>
    <row r="59" spans="1:10" s="12" customFormat="1" ht="38.25" hidden="1" customHeight="1" outlineLevel="1" x14ac:dyDescent="0.2">
      <c r="A59" s="2">
        <v>31</v>
      </c>
      <c r="B59" s="2" t="s">
        <v>179</v>
      </c>
      <c r="C59" s="8" t="s">
        <v>180</v>
      </c>
      <c r="D59" s="2" t="s">
        <v>147</v>
      </c>
      <c r="E59" s="153">
        <v>6.4000000000000005E-4</v>
      </c>
      <c r="F59" s="161">
        <v>5000</v>
      </c>
      <c r="G59" s="27">
        <f t="shared" si="1"/>
        <v>3.2</v>
      </c>
      <c r="H59" s="160">
        <f t="shared" si="0"/>
        <v>4.949054127495677E-5</v>
      </c>
      <c r="I59" s="27">
        <f>ROUND(F59*Прил.10!$D$13,2)</f>
        <v>40200</v>
      </c>
      <c r="J59" s="27">
        <f t="shared" si="2"/>
        <v>25.73</v>
      </c>
    </row>
    <row r="60" spans="1:10" s="12" customFormat="1" ht="14.25" hidden="1" customHeight="1" outlineLevel="1" x14ac:dyDescent="0.2">
      <c r="A60" s="2">
        <v>32</v>
      </c>
      <c r="B60" s="2" t="s">
        <v>181</v>
      </c>
      <c r="C60" s="8" t="s">
        <v>182</v>
      </c>
      <c r="D60" s="2" t="s">
        <v>147</v>
      </c>
      <c r="E60" s="153">
        <v>2.8E-5</v>
      </c>
      <c r="F60" s="161">
        <v>70200</v>
      </c>
      <c r="G60" s="27">
        <f t="shared" si="1"/>
        <v>1.97</v>
      </c>
      <c r="H60" s="160">
        <f t="shared" si="0"/>
        <v>3.046761447239526E-5</v>
      </c>
      <c r="I60" s="27">
        <f>ROUND(F60*Прил.10!$D$13,2)</f>
        <v>564408</v>
      </c>
      <c r="J60" s="27">
        <f t="shared" si="2"/>
        <v>15.8</v>
      </c>
    </row>
    <row r="61" spans="1:10" s="12" customFormat="1" ht="38.25" hidden="1" customHeight="1" outlineLevel="1" x14ac:dyDescent="0.2">
      <c r="A61" s="2">
        <v>33</v>
      </c>
      <c r="B61" s="2" t="s">
        <v>183</v>
      </c>
      <c r="C61" s="8" t="s">
        <v>184</v>
      </c>
      <c r="D61" s="2" t="s">
        <v>165</v>
      </c>
      <c r="E61" s="153">
        <v>5.6000000000000001E-2</v>
      </c>
      <c r="F61" s="161">
        <v>30.4</v>
      </c>
      <c r="G61" s="27">
        <f t="shared" si="1"/>
        <v>1.7</v>
      </c>
      <c r="H61" s="160">
        <f t="shared" si="0"/>
        <v>2.6291850052320783E-5</v>
      </c>
      <c r="I61" s="27">
        <f>ROUND(F61*Прил.10!$D$13,2)</f>
        <v>244.42</v>
      </c>
      <c r="J61" s="27">
        <f t="shared" si="2"/>
        <v>13.69</v>
      </c>
    </row>
    <row r="62" spans="1:10" s="12" customFormat="1" ht="14.25" hidden="1" customHeight="1" outlineLevel="1" x14ac:dyDescent="0.2">
      <c r="A62" s="2">
        <v>34</v>
      </c>
      <c r="B62" s="2" t="s">
        <v>185</v>
      </c>
      <c r="C62" s="8" t="s">
        <v>186</v>
      </c>
      <c r="D62" s="2" t="s">
        <v>147</v>
      </c>
      <c r="E62" s="153">
        <v>1.6000000000000001E-4</v>
      </c>
      <c r="F62" s="161">
        <v>8105.71</v>
      </c>
      <c r="G62" s="27">
        <f t="shared" si="1"/>
        <v>1.3</v>
      </c>
      <c r="H62" s="160">
        <f t="shared" si="0"/>
        <v>2.0105532392951188E-5</v>
      </c>
      <c r="I62" s="27">
        <f>ROUND(F62*Прил.10!$D$13,2)</f>
        <v>65169.91</v>
      </c>
      <c r="J62" s="27">
        <f t="shared" si="2"/>
        <v>10.43</v>
      </c>
    </row>
    <row r="63" spans="1:10" s="12" customFormat="1" ht="14.25" hidden="1" customHeight="1" outlineLevel="1" x14ac:dyDescent="0.2">
      <c r="A63" s="2">
        <v>35</v>
      </c>
      <c r="B63" s="2" t="s">
        <v>187</v>
      </c>
      <c r="C63" s="8" t="s">
        <v>188</v>
      </c>
      <c r="D63" s="2" t="s">
        <v>165</v>
      </c>
      <c r="E63" s="153">
        <v>2.1999999999999999E-2</v>
      </c>
      <c r="F63" s="161">
        <v>44.97</v>
      </c>
      <c r="G63" s="27">
        <f t="shared" si="1"/>
        <v>0.99</v>
      </c>
      <c r="H63" s="160">
        <f t="shared" si="0"/>
        <v>1.5311136206939749E-5</v>
      </c>
      <c r="I63" s="27">
        <f>ROUND(F63*Прил.10!$D$13,2)</f>
        <v>361.56</v>
      </c>
      <c r="J63" s="27">
        <f t="shared" si="2"/>
        <v>7.95</v>
      </c>
    </row>
    <row r="64" spans="1:10" s="12" customFormat="1" ht="51" hidden="1" customHeight="1" outlineLevel="1" x14ac:dyDescent="0.2">
      <c r="A64" s="2">
        <v>36</v>
      </c>
      <c r="B64" s="2" t="s">
        <v>189</v>
      </c>
      <c r="C64" s="8" t="s">
        <v>190</v>
      </c>
      <c r="D64" s="2" t="s">
        <v>162</v>
      </c>
      <c r="E64" s="153">
        <v>0.24479999999999999</v>
      </c>
      <c r="F64" s="161">
        <v>2</v>
      </c>
      <c r="G64" s="27">
        <f t="shared" si="1"/>
        <v>0.49</v>
      </c>
      <c r="H64" s="160">
        <f t="shared" si="0"/>
        <v>7.5782391327277544E-6</v>
      </c>
      <c r="I64" s="27">
        <f>ROUND(F64*Прил.10!$D$13,2)</f>
        <v>16.079999999999998</v>
      </c>
      <c r="J64" s="27">
        <f t="shared" si="2"/>
        <v>3.94</v>
      </c>
    </row>
    <row r="65" spans="1:10" s="12" customFormat="1" ht="14.25" hidden="1" customHeight="1" outlineLevel="1" x14ac:dyDescent="0.2">
      <c r="A65" s="2">
        <v>37</v>
      </c>
      <c r="B65" s="2" t="s">
        <v>191</v>
      </c>
      <c r="C65" s="8" t="s">
        <v>192</v>
      </c>
      <c r="D65" s="2" t="s">
        <v>165</v>
      </c>
      <c r="E65" s="153">
        <v>2.8E-3</v>
      </c>
      <c r="F65" s="161">
        <v>133.05000000000001</v>
      </c>
      <c r="G65" s="27">
        <f t="shared" si="1"/>
        <v>0.37</v>
      </c>
      <c r="H65" s="160">
        <f t="shared" si="0"/>
        <v>5.7223438349168757E-6</v>
      </c>
      <c r="I65" s="27">
        <f>ROUND(F65*Прил.10!$D$13,2)</f>
        <v>1069.72</v>
      </c>
      <c r="J65" s="27">
        <f t="shared" si="2"/>
        <v>3</v>
      </c>
    </row>
    <row r="66" spans="1:10" s="12" customFormat="1" ht="14.25" hidden="1" customHeight="1" outlineLevel="1" x14ac:dyDescent="0.2">
      <c r="A66" s="2">
        <v>38</v>
      </c>
      <c r="B66" s="2" t="s">
        <v>193</v>
      </c>
      <c r="C66" s="8" t="s">
        <v>194</v>
      </c>
      <c r="D66" s="2" t="s">
        <v>165</v>
      </c>
      <c r="E66" s="153">
        <v>5.5999999999999999E-3</v>
      </c>
      <c r="F66" s="161">
        <v>11.5</v>
      </c>
      <c r="G66" s="27">
        <f t="shared" si="1"/>
        <v>0.06</v>
      </c>
      <c r="H66" s="160">
        <f t="shared" si="0"/>
        <v>9.2794764890543935E-7</v>
      </c>
      <c r="I66" s="27">
        <f>ROUND(F66*Прил.10!$D$13,2)</f>
        <v>92.46</v>
      </c>
      <c r="J66" s="27">
        <f t="shared" si="2"/>
        <v>0.52</v>
      </c>
    </row>
    <row r="67" spans="1:10" s="12" customFormat="1" ht="14.25" customHeight="1" collapsed="1" x14ac:dyDescent="0.2">
      <c r="A67" s="2"/>
      <c r="B67" s="2"/>
      <c r="C67" s="8" t="s">
        <v>263</v>
      </c>
      <c r="D67" s="2"/>
      <c r="E67" s="195"/>
      <c r="F67" s="161"/>
      <c r="G67" s="27">
        <f>SUM(G43:G66)</f>
        <v>7577.15</v>
      </c>
      <c r="H67" s="160">
        <f t="shared" si="0"/>
        <v>0.11718664213173083</v>
      </c>
      <c r="I67" s="27"/>
      <c r="J67" s="27">
        <f>SUM(J43:J66)</f>
        <v>60920.470000000023</v>
      </c>
    </row>
    <row r="68" spans="1:10" s="12" customFormat="1" ht="14.25" customHeight="1" x14ac:dyDescent="0.2">
      <c r="A68" s="2"/>
      <c r="B68" s="2"/>
      <c r="C68" s="151" t="s">
        <v>264</v>
      </c>
      <c r="D68" s="2"/>
      <c r="E68" s="195"/>
      <c r="F68" s="161"/>
      <c r="G68" s="27">
        <f>G42+G67</f>
        <v>64658.82</v>
      </c>
      <c r="H68" s="196">
        <f t="shared" si="0"/>
        <v>1</v>
      </c>
      <c r="I68" s="27"/>
      <c r="J68" s="27">
        <f>J42+J67</f>
        <v>519857.07</v>
      </c>
    </row>
    <row r="69" spans="1:10" s="12" customFormat="1" ht="14.25" customHeight="1" x14ac:dyDescent="0.2">
      <c r="A69" s="2"/>
      <c r="B69" s="2"/>
      <c r="C69" s="8" t="s">
        <v>265</v>
      </c>
      <c r="D69" s="2"/>
      <c r="E69" s="195"/>
      <c r="F69" s="161"/>
      <c r="G69" s="27">
        <f>G14+G29+G68</f>
        <v>67365.070000000007</v>
      </c>
      <c r="H69" s="196"/>
      <c r="I69" s="27"/>
      <c r="J69" s="27">
        <f>J14+J29+J68</f>
        <v>610543.68000000005</v>
      </c>
    </row>
    <row r="70" spans="1:10" s="12" customFormat="1" ht="14.25" customHeight="1" x14ac:dyDescent="0.2">
      <c r="A70" s="2"/>
      <c r="B70" s="2"/>
      <c r="C70" s="8" t="s">
        <v>266</v>
      </c>
      <c r="D70" s="167">
        <f>ROUND(G70/(G$16+$G$14),2)</f>
        <v>0.97</v>
      </c>
      <c r="E70" s="195"/>
      <c r="F70" s="161"/>
      <c r="G70" s="27">
        <v>1661.27</v>
      </c>
      <c r="H70" s="196"/>
      <c r="I70" s="27"/>
      <c r="J70" s="27">
        <f>ROUND(D70*(J14+J16),2)</f>
        <v>78987.13</v>
      </c>
    </row>
    <row r="71" spans="1:10" s="12" customFormat="1" ht="14.25" customHeight="1" x14ac:dyDescent="0.2">
      <c r="A71" s="2"/>
      <c r="B71" s="2"/>
      <c r="C71" s="8" t="s">
        <v>267</v>
      </c>
      <c r="D71" s="167">
        <f>ROUND(G71/(G$14+G$16),2)</f>
        <v>0.51</v>
      </c>
      <c r="E71" s="195"/>
      <c r="F71" s="161"/>
      <c r="G71" s="27">
        <v>873.46</v>
      </c>
      <c r="H71" s="196"/>
      <c r="I71" s="27"/>
      <c r="J71" s="27">
        <f>ROUND(D71*(J14+J16),2)</f>
        <v>41529.32</v>
      </c>
    </row>
    <row r="72" spans="1:10" s="12" customFormat="1" ht="14.25" customHeight="1" x14ac:dyDescent="0.2">
      <c r="A72" s="2"/>
      <c r="B72" s="2"/>
      <c r="C72" s="8" t="s">
        <v>268</v>
      </c>
      <c r="D72" s="2"/>
      <c r="E72" s="195"/>
      <c r="F72" s="161"/>
      <c r="G72" s="27">
        <f>G14+G29+G68+G70+G71</f>
        <v>69899.800000000017</v>
      </c>
      <c r="H72" s="196"/>
      <c r="I72" s="27"/>
      <c r="J72" s="27">
        <f>J14+J29+J68+J70+J71</f>
        <v>731060.13</v>
      </c>
    </row>
    <row r="73" spans="1:10" s="12" customFormat="1" ht="14.25" customHeight="1" x14ac:dyDescent="0.2">
      <c r="A73" s="2"/>
      <c r="B73" s="2"/>
      <c r="C73" s="8" t="s">
        <v>269</v>
      </c>
      <c r="D73" s="2"/>
      <c r="E73" s="195"/>
      <c r="F73" s="161"/>
      <c r="G73" s="27">
        <f>G72+G36</f>
        <v>1364863.82</v>
      </c>
      <c r="H73" s="196"/>
      <c r="I73" s="27"/>
      <c r="J73" s="27">
        <f>J72+J36</f>
        <v>2383353.88</v>
      </c>
    </row>
    <row r="74" spans="1:10" s="12" customFormat="1" ht="34.5" customHeight="1" x14ac:dyDescent="0.2">
      <c r="A74" s="2"/>
      <c r="B74" s="2"/>
      <c r="C74" s="8" t="s">
        <v>231</v>
      </c>
      <c r="D74" s="2" t="s">
        <v>270</v>
      </c>
      <c r="E74" s="188">
        <v>1</v>
      </c>
      <c r="F74" s="161"/>
      <c r="G74" s="27">
        <f>G73/E74</f>
        <v>1364863.82</v>
      </c>
      <c r="H74" s="196"/>
      <c r="I74" s="27"/>
      <c r="J74" s="27">
        <f>J73/E74</f>
        <v>2383353.88</v>
      </c>
    </row>
    <row r="76" spans="1:10" s="12" customFormat="1" ht="14.25" customHeight="1" x14ac:dyDescent="0.2">
      <c r="A76" s="4" t="s">
        <v>271</v>
      </c>
    </row>
    <row r="77" spans="1:10" s="12" customFormat="1" ht="14.25" customHeight="1" x14ac:dyDescent="0.2">
      <c r="A77" s="150" t="s">
        <v>76</v>
      </c>
    </row>
    <row r="78" spans="1:10" s="12" customFormat="1" ht="14.25" customHeight="1" x14ac:dyDescent="0.2">
      <c r="A78" s="4"/>
    </row>
    <row r="79" spans="1:10" s="12" customFormat="1" ht="14.25" customHeight="1" x14ac:dyDescent="0.2">
      <c r="A79" s="4" t="s">
        <v>272</v>
      </c>
    </row>
    <row r="80" spans="1:10" s="12" customFormat="1" ht="14.25" customHeight="1" x14ac:dyDescent="0.2">
      <c r="A80" s="150" t="s">
        <v>78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39:H39"/>
    <mergeCell ref="B12:H12"/>
    <mergeCell ref="B15:H15"/>
    <mergeCell ref="B17:H17"/>
    <mergeCell ref="B18:H18"/>
    <mergeCell ref="B31:H31"/>
    <mergeCell ref="B30:H30"/>
    <mergeCell ref="B38:H38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1"/>
  <sheetViews>
    <sheetView view="pageBreakPreview" topLeftCell="A4" workbookViewId="0">
      <selection activeCell="F17" sqref="F16:F17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4.5703125" customWidth="1"/>
    <col min="7" max="7" width="14.140625" customWidth="1"/>
  </cols>
  <sheetData>
    <row r="1" spans="1:7" x14ac:dyDescent="0.25">
      <c r="A1" s="245" t="s">
        <v>273</v>
      </c>
      <c r="B1" s="245"/>
      <c r="C1" s="245"/>
      <c r="D1" s="245"/>
      <c r="E1" s="245"/>
      <c r="F1" s="245"/>
      <c r="G1" s="245"/>
    </row>
    <row r="2" spans="1:7" ht="21.75" customHeight="1" x14ac:dyDescent="0.25">
      <c r="A2" s="46"/>
      <c r="B2" s="46"/>
      <c r="C2" s="46"/>
      <c r="D2" s="46"/>
      <c r="E2" s="46"/>
      <c r="F2" s="46"/>
      <c r="G2" s="46"/>
    </row>
    <row r="3" spans="1:7" x14ac:dyDescent="0.25">
      <c r="A3" s="203" t="s">
        <v>274</v>
      </c>
      <c r="B3" s="203"/>
      <c r="C3" s="203"/>
      <c r="D3" s="203"/>
      <c r="E3" s="203"/>
      <c r="F3" s="203"/>
      <c r="G3" s="203"/>
    </row>
    <row r="4" spans="1:7" ht="25.5" customHeight="1" x14ac:dyDescent="0.25">
      <c r="A4" s="206" t="s">
        <v>47</v>
      </c>
      <c r="B4" s="206"/>
      <c r="C4" s="206"/>
      <c r="D4" s="206"/>
      <c r="E4" s="206"/>
      <c r="F4" s="206"/>
      <c r="G4" s="206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50" t="s">
        <v>13</v>
      </c>
      <c r="B6" s="250" t="s">
        <v>97</v>
      </c>
      <c r="C6" s="250" t="s">
        <v>197</v>
      </c>
      <c r="D6" s="250" t="s">
        <v>99</v>
      </c>
      <c r="E6" s="229" t="s">
        <v>240</v>
      </c>
      <c r="F6" s="250" t="s">
        <v>101</v>
      </c>
      <c r="G6" s="250"/>
    </row>
    <row r="7" spans="1:7" x14ac:dyDescent="0.25">
      <c r="A7" s="250"/>
      <c r="B7" s="250"/>
      <c r="C7" s="250"/>
      <c r="D7" s="250"/>
      <c r="E7" s="230"/>
      <c r="F7" s="2" t="s">
        <v>243</v>
      </c>
      <c r="G7" s="2" t="s">
        <v>103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106"/>
      <c r="B9" s="246" t="s">
        <v>275</v>
      </c>
      <c r="C9" s="247"/>
      <c r="D9" s="247"/>
      <c r="E9" s="247"/>
      <c r="F9" s="247"/>
      <c r="G9" s="248"/>
    </row>
    <row r="10" spans="1:7" ht="27" customHeight="1" x14ac:dyDescent="0.25">
      <c r="A10" s="2"/>
      <c r="B10" s="151"/>
      <c r="C10" s="8" t="s">
        <v>276</v>
      </c>
      <c r="D10" s="151"/>
      <c r="E10" s="152"/>
      <c r="F10" s="161"/>
      <c r="G10" s="27">
        <v>0</v>
      </c>
    </row>
    <row r="11" spans="1:7" x14ac:dyDescent="0.25">
      <c r="A11" s="2"/>
      <c r="B11" s="237" t="s">
        <v>277</v>
      </c>
      <c r="C11" s="237"/>
      <c r="D11" s="237"/>
      <c r="E11" s="249"/>
      <c r="F11" s="239"/>
      <c r="G11" s="239"/>
    </row>
    <row r="12" spans="1:7" s="117" customFormat="1" ht="25.5" customHeight="1" x14ac:dyDescent="0.25">
      <c r="A12" s="2">
        <v>1</v>
      </c>
      <c r="B12" s="8" t="str">
        <f>'Прил.5 Расчет СМР и ОБ'!B32</f>
        <v>БЦ.36.17</v>
      </c>
      <c r="C12" s="8" t="str">
        <f>'Прил.5 Расчет СМР и ОБ'!C32</f>
        <v>Оборудование электропитания, 12 кВт</v>
      </c>
      <c r="D12" s="2" t="str">
        <f>'Прил.5 Расчет СМР и ОБ'!D32</f>
        <v>шт</v>
      </c>
      <c r="E12" s="153">
        <f>'Прил.5 Расчет СМР и ОБ'!E32</f>
        <v>1</v>
      </c>
      <c r="F12" s="153">
        <f>'Прил.5 Расчет СМР и ОБ'!F32</f>
        <v>944244.6</v>
      </c>
      <c r="G12" s="27">
        <f>ROUND(E12*F12,2)</f>
        <v>944244.6</v>
      </c>
    </row>
    <row r="13" spans="1:7" s="117" customFormat="1" ht="25.5" customHeight="1" x14ac:dyDescent="0.25">
      <c r="A13" s="2">
        <v>2</v>
      </c>
      <c r="B13" s="8" t="str">
        <f>'Прил.5 Расчет СМР и ОБ'!B33</f>
        <v>БЦ.36.18</v>
      </c>
      <c r="C13" s="8" t="str">
        <f>'Прил.5 Расчет СМР и ОБ'!C33</f>
        <v>АКБ фронттерминальная, 12В, 200Ач.</v>
      </c>
      <c r="D13" s="2" t="str">
        <f>'Прил.5 Расчет СМР и ОБ'!D33</f>
        <v>шт</v>
      </c>
      <c r="E13" s="153">
        <f>'Прил.5 Расчет СМР и ОБ'!E33</f>
        <v>1</v>
      </c>
      <c r="F13" s="153">
        <f>'Прил.5 Расчет СМР и ОБ'!F33</f>
        <v>350719.42</v>
      </c>
      <c r="G13" s="27">
        <f>ROUND(E13*F13,2)</f>
        <v>350719.42</v>
      </c>
    </row>
    <row r="14" spans="1:7" ht="25.5" customHeight="1" x14ac:dyDescent="0.25">
      <c r="A14" s="2"/>
      <c r="B14" s="8"/>
      <c r="C14" s="8" t="s">
        <v>278</v>
      </c>
      <c r="D14" s="8"/>
      <c r="E14" s="41"/>
      <c r="F14" s="161"/>
      <c r="G14" s="27">
        <f>SUM(G12:G13)</f>
        <v>1294964.02</v>
      </c>
    </row>
    <row r="15" spans="1:7" ht="19.5" customHeight="1" x14ac:dyDescent="0.25">
      <c r="A15" s="2"/>
      <c r="B15" s="8"/>
      <c r="C15" s="8" t="s">
        <v>279</v>
      </c>
      <c r="D15" s="8"/>
      <c r="E15" s="41"/>
      <c r="F15" s="161"/>
      <c r="G15" s="27">
        <f>G10+G14</f>
        <v>1294964.02</v>
      </c>
    </row>
    <row r="16" spans="1:7" x14ac:dyDescent="0.25">
      <c r="A16" s="25"/>
      <c r="B16" s="154"/>
      <c r="C16" s="25"/>
      <c r="D16" s="25"/>
      <c r="E16" s="25"/>
      <c r="F16" s="25"/>
      <c r="G16" s="25"/>
    </row>
    <row r="17" spans="1:7" x14ac:dyDescent="0.25">
      <c r="A17" s="4" t="s">
        <v>271</v>
      </c>
      <c r="B17" s="12"/>
      <c r="C17" s="12"/>
      <c r="D17" s="25"/>
      <c r="E17" s="25"/>
      <c r="F17" s="25"/>
      <c r="G17" s="25"/>
    </row>
    <row r="18" spans="1:7" x14ac:dyDescent="0.25">
      <c r="A18" s="150" t="s">
        <v>76</v>
      </c>
      <c r="B18" s="12"/>
      <c r="C18" s="12"/>
      <c r="D18" s="25"/>
      <c r="E18" s="25"/>
      <c r="F18" s="25"/>
      <c r="G18" s="25"/>
    </row>
    <row r="19" spans="1:7" x14ac:dyDescent="0.25">
      <c r="A19" s="4"/>
      <c r="B19" s="12"/>
      <c r="C19" s="12"/>
      <c r="D19" s="25"/>
      <c r="E19" s="25"/>
      <c r="F19" s="25"/>
      <c r="G19" s="25"/>
    </row>
    <row r="20" spans="1:7" x14ac:dyDescent="0.25">
      <c r="A20" s="4" t="s">
        <v>272</v>
      </c>
      <c r="B20" s="12"/>
      <c r="C20" s="12"/>
      <c r="D20" s="25"/>
      <c r="E20" s="25"/>
      <c r="F20" s="25"/>
      <c r="G20" s="25"/>
    </row>
    <row r="21" spans="1:7" x14ac:dyDescent="0.25">
      <c r="A21" s="150" t="s">
        <v>78</v>
      </c>
      <c r="B21" s="12"/>
      <c r="C21" s="12"/>
      <c r="D21" s="25"/>
      <c r="E21" s="25"/>
      <c r="F21" s="25"/>
      <c r="G21" s="25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14</vt:i4>
      </vt:variant>
    </vt:vector>
  </HeadingPairs>
  <TitlesOfParts>
    <vt:vector size="29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2023-11-26T06:29:46Z</cp:lastPrinted>
  <dcterms:created xsi:type="dcterms:W3CDTF">2020-09-30T08:50:27Z</dcterms:created>
  <dcterms:modified xsi:type="dcterms:W3CDTF">2023-11-26T06:29:57Z</dcterms:modified>
  <cp:category/>
</cp:coreProperties>
</file>