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85CB8CEB-C610-485C-913E-CF463AD4588F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5">Прил.3!$A$1:$H$65</definedName>
    <definedName name="_xlnm.Print_Area" localSheetId="6">'Прил.4 РМ'!$A$1:$E$48</definedName>
    <definedName name="_xlnm.Print_Area" localSheetId="7">'Прил.5 Расчет СМР и ОБ'!$A$1:$J$83</definedName>
    <definedName name="_xlnm.Print_Area" localSheetId="8">'Прил.6 Расчет ОБ'!$A$1:$G$21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F13" i="9"/>
  <c r="E13" i="9"/>
  <c r="G13" i="9" s="1"/>
  <c r="D13" i="9"/>
  <c r="C13" i="9"/>
  <c r="B13" i="9"/>
  <c r="F12" i="9"/>
  <c r="E12" i="9"/>
  <c r="G12" i="9" s="1"/>
  <c r="G14" i="9" s="1"/>
  <c r="D12" i="9"/>
  <c r="C12" i="9"/>
  <c r="B12" i="9"/>
  <c r="I66" i="8"/>
  <c r="J66" i="8" s="1"/>
  <c r="G66" i="8"/>
  <c r="I65" i="8"/>
  <c r="J65" i="8" s="1"/>
  <c r="G65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I43" i="8"/>
  <c r="J43" i="8" s="1"/>
  <c r="G43" i="8"/>
  <c r="J41" i="8"/>
  <c r="I41" i="8"/>
  <c r="G41" i="8"/>
  <c r="J40" i="8"/>
  <c r="J42" i="8" s="1"/>
  <c r="I40" i="8"/>
  <c r="G40" i="8"/>
  <c r="G42" i="8" s="1"/>
  <c r="J33" i="8"/>
  <c r="G33" i="8"/>
  <c r="J32" i="8"/>
  <c r="J34" i="8" s="1"/>
  <c r="J36" i="8" s="1"/>
  <c r="G32" i="8"/>
  <c r="G34" i="8" s="1"/>
  <c r="I27" i="8"/>
  <c r="J27" i="8" s="1"/>
  <c r="G27" i="8"/>
  <c r="I26" i="8"/>
  <c r="J26" i="8" s="1"/>
  <c r="G26" i="8"/>
  <c r="I25" i="8"/>
  <c r="J25" i="8" s="1"/>
  <c r="G25" i="8"/>
  <c r="G28" i="8" s="1"/>
  <c r="I24" i="8"/>
  <c r="J24" i="8" s="1"/>
  <c r="G24" i="8"/>
  <c r="I23" i="8"/>
  <c r="J23" i="8" s="1"/>
  <c r="G23" i="8"/>
  <c r="J21" i="8"/>
  <c r="I21" i="8"/>
  <c r="G21" i="8"/>
  <c r="J20" i="8"/>
  <c r="I20" i="8"/>
  <c r="G20" i="8"/>
  <c r="J19" i="8"/>
  <c r="J22" i="8" s="1"/>
  <c r="C12" i="7" s="1"/>
  <c r="I19" i="8"/>
  <c r="G19" i="8"/>
  <c r="G22" i="8" s="1"/>
  <c r="G16" i="8"/>
  <c r="D70" i="8" s="1"/>
  <c r="E16" i="8"/>
  <c r="I13" i="8"/>
  <c r="G13" i="8"/>
  <c r="G14" i="8" s="1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5" i="6"/>
  <c r="F15" i="6"/>
  <c r="H14" i="6"/>
  <c r="H13" i="6"/>
  <c r="H12" i="6"/>
  <c r="F12" i="6"/>
  <c r="F14" i="5"/>
  <c r="F13" i="5"/>
  <c r="H12" i="5"/>
  <c r="D19" i="4" s="1"/>
  <c r="D17" i="4" s="1"/>
  <c r="D23" i="4" s="1"/>
  <c r="D24" i="4" s="1"/>
  <c r="D18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28" i="8" l="1"/>
  <c r="J29" i="8" s="1"/>
  <c r="C13" i="7"/>
  <c r="C14" i="7" s="1"/>
  <c r="H24" i="8"/>
  <c r="H22" i="8"/>
  <c r="J67" i="8"/>
  <c r="C17" i="7" s="1"/>
  <c r="C18" i="7" s="1"/>
  <c r="G29" i="8"/>
  <c r="H27" i="8" s="1"/>
  <c r="H28" i="8"/>
  <c r="G36" i="8"/>
  <c r="H35" i="8" s="1"/>
  <c r="H34" i="8"/>
  <c r="C16" i="7"/>
  <c r="J68" i="8"/>
  <c r="J37" i="8"/>
  <c r="C26" i="7" s="1"/>
  <c r="C25" i="7"/>
  <c r="G15" i="9"/>
  <c r="G37" i="8"/>
  <c r="H23" i="8"/>
  <c r="H26" i="8"/>
  <c r="H25" i="8"/>
  <c r="G67" i="8"/>
  <c r="H13" i="5"/>
  <c r="H14" i="5" s="1"/>
  <c r="J14" i="5" s="1"/>
  <c r="D71" i="8"/>
  <c r="C23" i="7"/>
  <c r="J13" i="5"/>
  <c r="H13" i="8"/>
  <c r="F16" i="8"/>
  <c r="I16" i="8" s="1"/>
  <c r="J16" i="8" s="1"/>
  <c r="C15" i="7" s="1"/>
  <c r="E13" i="8"/>
  <c r="H29" i="8" l="1"/>
  <c r="H19" i="8"/>
  <c r="H20" i="8"/>
  <c r="H21" i="8"/>
  <c r="G68" i="8"/>
  <c r="H67" i="8" s="1"/>
  <c r="H36" i="8"/>
  <c r="E14" i="8"/>
  <c r="J13" i="8"/>
  <c r="J14" i="8" s="1"/>
  <c r="J71" i="8" s="1"/>
  <c r="C21" i="7"/>
  <c r="H40" i="8" l="1"/>
  <c r="H33" i="8"/>
  <c r="H68" i="8"/>
  <c r="H41" i="8"/>
  <c r="H43" i="8"/>
  <c r="H61" i="8"/>
  <c r="H50" i="8"/>
  <c r="H45" i="8"/>
  <c r="H63" i="8"/>
  <c r="H59" i="8"/>
  <c r="H46" i="8"/>
  <c r="H64" i="8"/>
  <c r="H53" i="8"/>
  <c r="H48" i="8"/>
  <c r="H66" i="8"/>
  <c r="G72" i="8"/>
  <c r="G73" i="8" s="1"/>
  <c r="G74" i="8" s="1"/>
  <c r="H51" i="8"/>
  <c r="G69" i="8"/>
  <c r="H32" i="8"/>
  <c r="H49" i="8"/>
  <c r="H56" i="8"/>
  <c r="H54" i="8"/>
  <c r="H52" i="8"/>
  <c r="H55" i="8"/>
  <c r="H44" i="8"/>
  <c r="H62" i="8"/>
  <c r="H57" i="8"/>
  <c r="H42" i="8"/>
  <c r="H58" i="8"/>
  <c r="H47" i="8"/>
  <c r="H65" i="8"/>
  <c r="H60" i="8"/>
  <c r="J69" i="8"/>
  <c r="C11" i="7"/>
  <c r="J70" i="8"/>
  <c r="J72" i="8" s="1"/>
  <c r="J73" i="8" s="1"/>
  <c r="J74" i="8" s="1"/>
  <c r="C20" i="7"/>
  <c r="C19" i="7" l="1"/>
  <c r="C22" i="7"/>
  <c r="C24" i="7" l="1"/>
  <c r="D22" i="7" s="1"/>
  <c r="C27" i="7" l="1"/>
  <c r="D16" i="7"/>
  <c r="D17" i="7"/>
  <c r="D13" i="7"/>
  <c r="D24" i="7"/>
  <c r="D18" i="7"/>
  <c r="D12" i="7"/>
  <c r="C29" i="7"/>
  <c r="C30" i="7" s="1"/>
  <c r="D14" i="7"/>
  <c r="D15" i="7"/>
  <c r="D11" i="7"/>
  <c r="D20" i="7"/>
  <c r="C33" i="7" l="1"/>
  <c r="C37" i="7" l="1"/>
  <c r="C36" i="7"/>
  <c r="C38" i="7" s="1"/>
  <c r="C39" i="7" l="1"/>
  <c r="C40" i="7" l="1"/>
  <c r="E39" i="7"/>
  <c r="E35" i="7" l="1"/>
  <c r="E26" i="7"/>
  <c r="C41" i="7"/>
  <c r="D11" i="10" s="1"/>
  <c r="E34" i="7"/>
  <c r="E17" i="7"/>
  <c r="E13" i="7"/>
  <c r="E40" i="7"/>
  <c r="E25" i="7"/>
  <c r="E31" i="7"/>
  <c r="E32" i="7"/>
  <c r="E18" i="7"/>
  <c r="E16" i="7"/>
  <c r="E14" i="7"/>
  <c r="E12" i="7"/>
  <c r="E15" i="7"/>
  <c r="E20" i="7"/>
  <c r="E11" i="7"/>
  <c r="E22" i="7"/>
  <c r="E24" i="7"/>
  <c r="E27" i="7"/>
  <c r="E29" i="7"/>
  <c r="E30" i="7"/>
  <c r="E33" i="7"/>
  <c r="E38" i="7"/>
  <c r="E36" i="7"/>
  <c r="E3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<sst xmlns="http://schemas.openxmlformats.org/spreadsheetml/2006/main" count="754" uniqueCount="440">
  <si>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</si>
  <si>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</si>
  <si>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</si>
  <si>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</si>
  <si>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</si>
  <si>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</si>
  <si>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</si>
  <si>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</si>
  <si>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</si>
  <si>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</si>
  <si>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</si>
  <si>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</si>
  <si>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</si>
  <si>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</si>
  <si>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</si>
  <si>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</si>
  <si>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</si>
  <si>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</si>
  <si>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</si>
  <si>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</si>
  <si>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</si>
  <si>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</si>
  <si>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</si>
  <si>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</si>
  <si>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</si>
  <si>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</si>
  <si>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</si>
  <si>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</si>
  <si>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</si>
  <si>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</si>
  <si>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</si>
  <si>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</si>
  <si>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</si>
  <si>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</si>
  <si>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</si>
  <si>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</si>
  <si>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</si>
  <si>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</si>
  <si>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</si>
  <si>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</si>
  <si>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</si>
  <si>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</si>
  <si>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</si>
  <si>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</si>
  <si>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</si>
  <si>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</si>
  <si>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</si>
  <si>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оборудование электропитания ПС 330 кВ</t>
  </si>
  <si>
    <t>Сопоставимый уровень цен: 4 квартал 2019 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</si>
  <si>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</si>
  <si>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</si>
  <si>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</si>
  <si>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</si>
  <si>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330 кВ Мурманская</t>
  </si>
  <si>
    <t>Наименование субъекта Российской Федерации</t>
  </si>
  <si>
    <t>Мурманская область</t>
  </si>
  <si>
    <t>Климатический район и подрайон</t>
  </si>
  <si>
    <t xml:space="preserve"> 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</si>
  <si>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</si>
  <si>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</si>
  <si>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Силовой кабель - 1,6 км;
Шкаф с оборудованием ЭПУ - 2 шт;
Шкаф с оборудованием ЭПУ (АКБ) - 1 шт.
Суммарная мощность системы 36,48 кВт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</si>
  <si>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</si>
  <si>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</si>
  <si>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</si>
  <si>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</si>
  <si>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</si>
  <si>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</si>
  <si>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</si>
  <si>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</si>
  <si>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</si>
  <si>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</si>
  <si>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</si>
  <si>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</si>
  <si>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</si>
  <si>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</si>
  <si>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</si>
  <si>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</si>
  <si>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</si>
  <si>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</si>
  <si>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</si>
  <si>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</si>
  <si>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</si>
  <si>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</si>
  <si>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</si>
  <si>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</si>
  <si>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</si>
  <si>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</si>
  <si>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</si>
  <si>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</si>
  <si>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>Оборудование электропитания ПС 330 кВ</t>
  </si>
  <si>
    <t>Всего по объекту:</t>
  </si>
  <si>
    <t>Всего по объекту в сопоставимом уровне цен 4 кв. 2019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</si>
  <si>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</si>
  <si>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</si>
  <si>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</si>
  <si>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</si>
  <si>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оборудование электропитания 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</si>
  <si>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</si>
  <si>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</si>
  <si>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</si>
  <si>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</si>
  <si>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</si>
  <si>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</si>
  <si>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</si>
  <si>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</si>
  <si>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</si>
  <si>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</si>
  <si>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</si>
  <si>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</si>
  <si>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1-3-8</t>
  </si>
  <si>
    <t>Затраты труда рабочих (ср 3,8)</t>
  </si>
  <si>
    <t>чел.-ч</t>
  </si>
  <si>
    <t>1-4-2</t>
  </si>
  <si>
    <t>Затраты труда рабочих (ср 4,2)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</si>
  <si>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</si>
  <si>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</si>
  <si>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</si>
  <si>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</si>
  <si>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</si>
  <si>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</si>
  <si>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</si>
  <si>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91.05.13-025</t>
  </si>
  <si>
    <t>Краны-манипуляторы на автомобильном ходу, грузоподъемность до 3,2 т</t>
  </si>
  <si>
    <t>91.06.03-061</t>
  </si>
  <si>
    <t>Лебедки электрические тяговым усилием до 12,26 кН (1,25 т)</t>
  </si>
  <si>
    <t>91.17.04-233</t>
  </si>
  <si>
    <t>Установки для сварки ручной дуговой (постоянного тока)</t>
  </si>
  <si>
    <t>91.06.01-003</t>
  </si>
  <si>
    <t>Домкраты гидравлические, грузоподъемность 63-100 т</t>
  </si>
  <si>
    <t>91.05.02-769</t>
  </si>
  <si>
    <t>Краны козловые передвижные, грузоподъемность до 3 т, высота подъема 3 м, пролет 3 м</t>
  </si>
  <si>
    <t>91.21.16-012</t>
  </si>
  <si>
    <t>Прессы гидравлические с электроприводом</t>
  </si>
  <si>
    <t>Прайс из СД ОП</t>
  </si>
  <si>
    <t>Шкаф №1 с оборудованием ЭПУ (карта заказа №1.1 (ШОЭП №1)</t>
  </si>
  <si>
    <t>шт</t>
  </si>
  <si>
    <t>Шкаф №3 с оборудованием ЭПУ (АКБ) (карта заказа №1.3 (ШОЭП №3 (АКБ))</t>
  </si>
  <si>
    <t>Материалы</t>
  </si>
  <si>
    <t>21.1.06.10-0368</t>
  </si>
  <si>
    <t>Кабель силовой с медными жилами ВВГнг(A)-LS 2х25мк(N)-1000</t>
  </si>
  <si>
    <t>1000 м</t>
  </si>
  <si>
    <t>21.1.06.10-0581</t>
  </si>
  <si>
    <t>Кабель силовой с медными жилами ВВГнг-LS 3х6-1000</t>
  </si>
  <si>
    <t>21.1.06.10-0575</t>
  </si>
  <si>
    <t>Кабель силовой с медными жилами ВВГнг-LS 2х6-1000</t>
  </si>
  <si>
    <t>21.1.06.10-0579</t>
  </si>
  <si>
    <t>Кабель силовой с медными жилами ВВГнг-LS 3х2,5-1000</t>
  </si>
  <si>
    <t>10.3.02.03-0011</t>
  </si>
  <si>
    <t>Припои оловянно-свинцовые бессурьмянистые, марка ПОС30</t>
  </si>
  <si>
    <t>т</t>
  </si>
  <si>
    <t>21.2.03.05-0073</t>
  </si>
  <si>
    <t>Провод силовой установочный с медными жилами ПВ3 16-450</t>
  </si>
  <si>
    <t>01.7.06.07-0002</t>
  </si>
  <si>
    <t>Лента монтажная, тип ЛМ-5</t>
  </si>
  <si>
    <t>10 м</t>
  </si>
  <si>
    <t>01.3.01.01-0001</t>
  </si>
  <si>
    <t>Бензин авиационный Б-70</t>
  </si>
  <si>
    <t>999-9950</t>
  </si>
  <si>
    <t>Вспомогательные ненормируемые ресурсы (2% от Оплаты труда рабочих)</t>
  </si>
  <si>
    <t>руб</t>
  </si>
  <si>
    <t>14.4.03.03-0002</t>
  </si>
  <si>
    <t>Лак битумный БТ-123</t>
  </si>
  <si>
    <t>01.7.15.07-0014</t>
  </si>
  <si>
    <t>Дюбели распорные полипропиленовые</t>
  </si>
  <si>
    <t>100 шт</t>
  </si>
  <si>
    <t>01.3.02.09-0022</t>
  </si>
  <si>
    <t>Пропан-бутан смесь техническая</t>
  </si>
  <si>
    <t>кг</t>
  </si>
  <si>
    <t>25.2.01.01-0001</t>
  </si>
  <si>
    <t>Бирки-оконцеватели</t>
  </si>
  <si>
    <t>01.7.15.03-0042</t>
  </si>
  <si>
    <t>Болты с гайками и шайбами строительные</t>
  </si>
  <si>
    <t>14.4.02.09-0001</t>
  </si>
  <si>
    <t>Краска</t>
  </si>
  <si>
    <t>20.1.02.23-0082</t>
  </si>
  <si>
    <t>Перемычки гибкие, тип ПГС-50</t>
  </si>
  <si>
    <t>10 шт</t>
  </si>
  <si>
    <t>01.7.15.14-0165</t>
  </si>
  <si>
    <t>Шурупы с полукруглой головкой 4х40 мм</t>
  </si>
  <si>
    <t>01.7.11.07-0034</t>
  </si>
  <si>
    <t>Электроды сварочные Э42А, диаметр 4 мм</t>
  </si>
  <si>
    <t>08.3.07.01-0076</t>
  </si>
  <si>
    <t>Прокат полосовой, горячекатаный, марка стали Ст3сп, ширина 50-200 мм, толщина 4-5 мм</t>
  </si>
  <si>
    <t>14.4.03.17-0101</t>
  </si>
  <si>
    <t>Лак канифольный КФ-965</t>
  </si>
  <si>
    <t>01.7.06.05-0041</t>
  </si>
  <si>
    <t>Лента изоляционная прорезиненная односторонняя, ширина 20 мм, толщина 0,25-0,35 мм</t>
  </si>
  <si>
    <t>01.3.01.05-0009</t>
  </si>
  <si>
    <t>Парафин нефтяной твердый Т-1</t>
  </si>
  <si>
    <t>01.3.01.02-0002</t>
  </si>
  <si>
    <t>Вазелин технический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</si>
  <si>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</si>
  <si>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</si>
  <si>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01.7.20.04-0005</t>
  </si>
  <si>
    <t>Нитки швейные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</si>
  <si>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</si>
  <si>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</si>
  <si>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</si>
  <si>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</si>
  <si>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</si>
  <si>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</si>
  <si>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</si>
  <si>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</si>
  <si>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</si>
  <si>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</si>
  <si>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</si>
  <si>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</si>
  <si>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</si>
  <si>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</si>
  <si>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</si>
  <si>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</si>
  <si>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</si>
  <si>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</si>
  <si>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</si>
  <si>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</si>
  <si>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</si>
  <si>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</si>
  <si>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</si>
  <si>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</si>
  <si>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</si>
  <si>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</si>
  <si>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</si>
  <si>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</si>
  <si>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</si>
  <si>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</si>
  <si>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</si>
  <si>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</si>
  <si>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</si>
  <si>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</si>
  <si>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</si>
  <si>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</si>
  <si>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</si>
  <si>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</si>
  <si>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</si>
  <si>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</si>
  <si>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</si>
  <si>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</si>
  <si>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</si>
  <si>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</si>
  <si>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</si>
  <si>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</si>
  <si>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оборудование электропитания 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</si>
  <si>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</si>
  <si>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</si>
  <si>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</si>
  <si>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</si>
  <si>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</si>
  <si>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(3,8)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</si>
  <si>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</si>
  <si>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</si>
  <si>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</si>
  <si>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</si>
  <si>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</si>
  <si>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</si>
  <si>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</si>
  <si>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БЦ.36.17</t>
  </si>
  <si>
    <t>БЦ.36.18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</si>
  <si>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</si>
  <si>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</si>
  <si>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</si>
  <si>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</si>
  <si>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</si>
  <si>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</si>
  <si>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</si>
  <si>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</si>
  <si>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</si>
  <si>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</si>
  <si>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</si>
  <si>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</si>
  <si>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</si>
  <si>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</si>
  <si>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</si>
  <si>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</si>
  <si>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</si>
  <si>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</si>
  <si>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</si>
  <si>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</si>
  <si>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</si>
  <si>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</si>
  <si>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</si>
  <si>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</si>
  <si>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</si>
  <si>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</si>
  <si>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</si>
  <si>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</si>
  <si>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З1-04</t>
  </si>
  <si>
    <t>УНЦ постоянной части 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</si>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</sst>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"/>
    <numFmt numFmtId="172" formatCode="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10" fontId="0" fillId="0" borderId="0" xfId="0" applyNumberFormat="1"/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49" fontId="1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5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171" fontId="16" fillId="0" borderId="0" xfId="0" applyNumberFormat="1" applyFont="1"/>
    <xf numFmtId="10" fontId="16" fillId="0" borderId="0" xfId="0" applyNumberFormat="1" applyFont="1"/>
    <xf numFmtId="0" fontId="21" fillId="0" borderId="0" xfId="0" applyFont="1"/>
    <xf numFmtId="2" fontId="16" fillId="0" borderId="1" xfId="0" applyNumberFormat="1" applyFont="1" applyBorder="1" applyAlignment="1">
      <alignment horizontal="right" vertical="center"/>
    </xf>
    <xf numFmtId="169" fontId="16" fillId="0" borderId="0" xfId="0" applyNumberFormat="1" applyFont="1"/>
    <xf numFmtId="4" fontId="18" fillId="0" borderId="0" xfId="0" applyNumberFormat="1" applyFont="1"/>
    <xf numFmtId="165" fontId="16" fillId="0" borderId="0" xfId="0" applyNumberFormat="1" applyFont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4" fontId="1" fillId="0" borderId="2" xfId="0" applyNumberFormat="1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172" fontId="1" fillId="0" borderId="1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0" fontId="16" fillId="0" borderId="0" xfId="0" applyFont="1"/>
    <xf numFmtId="0" fontId="0" fillId="0" borderId="0" xfId="0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6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331107</xdr:colOff>
      <xdr:row>28</xdr:row>
      <xdr:rowOff>97517</xdr:rowOff>
    </xdr:from>
    <xdr:to>
      <xdr:col>2</xdr:col>
      <xdr:colOff>1275909</xdr:colOff>
      <xdr:row>31</xdr:row>
      <xdr:rowOff>9409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837862B-1C55-4441-98D9-9DDBA2F2E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50" y="12602481"/>
          <a:ext cx="944802" cy="524214"/>
        </a:xfrm>
        <a:prstGeom prst="rect">
          <a:avLst/>
        </a:prstGeom>
      </xdr:spPr>
    </xdr:pic>
    <xdr:clientData/>
  </xdr:twoCellAnchor>
  <xdr:twoCellAnchor editAs="oneCell">
    <xdr:from>
      <xdr:col>2</xdr:col>
      <xdr:colOff>407308</xdr:colOff>
      <xdr:row>26</xdr:row>
      <xdr:rowOff>273050</xdr:rowOff>
    </xdr:from>
    <xdr:to>
      <xdr:col>2</xdr:col>
      <xdr:colOff>1245507</xdr:colOff>
      <xdr:row>28</xdr:row>
      <xdr:rowOff>48152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850F4FF-9F1E-4311-B5D7-1E3A318C1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1951" y="12097657"/>
          <a:ext cx="838199" cy="455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551089</xdr:colOff>
      <xdr:row>22</xdr:row>
      <xdr:rowOff>135619</xdr:rowOff>
    </xdr:from>
    <xdr:to>
      <xdr:col>2</xdr:col>
      <xdr:colOff>1495891</xdr:colOff>
      <xdr:row>25</xdr:row>
      <xdr:rowOff>47510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949DCA9-2FF3-4998-BA1E-BF81A9973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803" y="655819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627290</xdr:colOff>
      <xdr:row>20</xdr:row>
      <xdr:rowOff>39007</xdr:rowOff>
    </xdr:from>
    <xdr:to>
      <xdr:col>2</xdr:col>
      <xdr:colOff>1465489</xdr:colOff>
      <xdr:row>22</xdr:row>
      <xdr:rowOff>86254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52FFCF9-D824-4104-B045-A9CF4AD06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004" y="6053364"/>
          <a:ext cx="838199" cy="455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58</xdr:row>
      <xdr:rowOff>101412</xdr:rowOff>
    </xdr:from>
    <xdr:to>
      <xdr:col>2</xdr:col>
      <xdr:colOff>1230552</xdr:colOff>
      <xdr:row>61</xdr:row>
      <xdr:rowOff>20508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1D04A12-0D3A-4D80-8338-E196DBAF6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746350"/>
          <a:ext cx="944802" cy="490596"/>
        </a:xfrm>
        <a:prstGeom prst="rect">
          <a:avLst/>
        </a:prstGeom>
      </xdr:spPr>
    </xdr:pic>
    <xdr:clientData/>
  </xdr:twoCellAnchor>
  <xdr:twoCellAnchor editAs="oneCell">
    <xdr:from>
      <xdr:col>2</xdr:col>
      <xdr:colOff>361951</xdr:colOff>
      <xdr:row>56</xdr:row>
      <xdr:rowOff>-1</xdr:rowOff>
    </xdr:from>
    <xdr:to>
      <xdr:col>2</xdr:col>
      <xdr:colOff>1200150</xdr:colOff>
      <xdr:row>58</xdr:row>
      <xdr:rowOff>52047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2564C4B-AD3F-4098-B5D3-E8E5F5FCC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4514" y="16263937"/>
          <a:ext cx="838199" cy="433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F99F629-E310-49C3-BDDF-0CB2C395F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857251</xdr:colOff>
      <xdr:row>40</xdr:row>
      <xdr:rowOff>123825</xdr:rowOff>
    </xdr:from>
    <xdr:to>
      <xdr:col>1</xdr:col>
      <xdr:colOff>1695450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ADA85E1-B7A7-4EFB-BFCD-7E2620AE4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887506</xdr:colOff>
      <xdr:row>76</xdr:row>
      <xdr:rowOff>108137</xdr:rowOff>
    </xdr:from>
    <xdr:to>
      <xdr:col>2</xdr:col>
      <xdr:colOff>327358</xdr:colOff>
      <xdr:row>79</xdr:row>
      <xdr:rowOff>60849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877F427-3922-4E5A-A80A-712262FB1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506" y="19805837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963707</xdr:colOff>
      <xdr:row>73</xdr:row>
      <xdr:rowOff>441512</xdr:rowOff>
    </xdr:from>
    <xdr:to>
      <xdr:col>2</xdr:col>
      <xdr:colOff>277906</xdr:colOff>
      <xdr:row>76</xdr:row>
      <xdr:rowOff>58772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53C3F2E-B5FA-456B-8424-61B3D631A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707" y="19301012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17</xdr:row>
      <xdr:rowOff>76200</xdr:rowOff>
    </xdr:from>
    <xdr:to>
      <xdr:col>2</xdr:col>
      <xdr:colOff>249477</xdr:colOff>
      <xdr:row>20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401720A-E5AB-402D-ADFB-E918054CB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43338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552451</xdr:colOff>
      <xdr:row>14</xdr:row>
      <xdr:rowOff>200025</xdr:rowOff>
    </xdr:from>
    <xdr:to>
      <xdr:col>2</xdr:col>
      <xdr:colOff>219075</xdr:colOff>
      <xdr:row>17</xdr:row>
      <xdr:rowOff>26835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1FE7325-5C03-4AF7-A7D7-DAA547737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382905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15</xdr:row>
      <xdr:rowOff>171788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3DD12B9-3D30-4632-B659-7F25F041A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67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781051</xdr:colOff>
      <xdr:row>10</xdr:row>
      <xdr:rowOff>781050</xdr:rowOff>
    </xdr:from>
    <xdr:to>
      <xdr:col>1</xdr:col>
      <xdr:colOff>771525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9A2C1E9-1478-42E3-AF5A-75F97505C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889000</xdr:colOff>
      <xdr:row>27</xdr:row>
      <xdr:rowOff>76200</xdr:rowOff>
    </xdr:from>
    <xdr:to>
      <xdr:col>1</xdr:col>
      <xdr:colOff>1833802</xdr:colOff>
      <xdr:row>30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A11A15E-3FC7-402B-8917-59E053FC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250" y="93789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965201</xdr:colOff>
      <xdr:row>24</xdr:row>
      <xdr:rowOff>142875</xdr:rowOff>
    </xdr:from>
    <xdr:to>
      <xdr:col>1</xdr:col>
      <xdr:colOff>1803400</xdr:colOff>
      <xdr:row>27</xdr:row>
      <xdr:rowOff>26835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FF2CC19-6453-4EE5-8570-252C9784F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451" y="8874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7" t="s">
        <v>0</v>
      </c>
      <c r="B2" s="317"/>
      <c r="C2" s="317"/>
    </row>
    <row r="3" spans="1:3" x14ac:dyDescent="0.25">
      <c r="A3" s="1"/>
      <c r="B3" s="1"/>
      <c r="C3" s="1"/>
    </row>
    <row r="4" spans="1:3" x14ac:dyDescent="0.25">
      <c r="A4" s="318" t="s">
        <v>1</v>
      </c>
      <c r="B4" s="318"/>
      <c r="C4" s="31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19" t="s">
        <v>3</v>
      </c>
      <c r="C6" s="319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E21" sqref="E21"/>
    </sheetView>
  </sheetViews>
  <sheetFormatPr defaultRowHeight="15" x14ac:dyDescent="0.25"/>
  <cols>
    <col min="1" max="1" width="12.7109375" style="303" customWidth="1"/>
    <col min="2" max="2" width="16.42578125" style="303" customWidth="1"/>
    <col min="3" max="3" width="37.140625" style="303" customWidth="1"/>
    <col min="4" max="4" width="49" style="303" customWidth="1"/>
    <col min="5" max="5" width="9.140625" style="303" customWidth="1"/>
  </cols>
  <sheetData>
    <row r="1" spans="1:4" ht="15.75" customHeight="1" x14ac:dyDescent="0.25">
      <c r="A1" s="302"/>
      <c r="B1" s="302"/>
      <c r="C1" s="302"/>
      <c r="D1" s="302" t="s">
        <v>280</v>
      </c>
    </row>
    <row r="2" spans="1:4" ht="15.75" customHeight="1" x14ac:dyDescent="0.25">
      <c r="A2" s="302"/>
      <c r="B2" s="302"/>
      <c r="C2" s="302"/>
      <c r="D2" s="302"/>
    </row>
    <row r="3" spans="1:4" ht="15.75" customHeight="1" x14ac:dyDescent="0.25">
      <c r="A3" s="302"/>
      <c r="B3" s="304" t="s">
        <v>281</v>
      </c>
      <c r="C3" s="302"/>
      <c r="D3" s="302"/>
    </row>
    <row r="4" spans="1:4" ht="15.75" customHeight="1" x14ac:dyDescent="0.25">
      <c r="A4" s="302"/>
      <c r="B4" s="302"/>
      <c r="C4" s="302"/>
      <c r="D4" s="302"/>
    </row>
    <row r="5" spans="1:4" ht="31.5" customHeight="1" x14ac:dyDescent="0.25">
      <c r="A5" s="365" t="s">
        <v>282</v>
      </c>
      <c r="B5" s="365"/>
      <c r="C5" s="365"/>
      <c r="D5" s="305" t="str">
        <f>'Прил.5 Расчет СМР и ОБ'!D6:J6</f>
        <v>Постоянная часть ПС, оборудование электропитания ПС 330 кВ</v>
      </c>
    </row>
    <row r="6" spans="1:4" ht="15.75" customHeight="1" x14ac:dyDescent="0.25">
      <c r="A6" s="302" t="s">
        <v>49</v>
      </c>
      <c r="B6" s="302"/>
      <c r="C6" s="302"/>
      <c r="D6" s="302"/>
    </row>
    <row r="7" spans="1:4" ht="15.75" customHeight="1" x14ac:dyDescent="0.25">
      <c r="A7" s="302"/>
      <c r="B7" s="302"/>
      <c r="C7" s="302"/>
      <c r="D7" s="302"/>
    </row>
    <row r="8" spans="1:4" x14ac:dyDescent="0.25">
      <c r="A8" s="329" t="s">
        <v>5</v>
      </c>
      <c r="B8" s="329" t="s">
        <v>6</v>
      </c>
      <c r="C8" s="329" t="s">
        <v>283</v>
      </c>
      <c r="D8" s="329" t="s">
        <v>284</v>
      </c>
    </row>
    <row r="9" spans="1:4" x14ac:dyDescent="0.25">
      <c r="A9" s="329"/>
      <c r="B9" s="329"/>
      <c r="C9" s="329"/>
      <c r="D9" s="329"/>
    </row>
    <row r="10" spans="1:4" ht="15.75" customHeight="1" x14ac:dyDescent="0.25">
      <c r="A10" s="306">
        <v>1</v>
      </c>
      <c r="B10" s="306">
        <v>2</v>
      </c>
      <c r="C10" s="306">
        <v>3</v>
      </c>
      <c r="D10" s="306">
        <v>4</v>
      </c>
    </row>
    <row r="11" spans="1:4" ht="63" customHeight="1" x14ac:dyDescent="0.25">
      <c r="A11" s="306" t="s">
        <v>285</v>
      </c>
      <c r="B11" s="314" t="s">
        <v>286</v>
      </c>
      <c r="C11" s="307" t="str">
        <f>D5</f>
        <v>Постоянная часть ПС, оборудование электропитания ПС 330 кВ</v>
      </c>
      <c r="D11" s="308">
        <f>'Прил.4 РМ'!C41/1000</f>
        <v>2662.1517099999996</v>
      </c>
    </row>
    <row r="13" spans="1:4" x14ac:dyDescent="0.25">
      <c r="A13" s="309" t="s">
        <v>287</v>
      </c>
      <c r="B13" s="310"/>
      <c r="C13" s="310"/>
      <c r="D13" s="311"/>
    </row>
    <row r="14" spans="1:4" x14ac:dyDescent="0.25">
      <c r="A14" s="312" t="s">
        <v>76</v>
      </c>
      <c r="B14" s="310"/>
      <c r="C14" s="310"/>
      <c r="D14" s="311"/>
    </row>
    <row r="15" spans="1:4" ht="21" customHeight="1" x14ac:dyDescent="0.25">
      <c r="A15" s="309"/>
      <c r="B15" s="310"/>
      <c r="C15" s="310"/>
      <c r="D15" s="311"/>
    </row>
    <row r="16" spans="1:4" x14ac:dyDescent="0.25">
      <c r="A16" s="309" t="s">
        <v>77</v>
      </c>
      <c r="B16" s="310"/>
      <c r="C16" s="310"/>
      <c r="D16" s="311"/>
    </row>
    <row r="17" spans="1:4" x14ac:dyDescent="0.25">
      <c r="A17" s="312" t="s">
        <v>78</v>
      </c>
      <c r="B17" s="310"/>
      <c r="C17" s="310"/>
      <c r="D17" s="311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zoomScale="60" zoomScaleNormal="85" workbookViewId="0">
      <selection activeCell="C24" sqref="C24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4" t="s">
        <v>288</v>
      </c>
      <c r="C4" s="324"/>
      <c r="D4" s="324"/>
    </row>
    <row r="5" spans="2:5" ht="18.75" customHeight="1" x14ac:dyDescent="0.25">
      <c r="B5" s="205"/>
    </row>
    <row r="6" spans="2:5" ht="15.75" customHeight="1" x14ac:dyDescent="0.25">
      <c r="B6" s="325" t="s">
        <v>289</v>
      </c>
      <c r="C6" s="325"/>
      <c r="D6" s="325"/>
    </row>
    <row r="7" spans="2:5" x14ac:dyDescent="0.25">
      <c r="B7" s="366"/>
      <c r="C7" s="366"/>
      <c r="D7" s="366"/>
      <c r="E7" s="366"/>
    </row>
    <row r="8" spans="2:5" x14ac:dyDescent="0.25">
      <c r="B8" s="299"/>
      <c r="C8" s="299"/>
      <c r="D8" s="299"/>
      <c r="E8" s="299"/>
    </row>
    <row r="9" spans="2:5" ht="47.25" customHeight="1" x14ac:dyDescent="0.25">
      <c r="B9" s="283" t="s">
        <v>290</v>
      </c>
      <c r="C9" s="283" t="s">
        <v>291</v>
      </c>
      <c r="D9" s="283" t="s">
        <v>292</v>
      </c>
    </row>
    <row r="10" spans="2:5" ht="15.75" customHeight="1" x14ac:dyDescent="0.25">
      <c r="B10" s="283">
        <v>1</v>
      </c>
      <c r="C10" s="283">
        <v>2</v>
      </c>
      <c r="D10" s="283">
        <v>3</v>
      </c>
    </row>
    <row r="11" spans="2:5" ht="45" customHeight="1" x14ac:dyDescent="0.25">
      <c r="B11" s="283" t="s">
        <v>293</v>
      </c>
      <c r="C11" s="283" t="s">
        <v>294</v>
      </c>
      <c r="D11" s="283">
        <v>44.29</v>
      </c>
    </row>
    <row r="12" spans="2:5" ht="29.25" customHeight="1" x14ac:dyDescent="0.25">
      <c r="B12" s="283" t="s">
        <v>295</v>
      </c>
      <c r="C12" s="283" t="s">
        <v>294</v>
      </c>
      <c r="D12" s="283">
        <v>13.47</v>
      </c>
    </row>
    <row r="13" spans="2:5" ht="29.25" customHeight="1" x14ac:dyDescent="0.25">
      <c r="B13" s="283" t="s">
        <v>296</v>
      </c>
      <c r="C13" s="283" t="s">
        <v>294</v>
      </c>
      <c r="D13" s="283">
        <v>8.0399999999999991</v>
      </c>
    </row>
    <row r="14" spans="2:5" ht="30.75" customHeight="1" x14ac:dyDescent="0.25">
      <c r="B14" s="283" t="s">
        <v>297</v>
      </c>
      <c r="C14" s="172" t="s">
        <v>298</v>
      </c>
      <c r="D14" s="283">
        <v>6.26</v>
      </c>
    </row>
    <row r="15" spans="2:5" ht="89.25" customHeight="1" x14ac:dyDescent="0.25">
      <c r="B15" s="283" t="s">
        <v>299</v>
      </c>
      <c r="C15" s="283" t="s">
        <v>300</v>
      </c>
      <c r="D15" s="206">
        <v>2.5000000000000001E-2</v>
      </c>
    </row>
    <row r="16" spans="2:5" ht="78.75" customHeight="1" x14ac:dyDescent="0.25">
      <c r="B16" s="283" t="s">
        <v>301</v>
      </c>
      <c r="C16" s="283" t="s">
        <v>302</v>
      </c>
      <c r="D16" s="206">
        <v>2.1000000000000001E-2</v>
      </c>
    </row>
    <row r="17" spans="2:4" ht="34.5" customHeight="1" x14ac:dyDescent="0.25">
      <c r="B17" s="283"/>
      <c r="C17" s="283"/>
      <c r="D17" s="283"/>
    </row>
    <row r="18" spans="2:4" ht="31.5" customHeight="1" x14ac:dyDescent="0.25">
      <c r="B18" s="283" t="s">
        <v>303</v>
      </c>
      <c r="C18" s="283" t="s">
        <v>304</v>
      </c>
      <c r="D18" s="206">
        <v>2.1399999999999999E-2</v>
      </c>
    </row>
    <row r="19" spans="2:4" ht="31.5" customHeight="1" x14ac:dyDescent="0.25">
      <c r="B19" s="283" t="s">
        <v>229</v>
      </c>
      <c r="C19" s="283" t="s">
        <v>305</v>
      </c>
      <c r="D19" s="206">
        <v>2E-3</v>
      </c>
    </row>
    <row r="20" spans="2:4" ht="24" customHeight="1" x14ac:dyDescent="0.25">
      <c r="B20" s="283" t="s">
        <v>231</v>
      </c>
      <c r="C20" s="283" t="s">
        <v>306</v>
      </c>
      <c r="D20" s="206">
        <v>0.03</v>
      </c>
    </row>
    <row r="21" spans="2:4" ht="18.75" customHeight="1" x14ac:dyDescent="0.25">
      <c r="B21" s="207"/>
    </row>
    <row r="22" spans="2:4" ht="18.75" customHeight="1" x14ac:dyDescent="0.25">
      <c r="B22" s="207"/>
    </row>
    <row r="23" spans="2:4" ht="18.75" customHeight="1" x14ac:dyDescent="0.25">
      <c r="B23" s="207"/>
    </row>
    <row r="24" spans="2:4" ht="18.75" customHeight="1" x14ac:dyDescent="0.25">
      <c r="B24" s="207"/>
    </row>
    <row r="27" spans="2:4" x14ac:dyDescent="0.25">
      <c r="B27" s="4" t="s">
        <v>307</v>
      </c>
      <c r="C27" s="14"/>
    </row>
    <row r="28" spans="2:4" x14ac:dyDescent="0.25">
      <c r="B28" s="208" t="s">
        <v>76</v>
      </c>
      <c r="C28" s="14"/>
    </row>
    <row r="29" spans="2:4" x14ac:dyDescent="0.25">
      <c r="B29" s="4"/>
      <c r="C29" s="14"/>
    </row>
    <row r="30" spans="2:4" x14ac:dyDescent="0.25">
      <c r="B30" s="4" t="s">
        <v>272</v>
      </c>
      <c r="C30" s="14"/>
    </row>
    <row r="31" spans="2:4" x14ac:dyDescent="0.25">
      <c r="B31" s="208" t="s">
        <v>78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H13" sqref="H13"/>
    </sheetView>
  </sheetViews>
  <sheetFormatPr defaultRowHeight="15" x14ac:dyDescent="0.25"/>
  <cols>
    <col min="1" max="1" width="9.140625" style="190" customWidth="1"/>
    <col min="2" max="2" width="44.85546875" style="190" customWidth="1"/>
    <col min="3" max="3" width="13" style="190" customWidth="1"/>
    <col min="4" max="4" width="22.85546875" style="190" customWidth="1"/>
    <col min="5" max="5" width="21.5703125" style="190" customWidth="1"/>
    <col min="6" max="6" width="43.85546875" style="190" customWidth="1"/>
    <col min="7" max="7" width="9.140625" style="190" customWidth="1"/>
  </cols>
  <sheetData>
    <row r="2" spans="1:7" ht="17.25" customHeight="1" x14ac:dyDescent="0.25">
      <c r="A2" s="325" t="s">
        <v>308</v>
      </c>
      <c r="B2" s="325"/>
      <c r="C2" s="325"/>
      <c r="D2" s="325"/>
      <c r="E2" s="325"/>
      <c r="F2" s="325"/>
    </row>
    <row r="4" spans="1:7" ht="18" customHeight="1" x14ac:dyDescent="0.25">
      <c r="A4" s="191" t="s">
        <v>309</v>
      </c>
      <c r="B4" s="192"/>
      <c r="C4" s="192"/>
      <c r="D4" s="192"/>
      <c r="E4" s="192"/>
      <c r="F4" s="192"/>
      <c r="G4" s="192"/>
    </row>
    <row r="5" spans="1:7" ht="15.75" customHeight="1" x14ac:dyDescent="0.25">
      <c r="A5" s="193" t="s">
        <v>13</v>
      </c>
      <c r="B5" s="193" t="s">
        <v>310</v>
      </c>
      <c r="C5" s="193" t="s">
        <v>311</v>
      </c>
      <c r="D5" s="193" t="s">
        <v>312</v>
      </c>
      <c r="E5" s="193" t="s">
        <v>313</v>
      </c>
      <c r="F5" s="193" t="s">
        <v>314</v>
      </c>
      <c r="G5" s="192"/>
    </row>
    <row r="6" spans="1:7" ht="15.75" customHeight="1" x14ac:dyDescent="0.25">
      <c r="A6" s="193">
        <v>1</v>
      </c>
      <c r="B6" s="193">
        <v>2</v>
      </c>
      <c r="C6" s="193">
        <v>3</v>
      </c>
      <c r="D6" s="193">
        <v>4</v>
      </c>
      <c r="E6" s="193">
        <v>5</v>
      </c>
      <c r="F6" s="193">
        <v>6</v>
      </c>
      <c r="G6" s="192"/>
    </row>
    <row r="7" spans="1:7" ht="110.25" customHeight="1" x14ac:dyDescent="0.25">
      <c r="A7" s="194" t="s">
        <v>315</v>
      </c>
      <c r="B7" s="195" t="s">
        <v>316</v>
      </c>
      <c r="C7" s="196" t="s">
        <v>317</v>
      </c>
      <c r="D7" s="196" t="s">
        <v>318</v>
      </c>
      <c r="E7" s="197">
        <v>47872.94</v>
      </c>
      <c r="F7" s="195" t="s">
        <v>319</v>
      </c>
      <c r="G7" s="192"/>
    </row>
    <row r="8" spans="1:7" ht="31.5" customHeight="1" x14ac:dyDescent="0.25">
      <c r="A8" s="194" t="s">
        <v>320</v>
      </c>
      <c r="B8" s="195" t="s">
        <v>321</v>
      </c>
      <c r="C8" s="196" t="s">
        <v>322</v>
      </c>
      <c r="D8" s="196" t="s">
        <v>323</v>
      </c>
      <c r="E8" s="197">
        <f>1973/12</f>
        <v>164.41666666667001</v>
      </c>
      <c r="F8" s="165" t="s">
        <v>324</v>
      </c>
      <c r="G8" s="166"/>
    </row>
    <row r="9" spans="1:7" ht="15.75" customHeight="1" x14ac:dyDescent="0.25">
      <c r="A9" s="194" t="s">
        <v>325</v>
      </c>
      <c r="B9" s="195" t="s">
        <v>326</v>
      </c>
      <c r="C9" s="196" t="s">
        <v>327</v>
      </c>
      <c r="D9" s="196" t="s">
        <v>318</v>
      </c>
      <c r="E9" s="197">
        <v>1</v>
      </c>
      <c r="F9" s="165"/>
      <c r="G9" s="167"/>
    </row>
    <row r="10" spans="1:7" ht="15.75" customHeight="1" x14ac:dyDescent="0.25">
      <c r="A10" s="194" t="s">
        <v>328</v>
      </c>
      <c r="B10" s="195" t="s">
        <v>329</v>
      </c>
      <c r="C10" s="196"/>
      <c r="D10" s="196"/>
      <c r="E10" s="198">
        <v>3.8</v>
      </c>
      <c r="F10" s="165" t="s">
        <v>330</v>
      </c>
      <c r="G10" s="167"/>
    </row>
    <row r="11" spans="1:7" ht="78.75" customHeight="1" x14ac:dyDescent="0.25">
      <c r="A11" s="194" t="s">
        <v>331</v>
      </c>
      <c r="B11" s="195" t="s">
        <v>332</v>
      </c>
      <c r="C11" s="196" t="s">
        <v>333</v>
      </c>
      <c r="D11" s="196" t="s">
        <v>318</v>
      </c>
      <c r="E11" s="199">
        <v>1.3080000000000001</v>
      </c>
      <c r="F11" s="195" t="s">
        <v>334</v>
      </c>
      <c r="G11" s="192"/>
    </row>
    <row r="12" spans="1:7" ht="78.75" customHeight="1" x14ac:dyDescent="0.25">
      <c r="A12" s="194" t="s">
        <v>335</v>
      </c>
      <c r="B12" s="200" t="s">
        <v>336</v>
      </c>
      <c r="C12" s="196" t="s">
        <v>337</v>
      </c>
      <c r="D12" s="196" t="s">
        <v>318</v>
      </c>
      <c r="E12" s="201">
        <v>1.139</v>
      </c>
      <c r="F12" s="202" t="s">
        <v>338</v>
      </c>
      <c r="G12" s="167"/>
    </row>
    <row r="13" spans="1:7" ht="63" customHeight="1" x14ac:dyDescent="0.25">
      <c r="A13" s="194" t="s">
        <v>339</v>
      </c>
      <c r="B13" s="203" t="s">
        <v>340</v>
      </c>
      <c r="C13" s="196" t="s">
        <v>341</v>
      </c>
      <c r="D13" s="196" t="s">
        <v>342</v>
      </c>
      <c r="E13" s="204">
        <f>((E7*E9/E8)*E11)*E12</f>
        <v>433.78619657747998</v>
      </c>
      <c r="F13" s="195" t="s">
        <v>343</v>
      </c>
      <c r="G13" s="19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67" t="s">
        <v>344</v>
      </c>
      <c r="B1" s="367"/>
      <c r="C1" s="367"/>
      <c r="D1" s="367"/>
      <c r="E1" s="367"/>
      <c r="F1" s="367"/>
      <c r="G1" s="367"/>
      <c r="H1" s="367"/>
      <c r="I1" s="367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20" t="e">
        <f>#REF!</f>
        <v>#REF!</v>
      </c>
      <c r="B3" s="320"/>
      <c r="C3" s="320"/>
      <c r="D3" s="320"/>
      <c r="E3" s="320"/>
      <c r="F3" s="320"/>
      <c r="G3" s="320"/>
      <c r="H3" s="320"/>
      <c r="I3" s="320"/>
    </row>
    <row r="4" spans="1:13" s="4" customFormat="1" ht="15.75" customHeight="1" x14ac:dyDescent="0.2">
      <c r="A4" s="368"/>
      <c r="B4" s="368"/>
      <c r="C4" s="368"/>
      <c r="D4" s="368"/>
      <c r="E4" s="368"/>
      <c r="F4" s="368"/>
      <c r="G4" s="368"/>
      <c r="H4" s="368"/>
      <c r="I4" s="368"/>
    </row>
    <row r="5" spans="1:13" s="32" customFormat="1" ht="36.6" customHeight="1" x14ac:dyDescent="0.35">
      <c r="A5" s="369" t="s">
        <v>13</v>
      </c>
      <c r="B5" s="369" t="s">
        <v>345</v>
      </c>
      <c r="C5" s="369" t="s">
        <v>346</v>
      </c>
      <c r="D5" s="369" t="s">
        <v>347</v>
      </c>
      <c r="E5" s="364" t="s">
        <v>348</v>
      </c>
      <c r="F5" s="364"/>
      <c r="G5" s="364"/>
      <c r="H5" s="364"/>
      <c r="I5" s="364"/>
    </row>
    <row r="6" spans="1:13" s="27" customFormat="1" ht="31.5" customHeight="1" x14ac:dyDescent="0.2">
      <c r="A6" s="369"/>
      <c r="B6" s="369"/>
      <c r="C6" s="369"/>
      <c r="D6" s="369"/>
      <c r="E6" s="33" t="s">
        <v>85</v>
      </c>
      <c r="F6" s="33" t="s">
        <v>86</v>
      </c>
      <c r="G6" s="33" t="s">
        <v>43</v>
      </c>
      <c r="H6" s="33" t="s">
        <v>349</v>
      </c>
      <c r="I6" s="33" t="s">
        <v>350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219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351</v>
      </c>
      <c r="C9" s="9" t="s">
        <v>352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353</v>
      </c>
      <c r="C11" s="9" t="s">
        <v>301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108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354</v>
      </c>
      <c r="C12" s="9" t="s">
        <v>355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356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304</v>
      </c>
      <c r="C14" s="9" t="s">
        <v>357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358</v>
      </c>
      <c r="C16" s="9" t="s">
        <v>359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360</v>
      </c>
    </row>
    <row r="17" spans="1:10" s="27" customFormat="1" ht="81.75" customHeight="1" x14ac:dyDescent="0.2">
      <c r="A17" s="34">
        <v>7</v>
      </c>
      <c r="B17" s="9" t="s">
        <v>358</v>
      </c>
      <c r="C17" s="137" t="s">
        <v>361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362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363</v>
      </c>
      <c r="C20" s="9" t="s">
        <v>231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364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365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366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367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368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71" t="s">
        <v>369</v>
      </c>
      <c r="O2" s="371"/>
    </row>
    <row r="3" spans="1:16" x14ac:dyDescent="0.25">
      <c r="A3" s="372" t="s">
        <v>370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</row>
    <row r="5" spans="1:16" s="50" customFormat="1" ht="37.5" customHeight="1" x14ac:dyDescent="0.25">
      <c r="A5" s="373" t="s">
        <v>371</v>
      </c>
      <c r="B5" s="376" t="s">
        <v>372</v>
      </c>
      <c r="C5" s="379" t="s">
        <v>373</v>
      </c>
      <c r="D5" s="382" t="s">
        <v>374</v>
      </c>
      <c r="E5" s="383"/>
      <c r="F5" s="383"/>
      <c r="G5" s="383"/>
      <c r="H5" s="383"/>
      <c r="I5" s="382" t="s">
        <v>375</v>
      </c>
      <c r="J5" s="383"/>
      <c r="K5" s="383"/>
      <c r="L5" s="383"/>
      <c r="M5" s="383"/>
      <c r="N5" s="383"/>
      <c r="O5" s="53" t="s">
        <v>376</v>
      </c>
    </row>
    <row r="6" spans="1:16" s="56" customFormat="1" ht="150" customHeight="1" x14ac:dyDescent="0.25">
      <c r="A6" s="374"/>
      <c r="B6" s="377"/>
      <c r="C6" s="380"/>
      <c r="D6" s="379" t="s">
        <v>377</v>
      </c>
      <c r="E6" s="384" t="s">
        <v>378</v>
      </c>
      <c r="F6" s="385"/>
      <c r="G6" s="386"/>
      <c r="H6" s="54" t="s">
        <v>379</v>
      </c>
      <c r="I6" s="387" t="s">
        <v>380</v>
      </c>
      <c r="J6" s="387" t="s">
        <v>377</v>
      </c>
      <c r="K6" s="388" t="s">
        <v>378</v>
      </c>
      <c r="L6" s="388"/>
      <c r="M6" s="388"/>
      <c r="N6" s="54" t="s">
        <v>379</v>
      </c>
      <c r="O6" s="55" t="s">
        <v>381</v>
      </c>
    </row>
    <row r="7" spans="1:16" s="56" customFormat="1" ht="30.75" customHeight="1" x14ac:dyDescent="0.25">
      <c r="A7" s="375"/>
      <c r="B7" s="378"/>
      <c r="C7" s="381"/>
      <c r="D7" s="381"/>
      <c r="E7" s="53" t="s">
        <v>85</v>
      </c>
      <c r="F7" s="53" t="s">
        <v>86</v>
      </c>
      <c r="G7" s="53" t="s">
        <v>43</v>
      </c>
      <c r="H7" s="57" t="s">
        <v>382</v>
      </c>
      <c r="I7" s="387"/>
      <c r="J7" s="387"/>
      <c r="K7" s="53" t="s">
        <v>85</v>
      </c>
      <c r="L7" s="53" t="s">
        <v>86</v>
      </c>
      <c r="M7" s="53" t="s">
        <v>43</v>
      </c>
      <c r="N7" s="57" t="s">
        <v>382</v>
      </c>
      <c r="O7" s="53" t="s">
        <v>383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73" t="s">
        <v>384</v>
      </c>
      <c r="C9" s="59" t="s">
        <v>385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75"/>
      <c r="C10" s="63" t="s">
        <v>386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73" t="s">
        <v>387</v>
      </c>
      <c r="C11" s="63" t="s">
        <v>388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75"/>
      <c r="C12" s="63" t="s">
        <v>389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73" t="s">
        <v>390</v>
      </c>
      <c r="C13" s="59" t="s">
        <v>391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75"/>
      <c r="C14" s="63" t="s">
        <v>392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393</v>
      </c>
      <c r="C15" s="63" t="s">
        <v>394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395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396</v>
      </c>
    </row>
    <row r="19" spans="1:15" ht="30.75" customHeight="1" x14ac:dyDescent="0.25">
      <c r="L19" s="75"/>
    </row>
    <row r="20" spans="1:15" ht="15" customHeight="1" outlineLevel="1" x14ac:dyDescent="0.25">
      <c r="G20" s="370" t="s">
        <v>397</v>
      </c>
      <c r="H20" s="370"/>
      <c r="I20" s="370"/>
      <c r="J20" s="370"/>
      <c r="K20" s="370"/>
      <c r="L20" s="370"/>
      <c r="M20" s="370"/>
      <c r="N20" s="370"/>
      <c r="O20" s="52"/>
    </row>
    <row r="21" spans="1:15" ht="15.75" customHeight="1" outlineLevel="1" x14ac:dyDescent="0.25">
      <c r="G21" s="76"/>
      <c r="H21" s="76" t="s">
        <v>398</v>
      </c>
      <c r="I21" s="76" t="s">
        <v>399</v>
      </c>
      <c r="J21" s="77" t="s">
        <v>400</v>
      </c>
      <c r="K21" s="78" t="s">
        <v>401</v>
      </c>
      <c r="L21" s="76" t="s">
        <v>402</v>
      </c>
      <c r="M21" s="76" t="s">
        <v>403</v>
      </c>
      <c r="N21" s="77" t="s">
        <v>404</v>
      </c>
      <c r="O21" s="79"/>
    </row>
    <row r="22" spans="1:15" ht="15.75" customHeight="1" outlineLevel="1" x14ac:dyDescent="0.25">
      <c r="G22" s="390" t="s">
        <v>405</v>
      </c>
      <c r="H22" s="389">
        <v>6.09</v>
      </c>
      <c r="I22" s="391">
        <v>6.44</v>
      </c>
      <c r="J22" s="389">
        <v>5.77</v>
      </c>
      <c r="K22" s="391">
        <v>5.77</v>
      </c>
      <c r="L22" s="389">
        <v>5.23</v>
      </c>
      <c r="M22" s="389">
        <v>5.77</v>
      </c>
      <c r="N22" s="80">
        <v>6.29</v>
      </c>
      <c r="O22" s="51" t="s">
        <v>406</v>
      </c>
    </row>
    <row r="23" spans="1:15" ht="15.75" customHeight="1" outlineLevel="1" x14ac:dyDescent="0.25">
      <c r="G23" s="390"/>
      <c r="H23" s="389"/>
      <c r="I23" s="391"/>
      <c r="J23" s="389"/>
      <c r="K23" s="391"/>
      <c r="L23" s="389"/>
      <c r="M23" s="389"/>
      <c r="N23" s="80">
        <v>6.56</v>
      </c>
      <c r="O23" s="51" t="s">
        <v>407</v>
      </c>
    </row>
    <row r="24" spans="1:15" ht="15.75" customHeight="1" outlineLevel="1" x14ac:dyDescent="0.25">
      <c r="G24" s="81" t="s">
        <v>408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382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409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410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349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07" t="s">
        <v>411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</row>
    <row r="4" spans="1:18" ht="36.75" customHeight="1" x14ac:dyDescent="0.25">
      <c r="A4" s="373" t="s">
        <v>371</v>
      </c>
      <c r="B4" s="376" t="s">
        <v>372</v>
      </c>
      <c r="C4" s="379" t="s">
        <v>412</v>
      </c>
      <c r="D4" s="379" t="s">
        <v>413</v>
      </c>
      <c r="E4" s="382" t="s">
        <v>414</v>
      </c>
      <c r="F4" s="383"/>
      <c r="G4" s="383"/>
      <c r="H4" s="383"/>
      <c r="I4" s="383"/>
      <c r="J4" s="383"/>
      <c r="K4" s="383"/>
      <c r="L4" s="383"/>
      <c r="M4" s="383"/>
      <c r="N4" s="408" t="s">
        <v>415</v>
      </c>
      <c r="O4" s="409"/>
      <c r="P4" s="409"/>
      <c r="Q4" s="409"/>
      <c r="R4" s="410"/>
    </row>
    <row r="5" spans="1:18" ht="60" customHeight="1" x14ac:dyDescent="0.25">
      <c r="A5" s="374"/>
      <c r="B5" s="377"/>
      <c r="C5" s="380"/>
      <c r="D5" s="380"/>
      <c r="E5" s="387" t="s">
        <v>416</v>
      </c>
      <c r="F5" s="387" t="s">
        <v>417</v>
      </c>
      <c r="G5" s="384" t="s">
        <v>378</v>
      </c>
      <c r="H5" s="385"/>
      <c r="I5" s="385"/>
      <c r="J5" s="386"/>
      <c r="K5" s="387" t="s">
        <v>418</v>
      </c>
      <c r="L5" s="387"/>
      <c r="M5" s="387"/>
      <c r="N5" s="89" t="s">
        <v>419</v>
      </c>
      <c r="O5" s="89" t="s">
        <v>420</v>
      </c>
      <c r="P5" s="90" t="s">
        <v>421</v>
      </c>
      <c r="Q5" s="91" t="s">
        <v>422</v>
      </c>
      <c r="R5" s="90" t="s">
        <v>423</v>
      </c>
    </row>
    <row r="6" spans="1:18" ht="49.5" customHeight="1" x14ac:dyDescent="0.25">
      <c r="A6" s="375"/>
      <c r="B6" s="378"/>
      <c r="C6" s="381"/>
      <c r="D6" s="381"/>
      <c r="E6" s="387"/>
      <c r="F6" s="387"/>
      <c r="G6" s="53" t="s">
        <v>85</v>
      </c>
      <c r="H6" s="53" t="s">
        <v>86</v>
      </c>
      <c r="I6" s="92" t="s">
        <v>43</v>
      </c>
      <c r="J6" s="92" t="s">
        <v>349</v>
      </c>
      <c r="K6" s="53" t="s">
        <v>419</v>
      </c>
      <c r="L6" s="53" t="s">
        <v>420</v>
      </c>
      <c r="M6" s="53" t="s">
        <v>421</v>
      </c>
      <c r="N6" s="92" t="s">
        <v>424</v>
      </c>
      <c r="O6" s="92" t="s">
        <v>425</v>
      </c>
      <c r="P6" s="92" t="s">
        <v>426</v>
      </c>
      <c r="Q6" s="93" t="s">
        <v>427</v>
      </c>
      <c r="R6" s="94" t="s">
        <v>428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73">
        <v>1</v>
      </c>
      <c r="B9" s="373" t="s">
        <v>429</v>
      </c>
      <c r="C9" s="400" t="s">
        <v>385</v>
      </c>
      <c r="D9" s="99" t="s">
        <v>430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375"/>
      <c r="B10" s="374"/>
      <c r="C10" s="401"/>
      <c r="D10" s="99" t="s">
        <v>431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73">
        <v>2</v>
      </c>
      <c r="B11" s="374"/>
      <c r="C11" s="400" t="s">
        <v>432</v>
      </c>
      <c r="D11" s="104" t="s">
        <v>430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75"/>
      <c r="B12" s="375"/>
      <c r="C12" s="401"/>
      <c r="D12" s="104" t="s">
        <v>431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73">
        <v>3</v>
      </c>
      <c r="B13" s="373" t="s">
        <v>387</v>
      </c>
      <c r="C13" s="403" t="s">
        <v>388</v>
      </c>
      <c r="D13" s="99" t="s">
        <v>433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375"/>
      <c r="B14" s="374"/>
      <c r="C14" s="404"/>
      <c r="D14" s="99" t="s">
        <v>431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73">
        <v>4</v>
      </c>
      <c r="B15" s="374"/>
      <c r="C15" s="405" t="s">
        <v>389</v>
      </c>
      <c r="D15" s="105" t="s">
        <v>433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75"/>
      <c r="B16" s="375"/>
      <c r="C16" s="406"/>
      <c r="D16" s="105" t="s">
        <v>431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73">
        <v>5</v>
      </c>
      <c r="B17" s="388" t="s">
        <v>390</v>
      </c>
      <c r="C17" s="400" t="s">
        <v>434</v>
      </c>
      <c r="D17" s="99" t="s">
        <v>435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75"/>
      <c r="B18" s="388"/>
      <c r="C18" s="401"/>
      <c r="D18" s="99" t="s">
        <v>431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73">
        <v>6</v>
      </c>
      <c r="B19" s="388"/>
      <c r="C19" s="400" t="s">
        <v>392</v>
      </c>
      <c r="D19" s="105" t="s">
        <v>433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75"/>
      <c r="B20" s="388"/>
      <c r="C20" s="401"/>
      <c r="D20" s="105" t="s">
        <v>431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73">
        <v>7</v>
      </c>
      <c r="B21" s="373" t="s">
        <v>393</v>
      </c>
      <c r="C21" s="400" t="s">
        <v>394</v>
      </c>
      <c r="D21" s="105" t="s">
        <v>436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75"/>
      <c r="B22" s="375"/>
      <c r="C22" s="401"/>
      <c r="D22" s="106" t="s">
        <v>431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437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02" t="s">
        <v>438</v>
      </c>
      <c r="E26" s="402"/>
      <c r="F26" s="402"/>
      <c r="G26" s="402"/>
      <c r="H26" s="402"/>
      <c r="I26" s="402"/>
      <c r="J26" s="402"/>
      <c r="K26" s="402"/>
      <c r="L26" s="121"/>
      <c r="R26" s="122"/>
    </row>
    <row r="27" spans="1:18" outlineLevel="1" x14ac:dyDescent="0.25">
      <c r="D27" s="123"/>
      <c r="E27" s="123" t="s">
        <v>398</v>
      </c>
      <c r="F27" s="123" t="s">
        <v>399</v>
      </c>
      <c r="G27" s="123" t="s">
        <v>400</v>
      </c>
      <c r="H27" s="124" t="s">
        <v>401</v>
      </c>
      <c r="I27" s="124" t="s">
        <v>402</v>
      </c>
      <c r="J27" s="124" t="s">
        <v>403</v>
      </c>
      <c r="K27" s="111" t="s">
        <v>404</v>
      </c>
      <c r="L27" s="52"/>
    </row>
    <row r="28" spans="1:18" outlineLevel="1" x14ac:dyDescent="0.25">
      <c r="D28" s="396" t="s">
        <v>405</v>
      </c>
      <c r="E28" s="394">
        <v>6.09</v>
      </c>
      <c r="F28" s="398">
        <v>6.63</v>
      </c>
      <c r="G28" s="394">
        <v>5.77</v>
      </c>
      <c r="H28" s="392">
        <v>5.77</v>
      </c>
      <c r="I28" s="392">
        <v>6.35</v>
      </c>
      <c r="J28" s="394">
        <v>5.77</v>
      </c>
      <c r="K28" s="125">
        <v>6.29</v>
      </c>
      <c r="L28" s="87" t="s">
        <v>406</v>
      </c>
      <c r="M28" s="52"/>
    </row>
    <row r="29" spans="1:18" outlineLevel="1" x14ac:dyDescent="0.25">
      <c r="D29" s="397"/>
      <c r="E29" s="395"/>
      <c r="F29" s="399"/>
      <c r="G29" s="395"/>
      <c r="H29" s="393"/>
      <c r="I29" s="393"/>
      <c r="J29" s="395"/>
      <c r="K29" s="125">
        <v>6.56</v>
      </c>
      <c r="L29" s="87" t="s">
        <v>407</v>
      </c>
      <c r="M29" s="52"/>
    </row>
    <row r="30" spans="1:18" outlineLevel="1" x14ac:dyDescent="0.25">
      <c r="D30" s="126" t="s">
        <v>408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396" t="s">
        <v>382</v>
      </c>
      <c r="E31" s="394">
        <v>11.37</v>
      </c>
      <c r="F31" s="398">
        <v>13.56</v>
      </c>
      <c r="G31" s="394">
        <v>15.91</v>
      </c>
      <c r="H31" s="392">
        <v>15.91</v>
      </c>
      <c r="I31" s="392">
        <v>14.03</v>
      </c>
      <c r="J31" s="394">
        <v>15.91</v>
      </c>
      <c r="K31" s="125">
        <v>8.2899999999999991</v>
      </c>
      <c r="L31" s="87" t="s">
        <v>406</v>
      </c>
      <c r="R31" s="116"/>
    </row>
    <row r="32" spans="1:18" s="87" customFormat="1" outlineLevel="1" x14ac:dyDescent="0.25">
      <c r="D32" s="397"/>
      <c r="E32" s="395"/>
      <c r="F32" s="399"/>
      <c r="G32" s="395"/>
      <c r="H32" s="393"/>
      <c r="I32" s="393"/>
      <c r="J32" s="395"/>
      <c r="K32" s="125">
        <v>11.84</v>
      </c>
      <c r="L32" s="87" t="s">
        <v>407</v>
      </c>
      <c r="R32" s="116"/>
    </row>
    <row r="33" spans="4:18" s="87" customFormat="1" ht="15" customHeight="1" outlineLevel="1" x14ac:dyDescent="0.25">
      <c r="D33" s="129" t="s">
        <v>409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439</v>
      </c>
      <c r="R33" s="116"/>
    </row>
    <row r="34" spans="4:18" s="87" customFormat="1" outlineLevel="1" x14ac:dyDescent="0.25">
      <c r="D34" s="129" t="s">
        <v>410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439</v>
      </c>
      <c r="R34" s="116"/>
    </row>
    <row r="35" spans="4:18" s="87" customFormat="1" outlineLevel="1" x14ac:dyDescent="0.25">
      <c r="D35" s="126" t="s">
        <v>349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7" t="s">
        <v>10</v>
      </c>
      <c r="B2" s="317"/>
      <c r="C2" s="317"/>
      <c r="D2" s="317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2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0"/>
    </row>
    <row r="5" spans="1:4" x14ac:dyDescent="0.25">
      <c r="A5" s="6"/>
      <c r="B5" s="1"/>
      <c r="C5" s="1"/>
    </row>
    <row r="6" spans="1:4" x14ac:dyDescent="0.25">
      <c r="A6" s="317" t="s">
        <v>12</v>
      </c>
      <c r="B6" s="317"/>
      <c r="C6" s="317"/>
      <c r="D6" s="317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1" t="s">
        <v>5</v>
      </c>
      <c r="B15" s="322" t="s">
        <v>15</v>
      </c>
      <c r="C15" s="322"/>
      <c r="D15" s="322"/>
    </row>
    <row r="16" spans="1:4" x14ac:dyDescent="0.25">
      <c r="A16" s="321"/>
      <c r="B16" s="321" t="s">
        <v>17</v>
      </c>
      <c r="C16" s="322" t="s">
        <v>28</v>
      </c>
      <c r="D16" s="322"/>
    </row>
    <row r="17" spans="1:4" ht="39" customHeight="1" x14ac:dyDescent="0.25">
      <c r="A17" s="321"/>
      <c r="B17" s="321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3" t="s">
        <v>29</v>
      </c>
      <c r="B2" s="323"/>
      <c r="C2" s="323"/>
      <c r="D2" s="323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22" zoomScale="70" zoomScaleNormal="55" workbookViewId="0">
      <selection activeCell="D27" sqref="D27"/>
    </sheetView>
  </sheetViews>
  <sheetFormatPr defaultColWidth="9.140625" defaultRowHeight="15.75" x14ac:dyDescent="0.25"/>
  <cols>
    <col min="1" max="2" width="9.140625" style="168"/>
    <col min="3" max="3" width="36.85546875" style="168" customWidth="1"/>
    <col min="4" max="4" width="41.7109375" style="168" customWidth="1"/>
    <col min="5" max="6" width="36.5703125" style="168" hidden="1" customWidth="1"/>
    <col min="7" max="11" width="9.140625" style="168"/>
    <col min="12" max="12" width="14.7109375" style="168" customWidth="1"/>
    <col min="13" max="13" width="17.7109375" style="168" customWidth="1"/>
    <col min="14" max="14" width="9.140625" style="168"/>
  </cols>
  <sheetData>
    <row r="3" spans="2:6" x14ac:dyDescent="0.25">
      <c r="B3" s="324" t="s">
        <v>45</v>
      </c>
      <c r="C3" s="324"/>
      <c r="D3" s="324"/>
      <c r="E3" s="324"/>
      <c r="F3" s="324"/>
    </row>
    <row r="4" spans="2:6" x14ac:dyDescent="0.25">
      <c r="B4" s="325" t="s">
        <v>46</v>
      </c>
      <c r="C4" s="325"/>
      <c r="D4" s="325"/>
      <c r="E4" s="325"/>
      <c r="F4" s="325"/>
    </row>
    <row r="5" spans="2:6" x14ac:dyDescent="0.25">
      <c r="B5" s="169"/>
      <c r="C5" s="169"/>
      <c r="D5" s="169"/>
      <c r="E5" s="169"/>
      <c r="F5" s="169"/>
    </row>
    <row r="6" spans="2:6" x14ac:dyDescent="0.25">
      <c r="B6" s="169"/>
      <c r="C6" s="169"/>
      <c r="D6" s="169"/>
      <c r="E6" s="169"/>
      <c r="F6" s="169"/>
    </row>
    <row r="7" spans="2:6" ht="48.75" customHeight="1" x14ac:dyDescent="0.25">
      <c r="B7" s="326" t="s">
        <v>47</v>
      </c>
      <c r="C7" s="326"/>
      <c r="D7" s="326"/>
      <c r="E7" s="326"/>
      <c r="F7" s="326"/>
    </row>
    <row r="8" spans="2:6" ht="31.5" customHeight="1" x14ac:dyDescent="0.25">
      <c r="B8" s="326" t="s">
        <v>48</v>
      </c>
      <c r="C8" s="326"/>
      <c r="D8" s="326"/>
      <c r="E8" s="326"/>
      <c r="F8" s="326"/>
    </row>
    <row r="9" spans="2:6" x14ac:dyDescent="0.25">
      <c r="B9" s="326" t="s">
        <v>49</v>
      </c>
      <c r="C9" s="326"/>
      <c r="D9" s="326"/>
      <c r="E9" s="326"/>
      <c r="F9" s="326"/>
    </row>
    <row r="10" spans="2:6" x14ac:dyDescent="0.25">
      <c r="B10" s="282"/>
    </row>
    <row r="11" spans="2:6" x14ac:dyDescent="0.25">
      <c r="B11" s="283" t="s">
        <v>33</v>
      </c>
      <c r="C11" s="283" t="s">
        <v>50</v>
      </c>
      <c r="D11" s="313" t="s">
        <v>51</v>
      </c>
      <c r="E11" s="170"/>
      <c r="F11" s="170"/>
    </row>
    <row r="12" spans="2:6" ht="31.5" customHeight="1" x14ac:dyDescent="0.25">
      <c r="B12" s="283">
        <v>1</v>
      </c>
      <c r="C12" s="170" t="s">
        <v>52</v>
      </c>
      <c r="D12" s="316" t="s">
        <v>53</v>
      </c>
      <c r="E12" s="170"/>
      <c r="F12" s="170"/>
    </row>
    <row r="13" spans="2:6" ht="31.5" customHeight="1" x14ac:dyDescent="0.25">
      <c r="B13" s="283">
        <v>2</v>
      </c>
      <c r="C13" s="170" t="s">
        <v>54</v>
      </c>
      <c r="D13" s="316" t="s">
        <v>55</v>
      </c>
      <c r="E13" s="170"/>
      <c r="F13" s="170"/>
    </row>
    <row r="14" spans="2:6" x14ac:dyDescent="0.25">
      <c r="B14" s="283">
        <v>3</v>
      </c>
      <c r="C14" s="170" t="s">
        <v>56</v>
      </c>
      <c r="D14" s="316" t="s">
        <v>57</v>
      </c>
      <c r="E14" s="170"/>
      <c r="F14" s="170"/>
    </row>
    <row r="15" spans="2:6" x14ac:dyDescent="0.25">
      <c r="B15" s="283">
        <v>4</v>
      </c>
      <c r="C15" s="170" t="s">
        <v>58</v>
      </c>
      <c r="D15" s="313">
        <v>1</v>
      </c>
      <c r="E15" s="171"/>
      <c r="F15" s="171"/>
    </row>
    <row r="16" spans="2:6" ht="110.25" customHeight="1" x14ac:dyDescent="0.25">
      <c r="B16" s="283">
        <v>5</v>
      </c>
      <c r="C16" s="172" t="s">
        <v>59</v>
      </c>
      <c r="D16" s="171" t="s">
        <v>60</v>
      </c>
      <c r="E16" s="170"/>
      <c r="F16" s="170"/>
    </row>
    <row r="17" spans="2:12" ht="78.75" customHeight="1" x14ac:dyDescent="0.25">
      <c r="B17" s="283">
        <v>6</v>
      </c>
      <c r="C17" s="172" t="s">
        <v>61</v>
      </c>
      <c r="D17" s="173">
        <f>D18+D19</f>
        <v>11076.858511599999</v>
      </c>
      <c r="E17" s="173"/>
      <c r="F17" s="173"/>
    </row>
    <row r="18" spans="2:12" x14ac:dyDescent="0.25">
      <c r="B18" s="174" t="s">
        <v>62</v>
      </c>
      <c r="C18" s="170" t="s">
        <v>63</v>
      </c>
      <c r="D18" s="173">
        <f>'Прил.2 Расч стоим'!F12</f>
        <v>4886.9304959999999</v>
      </c>
      <c r="E18" s="173"/>
      <c r="F18" s="173"/>
    </row>
    <row r="19" spans="2:12" ht="15.75" customHeight="1" x14ac:dyDescent="0.25">
      <c r="B19" s="174" t="s">
        <v>64</v>
      </c>
      <c r="C19" s="170" t="s">
        <v>65</v>
      </c>
      <c r="D19" s="173">
        <f>'Прил.2 Расч стоим'!H12</f>
        <v>6189.9280156000004</v>
      </c>
      <c r="E19" s="173"/>
      <c r="F19" s="173"/>
    </row>
    <row r="20" spans="2:12" ht="16.5" customHeight="1" x14ac:dyDescent="0.25">
      <c r="B20" s="174" t="s">
        <v>66</v>
      </c>
      <c r="C20" s="170" t="s">
        <v>67</v>
      </c>
      <c r="D20" s="173"/>
      <c r="E20" s="173"/>
      <c r="F20" s="173"/>
      <c r="L20" s="260"/>
    </row>
    <row r="21" spans="2:12" ht="35.25" customHeight="1" x14ac:dyDescent="0.25">
      <c r="B21" s="174" t="s">
        <v>68</v>
      </c>
      <c r="C21" s="175" t="s">
        <v>69</v>
      </c>
      <c r="D21" s="173"/>
      <c r="E21" s="173"/>
      <c r="F21" s="173"/>
    </row>
    <row r="22" spans="2:12" x14ac:dyDescent="0.25">
      <c r="B22" s="283">
        <v>7</v>
      </c>
      <c r="C22" s="175" t="s">
        <v>70</v>
      </c>
      <c r="D22" s="283" t="s">
        <v>71</v>
      </c>
      <c r="E22" s="283"/>
      <c r="F22" s="173"/>
      <c r="G22" s="256"/>
    </row>
    <row r="23" spans="2:12" ht="123" customHeight="1" x14ac:dyDescent="0.25">
      <c r="B23" s="283">
        <v>8</v>
      </c>
      <c r="C23" s="176" t="s">
        <v>72</v>
      </c>
      <c r="D23" s="173">
        <f>D17</f>
        <v>11076.858511599999</v>
      </c>
      <c r="E23" s="173"/>
      <c r="F23" s="177"/>
    </row>
    <row r="24" spans="2:12" ht="60.75" customHeight="1" x14ac:dyDescent="0.25">
      <c r="B24" s="283">
        <v>9</v>
      </c>
      <c r="C24" s="172" t="s">
        <v>73</v>
      </c>
      <c r="D24" s="173">
        <f>D23/D15</f>
        <v>11076.858511599999</v>
      </c>
      <c r="E24" s="173"/>
      <c r="F24" s="173"/>
    </row>
    <row r="25" spans="2:12" ht="122.25" customHeight="1" x14ac:dyDescent="0.25">
      <c r="B25" s="283">
        <v>10</v>
      </c>
      <c r="C25" s="170" t="s">
        <v>74</v>
      </c>
      <c r="D25" s="170"/>
      <c r="E25" s="170"/>
      <c r="F25" s="170"/>
    </row>
    <row r="26" spans="2:12" x14ac:dyDescent="0.25">
      <c r="B26" s="178"/>
      <c r="C26" s="179"/>
      <c r="D26" s="179"/>
      <c r="E26" s="179"/>
      <c r="F26" s="179"/>
    </row>
    <row r="27" spans="2:12" ht="37.5" customHeight="1" x14ac:dyDescent="0.25">
      <c r="B27" s="180"/>
    </row>
    <row r="28" spans="2:12" x14ac:dyDescent="0.25">
      <c r="B28" s="168" t="s">
        <v>75</v>
      </c>
    </row>
    <row r="29" spans="2:12" x14ac:dyDescent="0.25">
      <c r="B29" s="180" t="s">
        <v>76</v>
      </c>
    </row>
    <row r="31" spans="2:12" x14ac:dyDescent="0.25">
      <c r="B31" s="168" t="s">
        <v>77</v>
      </c>
    </row>
    <row r="32" spans="2:12" x14ac:dyDescent="0.25">
      <c r="B32" s="180" t="s">
        <v>78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73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41"/>
  <sheetViews>
    <sheetView view="pageBreakPreview" zoomScale="70" zoomScaleNormal="70" workbookViewId="0">
      <selection activeCell="F22" sqref="F22"/>
    </sheetView>
  </sheetViews>
  <sheetFormatPr defaultColWidth="9.140625" defaultRowHeight="15.75" x14ac:dyDescent="0.25"/>
  <cols>
    <col min="1" max="1" width="5.5703125" style="168" customWidth="1"/>
    <col min="2" max="2" width="9.140625" style="168"/>
    <col min="3" max="3" width="35.28515625" style="168" customWidth="1"/>
    <col min="4" max="4" width="13.85546875" style="168" customWidth="1"/>
    <col min="5" max="5" width="24.85546875" style="168" customWidth="1"/>
    <col min="6" max="6" width="15.5703125" style="168" customWidth="1"/>
    <col min="7" max="7" width="14.85546875" style="168" customWidth="1"/>
    <col min="8" max="8" width="16.7109375" style="168" customWidth="1"/>
    <col min="9" max="10" width="13" style="168" customWidth="1"/>
    <col min="11" max="11" width="9.140625" style="168"/>
  </cols>
  <sheetData>
    <row r="3" spans="2:10" x14ac:dyDescent="0.25">
      <c r="B3" s="324" t="s">
        <v>79</v>
      </c>
      <c r="C3" s="324"/>
      <c r="D3" s="324"/>
      <c r="E3" s="324"/>
      <c r="F3" s="324"/>
      <c r="G3" s="324"/>
      <c r="H3" s="324"/>
      <c r="I3" s="324"/>
      <c r="J3" s="324"/>
    </row>
    <row r="4" spans="2:10" x14ac:dyDescent="0.25">
      <c r="B4" s="325" t="s">
        <v>80</v>
      </c>
      <c r="C4" s="325"/>
      <c r="D4" s="325"/>
      <c r="E4" s="325"/>
      <c r="F4" s="325"/>
      <c r="G4" s="325"/>
      <c r="H4" s="325"/>
      <c r="I4" s="325"/>
      <c r="J4" s="325"/>
    </row>
    <row r="5" spans="2:10" x14ac:dyDescent="0.25">
      <c r="B5" s="169"/>
      <c r="C5" s="169"/>
      <c r="D5" s="169"/>
      <c r="E5" s="169"/>
      <c r="F5" s="169"/>
      <c r="G5" s="169"/>
      <c r="H5" s="169"/>
      <c r="I5" s="169"/>
      <c r="J5" s="169"/>
    </row>
    <row r="6" spans="2:10" ht="30" customHeight="1" x14ac:dyDescent="0.25">
      <c r="B6" s="328" t="s">
        <v>47</v>
      </c>
      <c r="C6" s="328"/>
      <c r="D6" s="328"/>
      <c r="E6" s="328"/>
      <c r="F6" s="328"/>
      <c r="G6" s="328"/>
      <c r="H6" s="328"/>
      <c r="I6" s="328"/>
      <c r="J6" s="328"/>
    </row>
    <row r="7" spans="2:10" x14ac:dyDescent="0.25">
      <c r="B7" s="326" t="s">
        <v>49</v>
      </c>
      <c r="C7" s="326"/>
      <c r="D7" s="326"/>
      <c r="E7" s="326"/>
      <c r="F7" s="326"/>
      <c r="G7" s="326"/>
      <c r="H7" s="326"/>
      <c r="I7" s="326"/>
      <c r="J7" s="326"/>
    </row>
    <row r="8" spans="2:10" x14ac:dyDescent="0.25">
      <c r="B8" s="282"/>
    </row>
    <row r="9" spans="2:10" ht="15.75" customHeight="1" x14ac:dyDescent="0.25">
      <c r="B9" s="329" t="s">
        <v>33</v>
      </c>
      <c r="C9" s="329" t="s">
        <v>81</v>
      </c>
      <c r="D9" s="329" t="s">
        <v>51</v>
      </c>
      <c r="E9" s="329"/>
      <c r="F9" s="329"/>
      <c r="G9" s="329"/>
      <c r="H9" s="329"/>
      <c r="I9" s="329"/>
      <c r="J9" s="329"/>
    </row>
    <row r="10" spans="2:10" ht="15.75" customHeight="1" x14ac:dyDescent="0.25">
      <c r="B10" s="329"/>
      <c r="C10" s="329"/>
      <c r="D10" s="329" t="s">
        <v>82</v>
      </c>
      <c r="E10" s="329" t="s">
        <v>83</v>
      </c>
      <c r="F10" s="329" t="s">
        <v>84</v>
      </c>
      <c r="G10" s="329"/>
      <c r="H10" s="329"/>
      <c r="I10" s="329"/>
      <c r="J10" s="329"/>
    </row>
    <row r="11" spans="2:10" ht="31.5" customHeight="1" x14ac:dyDescent="0.25">
      <c r="B11" s="329"/>
      <c r="C11" s="329"/>
      <c r="D11" s="329"/>
      <c r="E11" s="329"/>
      <c r="F11" s="283" t="s">
        <v>85</v>
      </c>
      <c r="G11" s="283" t="s">
        <v>86</v>
      </c>
      <c r="H11" s="283" t="s">
        <v>43</v>
      </c>
      <c r="I11" s="283" t="s">
        <v>87</v>
      </c>
      <c r="J11" s="283" t="s">
        <v>88</v>
      </c>
    </row>
    <row r="12" spans="2:10" ht="126" customHeight="1" x14ac:dyDescent="0.25">
      <c r="B12" s="187">
        <v>1</v>
      </c>
      <c r="C12" s="277" t="s">
        <v>89</v>
      </c>
      <c r="D12" s="181"/>
      <c r="E12" s="170"/>
      <c r="F12" s="330">
        <v>4886.9304959999999</v>
      </c>
      <c r="G12" s="331"/>
      <c r="H12" s="257">
        <f>Прил.3!H26*4.78/1000</f>
        <v>6189.9280156000004</v>
      </c>
      <c r="I12" s="182"/>
      <c r="J12" s="183"/>
    </row>
    <row r="13" spans="2:10" ht="15.75" customHeight="1" x14ac:dyDescent="0.25">
      <c r="B13" s="327" t="s">
        <v>90</v>
      </c>
      <c r="C13" s="327"/>
      <c r="D13" s="327"/>
      <c r="E13" s="327"/>
      <c r="F13" s="332">
        <f>SUM(F12:F12)</f>
        <v>4886.9304959999999</v>
      </c>
      <c r="G13" s="333"/>
      <c r="H13" s="184">
        <f>SUM(H12:H12)</f>
        <v>6189.9280156000004</v>
      </c>
      <c r="I13" s="185"/>
      <c r="J13" s="186">
        <f>SUM(F13:I13)</f>
        <v>11076.858511599999</v>
      </c>
    </row>
    <row r="14" spans="2:10" ht="28.5" customHeight="1" x14ac:dyDescent="0.25">
      <c r="B14" s="327" t="s">
        <v>91</v>
      </c>
      <c r="C14" s="327"/>
      <c r="D14" s="327"/>
      <c r="E14" s="327"/>
      <c r="F14" s="332">
        <f>F13</f>
        <v>4886.9304959999999</v>
      </c>
      <c r="G14" s="333"/>
      <c r="H14" s="184">
        <f>H13</f>
        <v>6189.9280156000004</v>
      </c>
      <c r="I14" s="185"/>
      <c r="J14" s="186">
        <f>SUM(F14:I14)</f>
        <v>11076.858511599999</v>
      </c>
    </row>
    <row r="15" spans="2:10" x14ac:dyDescent="0.25">
      <c r="B15" s="282"/>
    </row>
    <row r="18" spans="2:3" x14ac:dyDescent="0.25">
      <c r="B18" s="278" t="s">
        <v>92</v>
      </c>
      <c r="C18" s="168" t="s">
        <v>93</v>
      </c>
    </row>
    <row r="22" spans="2:3" x14ac:dyDescent="0.25">
      <c r="B22" s="168" t="s">
        <v>75</v>
      </c>
    </row>
    <row r="23" spans="2:3" x14ac:dyDescent="0.25">
      <c r="B23" s="180" t="s">
        <v>76</v>
      </c>
    </row>
    <row r="25" spans="2:3" x14ac:dyDescent="0.25">
      <c r="B25" s="168" t="s">
        <v>77</v>
      </c>
    </row>
    <row r="26" spans="2:3" x14ac:dyDescent="0.25">
      <c r="B26" s="180" t="s">
        <v>78</v>
      </c>
    </row>
    <row r="41" spans="9:9" x14ac:dyDescent="0.25">
      <c r="I41" s="258"/>
    </row>
  </sheetData>
  <mergeCells count="15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62"/>
  <sheetViews>
    <sheetView view="pageBreakPreview" zoomScale="40" zoomScaleSheetLayoutView="40" workbookViewId="0">
      <selection activeCell="D67" sqref="D67"/>
    </sheetView>
  </sheetViews>
  <sheetFormatPr defaultColWidth="9.140625" defaultRowHeight="15.75" x14ac:dyDescent="0.25"/>
  <cols>
    <col min="1" max="1" width="9.140625" style="168"/>
    <col min="2" max="2" width="12.5703125" style="168" customWidth="1"/>
    <col min="3" max="3" width="22.42578125" style="168" customWidth="1"/>
    <col min="4" max="4" width="49.7109375" style="168" customWidth="1"/>
    <col min="5" max="5" width="10.140625" style="244" customWidth="1"/>
    <col min="6" max="6" width="20.7109375" style="168" customWidth="1"/>
    <col min="7" max="7" width="16.140625" style="168" customWidth="1"/>
    <col min="8" max="8" width="16.7109375" style="168" customWidth="1"/>
    <col min="9" max="9" width="9.140625" style="168"/>
    <col min="10" max="10" width="10.140625" style="168" customWidth="1"/>
    <col min="11" max="11" width="14" style="168" customWidth="1"/>
    <col min="12" max="12" width="9.140625" style="168"/>
  </cols>
  <sheetData>
    <row r="2" spans="1:12" s="303" customFormat="1" x14ac:dyDescent="0.25">
      <c r="A2" s="302"/>
      <c r="B2" s="302"/>
      <c r="C2" s="302"/>
      <c r="D2" s="302"/>
      <c r="E2" s="244"/>
      <c r="F2" s="302"/>
      <c r="G2" s="302"/>
      <c r="H2" s="302"/>
      <c r="I2" s="302"/>
      <c r="J2" s="302"/>
      <c r="K2" s="302"/>
      <c r="L2" s="302"/>
    </row>
    <row r="3" spans="1:12" s="303" customFormat="1" x14ac:dyDescent="0.25">
      <c r="A3" s="302"/>
      <c r="B3" s="302"/>
      <c r="C3" s="302"/>
      <c r="D3" s="302"/>
      <c r="E3" s="244"/>
      <c r="F3" s="302"/>
      <c r="G3" s="302"/>
      <c r="H3" s="302"/>
      <c r="I3" s="302"/>
      <c r="J3" s="302"/>
      <c r="K3" s="302"/>
      <c r="L3" s="302"/>
    </row>
    <row r="4" spans="1:12" x14ac:dyDescent="0.25">
      <c r="A4" s="324" t="s">
        <v>94</v>
      </c>
      <c r="B4" s="324"/>
      <c r="C4" s="324"/>
      <c r="D4" s="324"/>
      <c r="E4" s="324"/>
      <c r="F4" s="324"/>
      <c r="G4" s="324"/>
      <c r="H4" s="324"/>
    </row>
    <row r="5" spans="1:12" x14ac:dyDescent="0.25">
      <c r="A5" s="325" t="s">
        <v>95</v>
      </c>
      <c r="B5" s="325"/>
      <c r="C5" s="325"/>
      <c r="D5" s="325"/>
      <c r="E5" s="325"/>
      <c r="F5" s="325"/>
      <c r="G5" s="325"/>
      <c r="H5" s="325"/>
    </row>
    <row r="6" spans="1:12" x14ac:dyDescent="0.25">
      <c r="A6" s="282"/>
    </row>
    <row r="7" spans="1:12" ht="41.25" customHeight="1" x14ac:dyDescent="0.25">
      <c r="A7" s="328" t="s">
        <v>96</v>
      </c>
      <c r="B7" s="328"/>
      <c r="C7" s="328"/>
      <c r="D7" s="328"/>
      <c r="E7" s="328"/>
      <c r="F7" s="328"/>
      <c r="G7" s="328"/>
      <c r="H7" s="328"/>
    </row>
    <row r="8" spans="1:12" x14ac:dyDescent="0.25">
      <c r="A8" s="245"/>
      <c r="B8" s="245"/>
      <c r="C8" s="245"/>
      <c r="D8" s="245"/>
      <c r="E8" s="169"/>
      <c r="F8" s="245"/>
      <c r="G8" s="245"/>
      <c r="H8" s="245"/>
    </row>
    <row r="9" spans="1:12" ht="38.25" customHeight="1" x14ac:dyDescent="0.25">
      <c r="A9" s="329" t="s">
        <v>97</v>
      </c>
      <c r="B9" s="329" t="s">
        <v>98</v>
      </c>
      <c r="C9" s="329" t="s">
        <v>99</v>
      </c>
      <c r="D9" s="329" t="s">
        <v>100</v>
      </c>
      <c r="E9" s="329" t="s">
        <v>101</v>
      </c>
      <c r="F9" s="329" t="s">
        <v>102</v>
      </c>
      <c r="G9" s="329" t="s">
        <v>103</v>
      </c>
      <c r="H9" s="329"/>
    </row>
    <row r="10" spans="1:12" ht="40.5" customHeight="1" x14ac:dyDescent="0.25">
      <c r="A10" s="329"/>
      <c r="B10" s="329"/>
      <c r="C10" s="329"/>
      <c r="D10" s="329"/>
      <c r="E10" s="329"/>
      <c r="F10" s="329"/>
      <c r="G10" s="283" t="s">
        <v>104</v>
      </c>
      <c r="H10" s="283" t="s">
        <v>105</v>
      </c>
    </row>
    <row r="11" spans="1:12" x14ac:dyDescent="0.25">
      <c r="A11" s="246">
        <v>1</v>
      </c>
      <c r="B11" s="246"/>
      <c r="C11" s="246">
        <v>2</v>
      </c>
      <c r="D11" s="246" t="s">
        <v>106</v>
      </c>
      <c r="E11" s="246">
        <v>4</v>
      </c>
      <c r="F11" s="246">
        <v>5</v>
      </c>
      <c r="G11" s="246">
        <v>6</v>
      </c>
      <c r="H11" s="246">
        <v>7</v>
      </c>
    </row>
    <row r="12" spans="1:12" s="248" customFormat="1" x14ac:dyDescent="0.25">
      <c r="A12" s="334" t="s">
        <v>107</v>
      </c>
      <c r="B12" s="335"/>
      <c r="C12" s="336"/>
      <c r="D12" s="336"/>
      <c r="E12" s="335"/>
      <c r="F12" s="247">
        <f>SUM(F13:F14)</f>
        <v>167.17330000000001</v>
      </c>
      <c r="G12" s="247"/>
      <c r="H12" s="247">
        <f>SUM(H13:H14)</f>
        <v>1578.55</v>
      </c>
    </row>
    <row r="13" spans="1:12" x14ac:dyDescent="0.25">
      <c r="A13" s="249">
        <v>1</v>
      </c>
      <c r="B13" s="250" t="s">
        <v>108</v>
      </c>
      <c r="C13" s="251" t="s">
        <v>109</v>
      </c>
      <c r="D13" s="252" t="s">
        <v>110</v>
      </c>
      <c r="E13" s="253" t="s">
        <v>111</v>
      </c>
      <c r="F13" s="249">
        <v>153.47370000000001</v>
      </c>
      <c r="G13" s="188">
        <v>9.4</v>
      </c>
      <c r="H13" s="188">
        <f>ROUND(F13*G13,2)</f>
        <v>1442.65</v>
      </c>
      <c r="K13" s="254"/>
      <c r="L13" s="259"/>
    </row>
    <row r="14" spans="1:12" x14ac:dyDescent="0.25">
      <c r="A14" s="249">
        <v>2</v>
      </c>
      <c r="B14" s="250" t="s">
        <v>108</v>
      </c>
      <c r="C14" s="251" t="s">
        <v>112</v>
      </c>
      <c r="D14" s="252" t="s">
        <v>113</v>
      </c>
      <c r="E14" s="253" t="s">
        <v>111</v>
      </c>
      <c r="F14" s="249">
        <v>13.6996</v>
      </c>
      <c r="G14" s="188">
        <v>9.92</v>
      </c>
      <c r="H14" s="188">
        <f>ROUND(F14*G14,2)</f>
        <v>135.9</v>
      </c>
      <c r="L14" s="248"/>
    </row>
    <row r="15" spans="1:12" x14ac:dyDescent="0.25">
      <c r="A15" s="334" t="s">
        <v>114</v>
      </c>
      <c r="B15" s="335"/>
      <c r="C15" s="336"/>
      <c r="D15" s="336"/>
      <c r="E15" s="335"/>
      <c r="F15" s="284">
        <f>F16</f>
        <v>10.802</v>
      </c>
      <c r="G15" s="247"/>
      <c r="H15" s="247">
        <f>H16</f>
        <v>133.97</v>
      </c>
    </row>
    <row r="16" spans="1:12" x14ac:dyDescent="0.25">
      <c r="A16" s="249">
        <v>3</v>
      </c>
      <c r="B16" s="249" t="s">
        <v>108</v>
      </c>
      <c r="C16" s="252">
        <v>2</v>
      </c>
      <c r="D16" s="252" t="s">
        <v>114</v>
      </c>
      <c r="E16" s="253" t="s">
        <v>111</v>
      </c>
      <c r="F16" s="249">
        <v>10.802</v>
      </c>
      <c r="G16" s="188"/>
      <c r="H16" s="188">
        <v>133.97</v>
      </c>
    </row>
    <row r="17" spans="1:11" s="248" customFormat="1" x14ac:dyDescent="0.25">
      <c r="A17" s="334" t="s">
        <v>115</v>
      </c>
      <c r="B17" s="335"/>
      <c r="C17" s="336"/>
      <c r="D17" s="336"/>
      <c r="E17" s="335"/>
      <c r="F17" s="284"/>
      <c r="G17" s="247"/>
      <c r="H17" s="247">
        <f>SUM(H18:H25)</f>
        <v>1127.7</v>
      </c>
    </row>
    <row r="18" spans="1:11" ht="31.5" customHeight="1" x14ac:dyDescent="0.25">
      <c r="A18" s="249">
        <v>4</v>
      </c>
      <c r="B18" s="249" t="s">
        <v>108</v>
      </c>
      <c r="C18" s="252" t="s">
        <v>116</v>
      </c>
      <c r="D18" s="252" t="s">
        <v>117</v>
      </c>
      <c r="E18" s="253" t="s">
        <v>118</v>
      </c>
      <c r="F18" s="249">
        <v>4.7709999999999999</v>
      </c>
      <c r="G18" s="188">
        <v>115.4</v>
      </c>
      <c r="H18" s="188">
        <f t="shared" ref="H18:H25" si="0">ROUND(F18*G18,2)</f>
        <v>550.57000000000005</v>
      </c>
      <c r="J18" s="164"/>
    </row>
    <row r="19" spans="1:11" x14ac:dyDescent="0.25">
      <c r="A19" s="249">
        <v>5</v>
      </c>
      <c r="B19" s="249" t="s">
        <v>108</v>
      </c>
      <c r="C19" s="252" t="s">
        <v>119</v>
      </c>
      <c r="D19" s="252" t="s">
        <v>120</v>
      </c>
      <c r="E19" s="253" t="s">
        <v>118</v>
      </c>
      <c r="F19" s="249">
        <v>4.7709999999999999</v>
      </c>
      <c r="G19" s="188">
        <v>65.709999999999994</v>
      </c>
      <c r="H19" s="188">
        <f t="shared" si="0"/>
        <v>313.5</v>
      </c>
      <c r="J19" s="164"/>
    </row>
    <row r="20" spans="1:11" ht="31.5" customHeight="1" x14ac:dyDescent="0.25">
      <c r="A20" s="249">
        <v>6</v>
      </c>
      <c r="B20" s="249" t="s">
        <v>108</v>
      </c>
      <c r="C20" s="252" t="s">
        <v>121</v>
      </c>
      <c r="D20" s="252" t="s">
        <v>122</v>
      </c>
      <c r="E20" s="253" t="s">
        <v>118</v>
      </c>
      <c r="F20" s="249">
        <v>1.1100000000000001</v>
      </c>
      <c r="G20" s="188">
        <v>112.36</v>
      </c>
      <c r="H20" s="188">
        <f t="shared" si="0"/>
        <v>124.72</v>
      </c>
      <c r="J20" s="164"/>
      <c r="K20" s="255"/>
    </row>
    <row r="21" spans="1:11" ht="31.5" customHeight="1" x14ac:dyDescent="0.25">
      <c r="A21" s="249">
        <v>7</v>
      </c>
      <c r="B21" s="249" t="s">
        <v>108</v>
      </c>
      <c r="C21" s="252" t="s">
        <v>123</v>
      </c>
      <c r="D21" s="252" t="s">
        <v>124</v>
      </c>
      <c r="E21" s="253" t="s">
        <v>118</v>
      </c>
      <c r="F21" s="249">
        <v>25.4374</v>
      </c>
      <c r="G21" s="188">
        <v>3.28</v>
      </c>
      <c r="H21" s="188">
        <f t="shared" si="0"/>
        <v>83.43</v>
      </c>
      <c r="J21" s="164"/>
    </row>
    <row r="22" spans="1:11" ht="31.5" customHeight="1" x14ac:dyDescent="0.25">
      <c r="A22" s="249">
        <v>8</v>
      </c>
      <c r="B22" s="249" t="s">
        <v>108</v>
      </c>
      <c r="C22" s="252" t="s">
        <v>125</v>
      </c>
      <c r="D22" s="252" t="s">
        <v>126</v>
      </c>
      <c r="E22" s="253" t="s">
        <v>118</v>
      </c>
      <c r="F22" s="249">
        <v>3.7120000000000002</v>
      </c>
      <c r="G22" s="188">
        <v>8.1</v>
      </c>
      <c r="H22" s="188">
        <f t="shared" si="0"/>
        <v>30.07</v>
      </c>
      <c r="J22" s="164"/>
    </row>
    <row r="23" spans="1:11" ht="31.5" customHeight="1" x14ac:dyDescent="0.25">
      <c r="A23" s="249">
        <v>9</v>
      </c>
      <c r="B23" s="249" t="s">
        <v>108</v>
      </c>
      <c r="C23" s="252" t="s">
        <v>127</v>
      </c>
      <c r="D23" s="252" t="s">
        <v>128</v>
      </c>
      <c r="E23" s="253" t="s">
        <v>118</v>
      </c>
      <c r="F23" s="249">
        <v>25.4374</v>
      </c>
      <c r="G23" s="188">
        <v>0.9</v>
      </c>
      <c r="H23" s="188">
        <f t="shared" si="0"/>
        <v>22.89</v>
      </c>
      <c r="J23" s="164"/>
    </row>
    <row r="24" spans="1:11" ht="47.25" customHeight="1" x14ac:dyDescent="0.25">
      <c r="A24" s="249">
        <v>10</v>
      </c>
      <c r="B24" s="249" t="s">
        <v>108</v>
      </c>
      <c r="C24" s="252" t="s">
        <v>129</v>
      </c>
      <c r="D24" s="252" t="s">
        <v>130</v>
      </c>
      <c r="E24" s="253" t="s">
        <v>118</v>
      </c>
      <c r="F24" s="249">
        <v>0.15</v>
      </c>
      <c r="G24" s="188">
        <v>13.13</v>
      </c>
      <c r="H24" s="188">
        <f t="shared" si="0"/>
        <v>1.97</v>
      </c>
      <c r="J24" s="164"/>
    </row>
    <row r="25" spans="1:11" x14ac:dyDescent="0.25">
      <c r="A25" s="249">
        <v>11</v>
      </c>
      <c r="B25" s="249" t="s">
        <v>108</v>
      </c>
      <c r="C25" s="252" t="s">
        <v>131</v>
      </c>
      <c r="D25" s="252" t="s">
        <v>132</v>
      </c>
      <c r="E25" s="253" t="s">
        <v>118</v>
      </c>
      <c r="F25" s="249">
        <v>0.49440000000000001</v>
      </c>
      <c r="G25" s="188">
        <v>1.1100000000000001</v>
      </c>
      <c r="H25" s="188">
        <f t="shared" si="0"/>
        <v>0.55000000000000004</v>
      </c>
      <c r="J25" s="164"/>
    </row>
    <row r="26" spans="1:11" x14ac:dyDescent="0.25">
      <c r="A26" s="334" t="s">
        <v>43</v>
      </c>
      <c r="B26" s="335"/>
      <c r="C26" s="336"/>
      <c r="D26" s="336"/>
      <c r="E26" s="335"/>
      <c r="F26" s="284"/>
      <c r="G26" s="247"/>
      <c r="H26" s="247">
        <f>SUM(H27:H28)</f>
        <v>1294964.02</v>
      </c>
    </row>
    <row r="27" spans="1:11" s="248" customFormat="1" ht="31.5" customHeight="1" x14ac:dyDescent="0.25">
      <c r="A27" s="249">
        <v>12</v>
      </c>
      <c r="B27" s="249" t="s">
        <v>108</v>
      </c>
      <c r="C27" s="252" t="s">
        <v>133</v>
      </c>
      <c r="D27" s="252" t="s">
        <v>134</v>
      </c>
      <c r="E27" s="253" t="s">
        <v>135</v>
      </c>
      <c r="F27" s="249">
        <v>1</v>
      </c>
      <c r="G27" s="188">
        <v>944244.6</v>
      </c>
      <c r="H27" s="188">
        <f>ROUND(F27*G27,2)</f>
        <v>944244.6</v>
      </c>
      <c r="J27" s="164"/>
    </row>
    <row r="28" spans="1:11" s="248" customFormat="1" ht="31.5" customHeight="1" x14ac:dyDescent="0.25">
      <c r="A28" s="249">
        <v>13</v>
      </c>
      <c r="B28" s="249" t="s">
        <v>108</v>
      </c>
      <c r="C28" s="315" t="s">
        <v>133</v>
      </c>
      <c r="D28" s="252" t="s">
        <v>136</v>
      </c>
      <c r="E28" s="253" t="s">
        <v>135</v>
      </c>
      <c r="F28" s="249">
        <v>1</v>
      </c>
      <c r="G28" s="188">
        <v>350719.42</v>
      </c>
      <c r="H28" s="188">
        <f>ROUND(F28*G28,2)</f>
        <v>350719.42</v>
      </c>
      <c r="J28" s="164"/>
    </row>
    <row r="29" spans="1:11" x14ac:dyDescent="0.25">
      <c r="A29" s="334" t="s">
        <v>137</v>
      </c>
      <c r="B29" s="335"/>
      <c r="C29" s="336"/>
      <c r="D29" s="336"/>
      <c r="E29" s="335"/>
      <c r="F29" s="284"/>
      <c r="G29" s="247"/>
      <c r="H29" s="247">
        <f>SUM(H30:H55)</f>
        <v>64658.82</v>
      </c>
    </row>
    <row r="30" spans="1:11" ht="31.5" customHeight="1" x14ac:dyDescent="0.25">
      <c r="A30" s="249">
        <v>14</v>
      </c>
      <c r="B30" s="249" t="s">
        <v>108</v>
      </c>
      <c r="C30" s="252" t="s">
        <v>138</v>
      </c>
      <c r="D30" s="252" t="s">
        <v>139</v>
      </c>
      <c r="E30" s="253" t="s">
        <v>140</v>
      </c>
      <c r="F30" s="249">
        <v>0.59874000000000005</v>
      </c>
      <c r="G30" s="188">
        <v>71107.06</v>
      </c>
      <c r="H30" s="188">
        <f t="shared" ref="H30:H55" si="1">ROUND(F30*G30,2)</f>
        <v>42574.64</v>
      </c>
      <c r="J30" s="164"/>
    </row>
    <row r="31" spans="1:11" ht="31.5" customHeight="1" x14ac:dyDescent="0.25">
      <c r="A31" s="249">
        <v>15</v>
      </c>
      <c r="B31" s="249" t="s">
        <v>108</v>
      </c>
      <c r="C31" s="252" t="s">
        <v>141</v>
      </c>
      <c r="D31" s="252" t="s">
        <v>142</v>
      </c>
      <c r="E31" s="253" t="s">
        <v>140</v>
      </c>
      <c r="F31" s="249">
        <v>0.55793999999999999</v>
      </c>
      <c r="G31" s="188">
        <v>26001.05</v>
      </c>
      <c r="H31" s="188">
        <f t="shared" si="1"/>
        <v>14507.03</v>
      </c>
      <c r="J31" s="164"/>
      <c r="K31" s="255"/>
    </row>
    <row r="32" spans="1:11" ht="31.5" customHeight="1" x14ac:dyDescent="0.25">
      <c r="A32" s="249">
        <v>16</v>
      </c>
      <c r="B32" s="249" t="s">
        <v>108</v>
      </c>
      <c r="C32" s="252" t="s">
        <v>143</v>
      </c>
      <c r="D32" s="252" t="s">
        <v>144</v>
      </c>
      <c r="E32" s="253" t="s">
        <v>140</v>
      </c>
      <c r="F32" s="249">
        <v>0.20451</v>
      </c>
      <c r="G32" s="188">
        <v>16394.77</v>
      </c>
      <c r="H32" s="188">
        <f t="shared" si="1"/>
        <v>3352.89</v>
      </c>
      <c r="J32" s="164"/>
      <c r="K32" s="255"/>
    </row>
    <row r="33" spans="1:11" ht="31.5" customHeight="1" x14ac:dyDescent="0.25">
      <c r="A33" s="249">
        <v>17</v>
      </c>
      <c r="B33" s="249" t="s">
        <v>108</v>
      </c>
      <c r="C33" s="252" t="s">
        <v>145</v>
      </c>
      <c r="D33" s="252" t="s">
        <v>146</v>
      </c>
      <c r="E33" s="253" t="s">
        <v>140</v>
      </c>
      <c r="F33" s="249">
        <v>0.23663999999999999</v>
      </c>
      <c r="G33" s="188">
        <v>13942.81</v>
      </c>
      <c r="H33" s="188">
        <f t="shared" si="1"/>
        <v>3299.43</v>
      </c>
      <c r="J33" s="164"/>
    </row>
    <row r="34" spans="1:11" ht="31.5" customHeight="1" x14ac:dyDescent="0.25">
      <c r="A34" s="249">
        <v>18</v>
      </c>
      <c r="B34" s="249" t="s">
        <v>108</v>
      </c>
      <c r="C34" s="252" t="s">
        <v>147</v>
      </c>
      <c r="D34" s="252" t="s">
        <v>148</v>
      </c>
      <c r="E34" s="253" t="s">
        <v>149</v>
      </c>
      <c r="F34" s="249">
        <v>7.0939000000000002E-3</v>
      </c>
      <c r="G34" s="188">
        <v>68050</v>
      </c>
      <c r="H34" s="188">
        <f t="shared" si="1"/>
        <v>482.74</v>
      </c>
      <c r="J34" s="164"/>
    </row>
    <row r="35" spans="1:11" s="248" customFormat="1" ht="31.5" customHeight="1" x14ac:dyDescent="0.25">
      <c r="A35" s="249">
        <v>19</v>
      </c>
      <c r="B35" s="249" t="s">
        <v>108</v>
      </c>
      <c r="C35" s="252" t="s">
        <v>150</v>
      </c>
      <c r="D35" s="252" t="s">
        <v>151</v>
      </c>
      <c r="E35" s="253" t="s">
        <v>140</v>
      </c>
      <c r="F35" s="249">
        <v>1.2239999999999999E-2</v>
      </c>
      <c r="G35" s="188">
        <v>12127</v>
      </c>
      <c r="H35" s="188">
        <f t="shared" si="1"/>
        <v>148.43</v>
      </c>
      <c r="J35" s="164"/>
      <c r="K35" s="255"/>
    </row>
    <row r="36" spans="1:11" x14ac:dyDescent="0.25">
      <c r="A36" s="249">
        <v>20</v>
      </c>
      <c r="B36" s="249" t="s">
        <v>108</v>
      </c>
      <c r="C36" s="252" t="s">
        <v>152</v>
      </c>
      <c r="D36" s="252" t="s">
        <v>153</v>
      </c>
      <c r="E36" s="253" t="s">
        <v>154</v>
      </c>
      <c r="F36" s="249">
        <v>13.436624999999999</v>
      </c>
      <c r="G36" s="188">
        <v>6.9</v>
      </c>
      <c r="H36" s="188">
        <f t="shared" si="1"/>
        <v>92.71</v>
      </c>
      <c r="J36" s="164"/>
    </row>
    <row r="37" spans="1:11" x14ac:dyDescent="0.25">
      <c r="A37" s="249">
        <v>21</v>
      </c>
      <c r="B37" s="249" t="s">
        <v>108</v>
      </c>
      <c r="C37" s="252" t="s">
        <v>155</v>
      </c>
      <c r="D37" s="252" t="s">
        <v>156</v>
      </c>
      <c r="E37" s="253" t="s">
        <v>149</v>
      </c>
      <c r="F37" s="249">
        <v>1.2800000000000001E-2</v>
      </c>
      <c r="G37" s="188">
        <v>4488.3999999999996</v>
      </c>
      <c r="H37" s="188">
        <f t="shared" si="1"/>
        <v>57.45</v>
      </c>
      <c r="J37" s="164"/>
    </row>
    <row r="38" spans="1:11" ht="31.5" customHeight="1" x14ac:dyDescent="0.25">
      <c r="A38" s="249">
        <v>22</v>
      </c>
      <c r="B38" s="249" t="s">
        <v>108</v>
      </c>
      <c r="C38" s="252" t="s">
        <v>157</v>
      </c>
      <c r="D38" s="252" t="s">
        <v>158</v>
      </c>
      <c r="E38" s="253" t="s">
        <v>159</v>
      </c>
      <c r="F38" s="249">
        <v>31.530200000000001</v>
      </c>
      <c r="G38" s="188">
        <v>1</v>
      </c>
      <c r="H38" s="188">
        <f t="shared" si="1"/>
        <v>31.53</v>
      </c>
      <c r="J38" s="164"/>
    </row>
    <row r="39" spans="1:11" x14ac:dyDescent="0.25">
      <c r="A39" s="249">
        <v>23</v>
      </c>
      <c r="B39" s="249" t="s">
        <v>108</v>
      </c>
      <c r="C39" s="252" t="s">
        <v>160</v>
      </c>
      <c r="D39" s="252" t="s">
        <v>161</v>
      </c>
      <c r="E39" s="253" t="s">
        <v>149</v>
      </c>
      <c r="F39" s="249">
        <v>2.9759999999999999E-3</v>
      </c>
      <c r="G39" s="188">
        <v>7826.9</v>
      </c>
      <c r="H39" s="188">
        <f t="shared" si="1"/>
        <v>23.29</v>
      </c>
      <c r="J39" s="164"/>
    </row>
    <row r="40" spans="1:11" x14ac:dyDescent="0.25">
      <c r="A40" s="249">
        <v>24</v>
      </c>
      <c r="B40" s="249" t="s">
        <v>108</v>
      </c>
      <c r="C40" s="252" t="s">
        <v>162</v>
      </c>
      <c r="D40" s="252" t="s">
        <v>163</v>
      </c>
      <c r="E40" s="253" t="s">
        <v>164</v>
      </c>
      <c r="F40" s="249">
        <v>0.24479999999999999</v>
      </c>
      <c r="G40" s="188">
        <v>86</v>
      </c>
      <c r="H40" s="188">
        <f t="shared" si="1"/>
        <v>21.05</v>
      </c>
      <c r="J40" s="164"/>
    </row>
    <row r="41" spans="1:11" x14ac:dyDescent="0.25">
      <c r="A41" s="249">
        <v>25</v>
      </c>
      <c r="B41" s="249" t="s">
        <v>108</v>
      </c>
      <c r="C41" s="252" t="s">
        <v>165</v>
      </c>
      <c r="D41" s="252" t="s">
        <v>166</v>
      </c>
      <c r="E41" s="253" t="s">
        <v>167</v>
      </c>
      <c r="F41" s="249">
        <v>2.4</v>
      </c>
      <c r="G41" s="188">
        <v>6.09</v>
      </c>
      <c r="H41" s="188">
        <f t="shared" si="1"/>
        <v>14.62</v>
      </c>
      <c r="J41" s="164"/>
    </row>
    <row r="42" spans="1:11" x14ac:dyDescent="0.25">
      <c r="A42" s="249">
        <v>26</v>
      </c>
      <c r="B42" s="249" t="s">
        <v>108</v>
      </c>
      <c r="C42" s="252" t="s">
        <v>168</v>
      </c>
      <c r="D42" s="252" t="s">
        <v>169</v>
      </c>
      <c r="E42" s="253" t="s">
        <v>164</v>
      </c>
      <c r="F42" s="249">
        <v>0.20399999999999999</v>
      </c>
      <c r="G42" s="188">
        <v>63</v>
      </c>
      <c r="H42" s="188">
        <f t="shared" si="1"/>
        <v>12.85</v>
      </c>
      <c r="J42" s="164"/>
    </row>
    <row r="43" spans="1:11" x14ac:dyDescent="0.25">
      <c r="A43" s="249">
        <v>27</v>
      </c>
      <c r="B43" s="249" t="s">
        <v>108</v>
      </c>
      <c r="C43" s="252" t="s">
        <v>170</v>
      </c>
      <c r="D43" s="252" t="s">
        <v>171</v>
      </c>
      <c r="E43" s="253" t="s">
        <v>167</v>
      </c>
      <c r="F43" s="249">
        <v>1.0376000000000001</v>
      </c>
      <c r="G43" s="188">
        <v>9.0399999999999991</v>
      </c>
      <c r="H43" s="188">
        <f t="shared" si="1"/>
        <v>9.3800000000000008</v>
      </c>
      <c r="J43" s="164"/>
    </row>
    <row r="44" spans="1:11" x14ac:dyDescent="0.25">
      <c r="A44" s="249">
        <v>28</v>
      </c>
      <c r="B44" s="249" t="s">
        <v>108</v>
      </c>
      <c r="C44" s="252" t="s">
        <v>172</v>
      </c>
      <c r="D44" s="252" t="s">
        <v>173</v>
      </c>
      <c r="E44" s="253" t="s">
        <v>167</v>
      </c>
      <c r="F44" s="249">
        <v>0.24</v>
      </c>
      <c r="G44" s="188">
        <v>28.6</v>
      </c>
      <c r="H44" s="188">
        <f t="shared" si="1"/>
        <v>6.86</v>
      </c>
      <c r="J44" s="164"/>
    </row>
    <row r="45" spans="1:11" x14ac:dyDescent="0.25">
      <c r="A45" s="249">
        <v>29</v>
      </c>
      <c r="B45" s="249" t="s">
        <v>108</v>
      </c>
      <c r="C45" s="252" t="s">
        <v>174</v>
      </c>
      <c r="D45" s="252" t="s">
        <v>175</v>
      </c>
      <c r="E45" s="253" t="s">
        <v>176</v>
      </c>
      <c r="F45" s="249">
        <v>0.16</v>
      </c>
      <c r="G45" s="188">
        <v>39</v>
      </c>
      <c r="H45" s="188">
        <f t="shared" si="1"/>
        <v>6.24</v>
      </c>
      <c r="J45" s="164"/>
    </row>
    <row r="46" spans="1:11" x14ac:dyDescent="0.25">
      <c r="A46" s="249">
        <v>30</v>
      </c>
      <c r="B46" s="249" t="s">
        <v>108</v>
      </c>
      <c r="C46" s="252" t="s">
        <v>177</v>
      </c>
      <c r="D46" s="252" t="s">
        <v>178</v>
      </c>
      <c r="E46" s="253" t="s">
        <v>149</v>
      </c>
      <c r="F46" s="249">
        <v>3.3940000000000001E-4</v>
      </c>
      <c r="G46" s="188">
        <v>12430</v>
      </c>
      <c r="H46" s="188">
        <f t="shared" si="1"/>
        <v>4.22</v>
      </c>
      <c r="J46" s="164"/>
    </row>
    <row r="47" spans="1:11" x14ac:dyDescent="0.25">
      <c r="A47" s="249">
        <v>31</v>
      </c>
      <c r="B47" s="249" t="s">
        <v>108</v>
      </c>
      <c r="C47" s="252" t="s">
        <v>179</v>
      </c>
      <c r="D47" s="252" t="s">
        <v>180</v>
      </c>
      <c r="E47" s="253" t="s">
        <v>167</v>
      </c>
      <c r="F47" s="249">
        <v>0.32</v>
      </c>
      <c r="G47" s="188">
        <v>10.57</v>
      </c>
      <c r="H47" s="188">
        <f t="shared" si="1"/>
        <v>3.38</v>
      </c>
      <c r="J47" s="164"/>
    </row>
    <row r="48" spans="1:11" ht="31.5" customHeight="1" x14ac:dyDescent="0.25">
      <c r="A48" s="249">
        <v>32</v>
      </c>
      <c r="B48" s="249" t="s">
        <v>108</v>
      </c>
      <c r="C48" s="252" t="s">
        <v>181</v>
      </c>
      <c r="D48" s="252" t="s">
        <v>182</v>
      </c>
      <c r="E48" s="253" t="s">
        <v>149</v>
      </c>
      <c r="F48" s="249">
        <v>6.4000000000000005E-4</v>
      </c>
      <c r="G48" s="188">
        <v>5000</v>
      </c>
      <c r="H48" s="188">
        <f t="shared" si="1"/>
        <v>3.2</v>
      </c>
      <c r="J48" s="164"/>
    </row>
    <row r="49" spans="1:10" x14ac:dyDescent="0.25">
      <c r="A49" s="249">
        <v>33</v>
      </c>
      <c r="B49" s="249" t="s">
        <v>108</v>
      </c>
      <c r="C49" s="252" t="s">
        <v>183</v>
      </c>
      <c r="D49" s="252" t="s">
        <v>184</v>
      </c>
      <c r="E49" s="253" t="s">
        <v>149</v>
      </c>
      <c r="F49" s="249">
        <v>2.8E-5</v>
      </c>
      <c r="G49" s="188">
        <v>70200</v>
      </c>
      <c r="H49" s="188">
        <f t="shared" si="1"/>
        <v>1.97</v>
      </c>
      <c r="J49" s="164"/>
    </row>
    <row r="50" spans="1:10" ht="47.25" customHeight="1" x14ac:dyDescent="0.25">
      <c r="A50" s="249">
        <v>34</v>
      </c>
      <c r="B50" s="249" t="s">
        <v>108</v>
      </c>
      <c r="C50" s="252" t="s">
        <v>185</v>
      </c>
      <c r="D50" s="252" t="s">
        <v>186</v>
      </c>
      <c r="E50" s="253" t="s">
        <v>167</v>
      </c>
      <c r="F50" s="249">
        <v>5.6000000000000001E-2</v>
      </c>
      <c r="G50" s="188">
        <v>30.4</v>
      </c>
      <c r="H50" s="188">
        <f t="shared" si="1"/>
        <v>1.7</v>
      </c>
      <c r="J50" s="164"/>
    </row>
    <row r="51" spans="1:10" ht="31.5" customHeight="1" x14ac:dyDescent="0.25">
      <c r="A51" s="249">
        <v>35</v>
      </c>
      <c r="B51" s="249" t="s">
        <v>108</v>
      </c>
      <c r="C51" s="252" t="s">
        <v>187</v>
      </c>
      <c r="D51" s="252" t="s">
        <v>188</v>
      </c>
      <c r="E51" s="253" t="s">
        <v>149</v>
      </c>
      <c r="F51" s="249">
        <v>1.6000000000000001E-4</v>
      </c>
      <c r="G51" s="188">
        <v>8105.71</v>
      </c>
      <c r="H51" s="188">
        <f t="shared" si="1"/>
        <v>1.3</v>
      </c>
      <c r="J51" s="164"/>
    </row>
    <row r="52" spans="1:10" x14ac:dyDescent="0.25">
      <c r="A52" s="249">
        <v>36</v>
      </c>
      <c r="B52" s="249" t="s">
        <v>108</v>
      </c>
      <c r="C52" s="252" t="s">
        <v>189</v>
      </c>
      <c r="D52" s="252" t="s">
        <v>190</v>
      </c>
      <c r="E52" s="253" t="s">
        <v>167</v>
      </c>
      <c r="F52" s="249">
        <v>2.1999999999999999E-2</v>
      </c>
      <c r="G52" s="188">
        <v>44.97</v>
      </c>
      <c r="H52" s="188">
        <f t="shared" si="1"/>
        <v>0.99</v>
      </c>
      <c r="J52" s="164"/>
    </row>
    <row r="53" spans="1:10" ht="47.25" customHeight="1" x14ac:dyDescent="0.25">
      <c r="A53" s="249">
        <v>37</v>
      </c>
      <c r="B53" s="249" t="s">
        <v>108</v>
      </c>
      <c r="C53" s="252" t="s">
        <v>191</v>
      </c>
      <c r="D53" s="252" t="s">
        <v>192</v>
      </c>
      <c r="E53" s="253" t="s">
        <v>164</v>
      </c>
      <c r="F53" s="249">
        <v>0.24479999999999999</v>
      </c>
      <c r="G53" s="188">
        <v>2</v>
      </c>
      <c r="H53" s="188">
        <f t="shared" si="1"/>
        <v>0.49</v>
      </c>
      <c r="J53" s="164"/>
    </row>
    <row r="54" spans="1:10" x14ac:dyDescent="0.25">
      <c r="A54" s="249">
        <v>38</v>
      </c>
      <c r="B54" s="249" t="s">
        <v>108</v>
      </c>
      <c r="C54" s="252" t="s">
        <v>193</v>
      </c>
      <c r="D54" s="252" t="s">
        <v>194</v>
      </c>
      <c r="E54" s="253" t="s">
        <v>167</v>
      </c>
      <c r="F54" s="249">
        <v>2.8E-3</v>
      </c>
      <c r="G54" s="188">
        <v>133.05000000000001</v>
      </c>
      <c r="H54" s="188">
        <f t="shared" si="1"/>
        <v>0.37</v>
      </c>
      <c r="J54" s="164"/>
    </row>
    <row r="55" spans="1:10" x14ac:dyDescent="0.25">
      <c r="A55" s="249">
        <v>39</v>
      </c>
      <c r="B55" s="249" t="s">
        <v>108</v>
      </c>
      <c r="C55" s="252" t="s">
        <v>195</v>
      </c>
      <c r="D55" s="252" t="s">
        <v>196</v>
      </c>
      <c r="E55" s="253" t="s">
        <v>167</v>
      </c>
      <c r="F55" s="249">
        <v>5.5999999999999999E-3</v>
      </c>
      <c r="G55" s="188">
        <v>11.5</v>
      </c>
      <c r="H55" s="188">
        <f t="shared" si="1"/>
        <v>0.06</v>
      </c>
      <c r="J55" s="164"/>
    </row>
    <row r="58" spans="1:10" x14ac:dyDescent="0.25">
      <c r="B58" s="168" t="s">
        <v>75</v>
      </c>
    </row>
    <row r="59" spans="1:10" x14ac:dyDescent="0.25">
      <c r="B59" s="180" t="s">
        <v>76</v>
      </c>
    </row>
    <row r="61" spans="1:10" x14ac:dyDescent="0.25">
      <c r="B61" s="168" t="s">
        <v>77</v>
      </c>
    </row>
    <row r="62" spans="1:10" x14ac:dyDescent="0.25">
      <c r="B62" s="180" t="s">
        <v>78</v>
      </c>
    </row>
  </sheetData>
  <mergeCells count="15">
    <mergeCell ref="A15:E15"/>
    <mergeCell ref="A29:E29"/>
    <mergeCell ref="A12:E12"/>
    <mergeCell ref="A17:E17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6:E2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0"/>
  <sheetViews>
    <sheetView view="pageBreakPreview" topLeftCell="A34" workbookViewId="0">
      <selection activeCell="D45" sqref="D45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61" t="s">
        <v>197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17" t="s">
        <v>198</v>
      </c>
      <c r="C5" s="317"/>
      <c r="D5" s="317"/>
      <c r="E5" s="317"/>
    </row>
    <row r="6" spans="2:5" x14ac:dyDescent="0.25">
      <c r="B6" s="279"/>
      <c r="C6" s="154"/>
      <c r="D6" s="154"/>
      <c r="E6" s="154"/>
    </row>
    <row r="7" spans="2:5" ht="25.5" customHeight="1" x14ac:dyDescent="0.25">
      <c r="B7" s="337" t="s">
        <v>47</v>
      </c>
      <c r="C7" s="337"/>
      <c r="D7" s="337"/>
      <c r="E7" s="337"/>
    </row>
    <row r="8" spans="2:5" x14ac:dyDescent="0.25">
      <c r="B8" s="338" t="s">
        <v>49</v>
      </c>
      <c r="C8" s="338"/>
      <c r="D8" s="338"/>
      <c r="E8" s="338"/>
    </row>
    <row r="9" spans="2:5" x14ac:dyDescent="0.25">
      <c r="B9" s="279"/>
      <c r="C9" s="154"/>
      <c r="D9" s="154"/>
      <c r="E9" s="154"/>
    </row>
    <row r="10" spans="2:5" ht="51" customHeight="1" x14ac:dyDescent="0.25">
      <c r="B10" s="280" t="s">
        <v>199</v>
      </c>
      <c r="C10" s="280" t="s">
        <v>200</v>
      </c>
      <c r="D10" s="280" t="s">
        <v>201</v>
      </c>
      <c r="E10" s="280" t="s">
        <v>202</v>
      </c>
    </row>
    <row r="11" spans="2:5" x14ac:dyDescent="0.25">
      <c r="B11" s="155" t="s">
        <v>203</v>
      </c>
      <c r="C11" s="156">
        <f>'Прил.5 Расчет СМР и ОБ'!J14</f>
        <v>75496.490000000005</v>
      </c>
      <c r="D11" s="157">
        <f t="shared" ref="D11:D18" si="0">C11/$C$24</f>
        <v>0.10326987740392847</v>
      </c>
      <c r="E11" s="157">
        <f t="shared" ref="E11:E18" si="1">C11/$C$40</f>
        <v>2.8359198957898617E-2</v>
      </c>
    </row>
    <row r="12" spans="2:5" x14ac:dyDescent="0.25">
      <c r="B12" s="155" t="s">
        <v>204</v>
      </c>
      <c r="C12" s="156">
        <f>'Прил.5 Расчет СМР и ОБ'!J22</f>
        <v>13319.06</v>
      </c>
      <c r="D12" s="157">
        <f t="shared" si="0"/>
        <v>1.8218829687785053E-2</v>
      </c>
      <c r="E12" s="157">
        <f t="shared" si="1"/>
        <v>5.0031183234106524E-3</v>
      </c>
    </row>
    <row r="13" spans="2:5" x14ac:dyDescent="0.25">
      <c r="B13" s="155" t="s">
        <v>205</v>
      </c>
      <c r="C13" s="156">
        <f>'Прил.5 Расчет СМР и ОБ'!J28</f>
        <v>1871.06</v>
      </c>
      <c r="D13" s="157">
        <f t="shared" si="0"/>
        <v>2.5593790759728613E-3</v>
      </c>
      <c r="E13" s="157">
        <f t="shared" si="1"/>
        <v>7.0283748028770316E-4</v>
      </c>
    </row>
    <row r="14" spans="2:5" x14ac:dyDescent="0.25">
      <c r="B14" s="155" t="s">
        <v>206</v>
      </c>
      <c r="C14" s="156">
        <f>C13+C12</f>
        <v>15190.119999999999</v>
      </c>
      <c r="D14" s="157">
        <f t="shared" si="0"/>
        <v>2.0778208763757914E-2</v>
      </c>
      <c r="E14" s="157">
        <f t="shared" si="1"/>
        <v>5.7059558036983557E-3</v>
      </c>
    </row>
    <row r="15" spans="2:5" x14ac:dyDescent="0.25">
      <c r="B15" s="155" t="s">
        <v>207</v>
      </c>
      <c r="C15" s="156">
        <f>'Прил.5 Расчет СМР и ОБ'!J16</f>
        <v>5933.54</v>
      </c>
      <c r="D15" s="157">
        <f t="shared" si="0"/>
        <v>8.1163501557662571E-3</v>
      </c>
      <c r="E15" s="157">
        <f t="shared" si="1"/>
        <v>2.2288511874479166E-3</v>
      </c>
    </row>
    <row r="16" spans="2:5" x14ac:dyDescent="0.25">
      <c r="B16" s="155" t="s">
        <v>208</v>
      </c>
      <c r="C16" s="156">
        <f>'Прил.5 Расчет СМР и ОБ'!J42</f>
        <v>458936.6</v>
      </c>
      <c r="D16" s="157">
        <f t="shared" si="0"/>
        <v>0.62776860776144361</v>
      </c>
      <c r="E16" s="157">
        <f t="shared" si="1"/>
        <v>0.17239310527498075</v>
      </c>
    </row>
    <row r="17" spans="2:6" x14ac:dyDescent="0.25">
      <c r="B17" s="155" t="s">
        <v>209</v>
      </c>
      <c r="C17" s="156">
        <f>'Прил.5 Расчет СМР и ОБ'!J67</f>
        <v>60920.470000000023</v>
      </c>
      <c r="D17" s="157">
        <f t="shared" si="0"/>
        <v>8.3331681622413223E-2</v>
      </c>
      <c r="E17" s="157">
        <f t="shared" si="1"/>
        <v>2.2883921217247246E-2</v>
      </c>
    </row>
    <row r="18" spans="2:6" x14ac:dyDescent="0.25">
      <c r="B18" s="155" t="s">
        <v>210</v>
      </c>
      <c r="C18" s="156">
        <f>C17+C16</f>
        <v>519857.07</v>
      </c>
      <c r="D18" s="157">
        <f t="shared" si="0"/>
        <v>0.71110028938385683</v>
      </c>
      <c r="E18" s="157">
        <f t="shared" si="1"/>
        <v>0.195277026492228</v>
      </c>
    </row>
    <row r="19" spans="2:6" x14ac:dyDescent="0.25">
      <c r="B19" s="155" t="s">
        <v>211</v>
      </c>
      <c r="C19" s="156">
        <f>C18+C14+C11</f>
        <v>610543.68000000005</v>
      </c>
      <c r="D19" s="157"/>
      <c r="E19" s="155"/>
    </row>
    <row r="20" spans="2:6" x14ac:dyDescent="0.25">
      <c r="B20" s="155" t="s">
        <v>212</v>
      </c>
      <c r="C20" s="156">
        <f>ROUND(C21*(C11+C15),2)</f>
        <v>41529.32</v>
      </c>
      <c r="D20" s="157">
        <f>C20/$C$24</f>
        <v>5.680698248446403E-2</v>
      </c>
      <c r="E20" s="157">
        <f>C20/$C$40</f>
        <v>1.5599907339615896E-2</v>
      </c>
    </row>
    <row r="21" spans="2:6" x14ac:dyDescent="0.25">
      <c r="B21" s="155" t="s">
        <v>213</v>
      </c>
      <c r="C21" s="160">
        <f>'Прил.5 Расчет СМР и ОБ'!D71</f>
        <v>0.51</v>
      </c>
      <c r="D21" s="157"/>
      <c r="E21" s="155"/>
    </row>
    <row r="22" spans="2:6" x14ac:dyDescent="0.25">
      <c r="B22" s="155" t="s">
        <v>214</v>
      </c>
      <c r="C22" s="156">
        <f>ROUND(C23*(C11+C15),2)</f>
        <v>78987.13</v>
      </c>
      <c r="D22" s="157">
        <f>C22/$C$24</f>
        <v>0.10804464196399276</v>
      </c>
      <c r="E22" s="157">
        <f>C22/$C$40</f>
        <v>2.9670408979058531E-2</v>
      </c>
    </row>
    <row r="23" spans="2:6" x14ac:dyDescent="0.25">
      <c r="B23" s="155" t="s">
        <v>215</v>
      </c>
      <c r="C23" s="160">
        <f>'Прил.5 Расчет СМР и ОБ'!D70</f>
        <v>0.97</v>
      </c>
      <c r="D23" s="157"/>
      <c r="E23" s="155"/>
    </row>
    <row r="24" spans="2:6" x14ac:dyDescent="0.25">
      <c r="B24" s="155" t="s">
        <v>216</v>
      </c>
      <c r="C24" s="156">
        <f>C19+C20+C22</f>
        <v>731060.13</v>
      </c>
      <c r="D24" s="157">
        <f>C24/$C$24</f>
        <v>1</v>
      </c>
      <c r="E24" s="157">
        <f>C24/$C$40</f>
        <v>0.27461249757249939</v>
      </c>
    </row>
    <row r="25" spans="2:6" ht="25.5" customHeight="1" x14ac:dyDescent="0.25">
      <c r="B25" s="155" t="s">
        <v>217</v>
      </c>
      <c r="C25" s="156">
        <f>'Прил.5 Расчет СМР и ОБ'!J36</f>
        <v>1652293.75</v>
      </c>
      <c r="D25" s="157"/>
      <c r="E25" s="157">
        <f>C25/$C$40</f>
        <v>0.6206610028246663</v>
      </c>
    </row>
    <row r="26" spans="2:6" ht="25.5" customHeight="1" x14ac:dyDescent="0.25">
      <c r="B26" s="155" t="s">
        <v>218</v>
      </c>
      <c r="C26" s="156">
        <f>'Прил.5 Расчет СМР и ОБ'!J37</f>
        <v>1652293.75</v>
      </c>
      <c r="D26" s="157"/>
      <c r="E26" s="157">
        <f>C26/$C$40</f>
        <v>0.6206610028246663</v>
      </c>
    </row>
    <row r="27" spans="2:6" x14ac:dyDescent="0.25">
      <c r="B27" s="155" t="s">
        <v>219</v>
      </c>
      <c r="C27" s="159">
        <f>C24+C25</f>
        <v>2383353.88</v>
      </c>
      <c r="D27" s="157"/>
      <c r="E27" s="157">
        <f>C27/$C$40</f>
        <v>0.89527350039716569</v>
      </c>
    </row>
    <row r="28" spans="2:6" ht="33" customHeight="1" x14ac:dyDescent="0.25">
      <c r="B28" s="155" t="s">
        <v>220</v>
      </c>
      <c r="C28" s="155"/>
      <c r="D28" s="155"/>
      <c r="E28" s="155"/>
      <c r="F28" s="158"/>
    </row>
    <row r="29" spans="2:6" ht="25.5" customHeight="1" x14ac:dyDescent="0.25">
      <c r="B29" s="155" t="s">
        <v>221</v>
      </c>
      <c r="C29" s="300">
        <f>ROUND(C24*3.9%,2)</f>
        <v>28511.35</v>
      </c>
      <c r="D29" s="301"/>
      <c r="E29" s="157">
        <f t="shared" ref="E29:E38" si="2">C29/$C$40</f>
        <v>1.070988925721292E-2</v>
      </c>
    </row>
    <row r="30" spans="2:6" ht="38.25" customHeight="1" x14ac:dyDescent="0.25">
      <c r="B30" s="155" t="s">
        <v>222</v>
      </c>
      <c r="C30" s="300">
        <f>ROUND((C24+C29)*2.1%,2)</f>
        <v>15951</v>
      </c>
      <c r="D30" s="301"/>
      <c r="E30" s="157">
        <f t="shared" si="2"/>
        <v>5.9917697177370869E-3</v>
      </c>
      <c r="F30" s="158"/>
    </row>
    <row r="31" spans="2:6" x14ac:dyDescent="0.25">
      <c r="B31" s="155" t="s">
        <v>223</v>
      </c>
      <c r="C31" s="300">
        <v>97700</v>
      </c>
      <c r="D31" s="301"/>
      <c r="E31" s="157">
        <f t="shared" si="2"/>
        <v>3.6699636475638731E-2</v>
      </c>
    </row>
    <row r="32" spans="2:6" ht="25.5" customHeight="1" x14ac:dyDescent="0.25">
      <c r="B32" s="155" t="s">
        <v>224</v>
      </c>
      <c r="C32" s="159">
        <v>0</v>
      </c>
      <c r="D32" s="301"/>
      <c r="E32" s="157">
        <f t="shared" si="2"/>
        <v>0</v>
      </c>
      <c r="F32" s="281"/>
    </row>
    <row r="33" spans="2:11" ht="25.5" customHeight="1" x14ac:dyDescent="0.25">
      <c r="B33" s="155" t="s">
        <v>225</v>
      </c>
      <c r="C33" s="159">
        <f>ROUND($C$27*0,2)</f>
        <v>0</v>
      </c>
      <c r="D33" s="155"/>
      <c r="E33" s="157">
        <f t="shared" si="2"/>
        <v>0</v>
      </c>
    </row>
    <row r="34" spans="2:11" ht="51" customHeight="1" x14ac:dyDescent="0.25">
      <c r="B34" s="155" t="s">
        <v>226</v>
      </c>
      <c r="C34" s="159">
        <v>0</v>
      </c>
      <c r="D34" s="155"/>
      <c r="E34" s="157">
        <f t="shared" si="2"/>
        <v>0</v>
      </c>
      <c r="F34" s="50"/>
      <c r="G34" s="162"/>
    </row>
    <row r="35" spans="2:11" ht="76.5" customHeight="1" x14ac:dyDescent="0.25">
      <c r="B35" s="155" t="s">
        <v>227</v>
      </c>
      <c r="C35" s="159">
        <v>0</v>
      </c>
      <c r="D35" s="155"/>
      <c r="E35" s="157">
        <f t="shared" si="2"/>
        <v>0</v>
      </c>
    </row>
    <row r="36" spans="2:11" ht="25.5" customHeight="1" x14ac:dyDescent="0.25">
      <c r="B36" s="155" t="s">
        <v>228</v>
      </c>
      <c r="C36" s="159">
        <f>ROUND((C27+C32+C33+C34+C35+C29+C31+C30)*2.14%,2)</f>
        <v>54046.05</v>
      </c>
      <c r="D36" s="155"/>
      <c r="E36" s="157">
        <f t="shared" si="2"/>
        <v>2.0301641637095136E-2</v>
      </c>
      <c r="K36" s="158"/>
    </row>
    <row r="37" spans="2:11" x14ac:dyDescent="0.25">
      <c r="B37" s="155" t="s">
        <v>229</v>
      </c>
      <c r="C37" s="159">
        <f>ROUND((C27+C32+C33+C34+C35+C29+C31+C30)*0.2%,2)</f>
        <v>5051.03</v>
      </c>
      <c r="D37" s="155"/>
      <c r="E37" s="157">
        <f t="shared" si="2"/>
        <v>1.8973486676309671E-3</v>
      </c>
      <c r="K37" s="158"/>
    </row>
    <row r="38" spans="2:11" ht="38.25" customHeight="1" x14ac:dyDescent="0.25">
      <c r="B38" s="155" t="s">
        <v>230</v>
      </c>
      <c r="C38" s="156">
        <f>C27+C32+C33+C34+C35+C29+C31+C30+C36+C37</f>
        <v>2584613.3099999996</v>
      </c>
      <c r="D38" s="155"/>
      <c r="E38" s="157">
        <f t="shared" si="2"/>
        <v>0.97087378615248043</v>
      </c>
    </row>
    <row r="39" spans="2:11" ht="13.5" customHeight="1" x14ac:dyDescent="0.25">
      <c r="B39" s="155" t="s">
        <v>231</v>
      </c>
      <c r="C39" s="156">
        <f>ROUND(C38*3%,2)</f>
        <v>77538.399999999994</v>
      </c>
      <c r="D39" s="155"/>
      <c r="E39" s="157">
        <f>C39/$C$38</f>
        <v>3.0000000270833552E-2</v>
      </c>
    </row>
    <row r="40" spans="2:11" x14ac:dyDescent="0.25">
      <c r="B40" s="155" t="s">
        <v>232</v>
      </c>
      <c r="C40" s="156">
        <f>C39+C38</f>
        <v>2662151.7099999995</v>
      </c>
      <c r="D40" s="155"/>
      <c r="E40" s="157">
        <f>C40/$C$40</f>
        <v>1</v>
      </c>
    </row>
    <row r="41" spans="2:11" x14ac:dyDescent="0.25">
      <c r="B41" s="155" t="s">
        <v>233</v>
      </c>
      <c r="C41" s="156">
        <f>C40/'Прил.5 Расчет СМР и ОБ'!E74</f>
        <v>2662151.7099999995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234</v>
      </c>
      <c r="C43" s="154"/>
      <c r="D43" s="154"/>
      <c r="E43" s="154"/>
    </row>
    <row r="44" spans="2:11" x14ac:dyDescent="0.25">
      <c r="B44" s="163" t="s">
        <v>235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236</v>
      </c>
      <c r="C46" s="154"/>
      <c r="D46" s="154"/>
      <c r="E46" s="154"/>
    </row>
    <row r="47" spans="2:11" x14ac:dyDescent="0.25">
      <c r="B47" s="338" t="s">
        <v>237</v>
      </c>
      <c r="C47" s="338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80"/>
  <sheetViews>
    <sheetView tabSelected="1" view="pageBreakPreview" zoomScale="55" zoomScaleSheetLayoutView="55" workbookViewId="0">
      <selection activeCell="AG67" sqref="AG67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20" customFormat="1" x14ac:dyDescent="0.25">
      <c r="A1" s="219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</row>
    <row r="2" spans="1:14" s="220" customFormat="1" ht="15.75" customHeight="1" x14ac:dyDescent="0.25">
      <c r="A2" s="219"/>
      <c r="B2" s="219"/>
      <c r="C2" s="219"/>
      <c r="D2" s="219"/>
      <c r="E2" s="219"/>
      <c r="F2" s="219"/>
      <c r="G2" s="219"/>
      <c r="H2" s="354" t="s">
        <v>238</v>
      </c>
      <c r="I2" s="354"/>
      <c r="J2" s="354"/>
      <c r="K2" s="219"/>
      <c r="L2" s="219"/>
      <c r="M2" s="219"/>
      <c r="N2" s="219"/>
    </row>
    <row r="3" spans="1:14" s="220" customFormat="1" x14ac:dyDescent="0.25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14" s="221" customFormat="1" ht="12.75" customHeight="1" x14ac:dyDescent="0.2">
      <c r="A4" s="317" t="s">
        <v>239</v>
      </c>
      <c r="B4" s="317"/>
      <c r="C4" s="317"/>
      <c r="D4" s="317"/>
      <c r="E4" s="317"/>
      <c r="F4" s="317"/>
      <c r="G4" s="317"/>
      <c r="H4" s="317"/>
      <c r="I4" s="317"/>
      <c r="J4" s="317"/>
    </row>
    <row r="5" spans="1:14" s="221" customFormat="1" ht="12.75" customHeight="1" x14ac:dyDescent="0.2">
      <c r="A5" s="287"/>
      <c r="B5" s="287"/>
      <c r="C5" s="222"/>
      <c r="D5" s="287"/>
      <c r="E5" s="287"/>
      <c r="F5" s="287"/>
      <c r="G5" s="287"/>
      <c r="H5" s="287"/>
      <c r="I5" s="287"/>
      <c r="J5" s="287"/>
    </row>
    <row r="6" spans="1:14" s="221" customFormat="1" ht="25.5" customHeight="1" x14ac:dyDescent="0.2">
      <c r="A6" s="223" t="s">
        <v>240</v>
      </c>
      <c r="B6" s="224"/>
      <c r="C6" s="224"/>
      <c r="D6" s="358" t="s">
        <v>241</v>
      </c>
      <c r="E6" s="358"/>
      <c r="F6" s="358"/>
      <c r="G6" s="358"/>
      <c r="H6" s="358"/>
      <c r="I6" s="358"/>
      <c r="J6" s="358"/>
    </row>
    <row r="7" spans="1:14" s="221" customFormat="1" ht="12.75" customHeight="1" x14ac:dyDescent="0.2">
      <c r="A7" s="320" t="s">
        <v>49</v>
      </c>
      <c r="B7" s="337"/>
      <c r="C7" s="337"/>
      <c r="D7" s="337"/>
      <c r="E7" s="337"/>
      <c r="F7" s="337"/>
      <c r="G7" s="337"/>
      <c r="H7" s="337"/>
      <c r="I7" s="285"/>
      <c r="J7" s="285"/>
    </row>
    <row r="8" spans="1:14" s="4" customFormat="1" ht="13.5" customHeight="1" x14ac:dyDescent="0.2">
      <c r="A8" s="320"/>
      <c r="B8" s="337"/>
      <c r="C8" s="337"/>
      <c r="D8" s="337"/>
      <c r="E8" s="337"/>
      <c r="F8" s="337"/>
      <c r="G8" s="337"/>
      <c r="H8" s="337"/>
    </row>
    <row r="9" spans="1:14" s="220" customFormat="1" ht="27" customHeight="1" x14ac:dyDescent="0.25">
      <c r="A9" s="346" t="s">
        <v>13</v>
      </c>
      <c r="B9" s="346" t="s">
        <v>99</v>
      </c>
      <c r="C9" s="346" t="s">
        <v>199</v>
      </c>
      <c r="D9" s="346" t="s">
        <v>101</v>
      </c>
      <c r="E9" s="340" t="s">
        <v>242</v>
      </c>
      <c r="F9" s="355" t="s">
        <v>103</v>
      </c>
      <c r="G9" s="356"/>
      <c r="H9" s="340" t="s">
        <v>243</v>
      </c>
      <c r="I9" s="355" t="s">
        <v>244</v>
      </c>
      <c r="J9" s="356"/>
      <c r="K9" s="219"/>
      <c r="L9" s="219"/>
      <c r="M9" s="219"/>
      <c r="N9" s="219"/>
    </row>
    <row r="10" spans="1:14" s="220" customFormat="1" ht="28.5" customHeight="1" x14ac:dyDescent="0.25">
      <c r="A10" s="346"/>
      <c r="B10" s="346"/>
      <c r="C10" s="346"/>
      <c r="D10" s="346"/>
      <c r="E10" s="357"/>
      <c r="F10" s="145" t="s">
        <v>245</v>
      </c>
      <c r="G10" s="145" t="s">
        <v>105</v>
      </c>
      <c r="H10" s="357"/>
      <c r="I10" s="145" t="s">
        <v>245</v>
      </c>
      <c r="J10" s="145" t="s">
        <v>105</v>
      </c>
      <c r="K10" s="219"/>
      <c r="L10" s="219"/>
      <c r="M10" s="219"/>
      <c r="N10" s="219"/>
    </row>
    <row r="11" spans="1:14" s="220" customFormat="1" x14ac:dyDescent="0.25">
      <c r="A11" s="145">
        <v>1</v>
      </c>
      <c r="B11" s="145">
        <v>2</v>
      </c>
      <c r="C11" s="145">
        <v>3</v>
      </c>
      <c r="D11" s="145">
        <v>4</v>
      </c>
      <c r="E11" s="145">
        <v>5</v>
      </c>
      <c r="F11" s="145">
        <v>6</v>
      </c>
      <c r="G11" s="145">
        <v>7</v>
      </c>
      <c r="H11" s="145">
        <v>8</v>
      </c>
      <c r="I11" s="286">
        <v>9</v>
      </c>
      <c r="J11" s="286">
        <v>10</v>
      </c>
      <c r="K11" s="219"/>
      <c r="L11" s="219"/>
      <c r="M11" s="219"/>
      <c r="N11" s="219"/>
    </row>
    <row r="12" spans="1:14" x14ac:dyDescent="0.25">
      <c r="A12" s="2"/>
      <c r="B12" s="344" t="s">
        <v>246</v>
      </c>
      <c r="C12" s="345"/>
      <c r="D12" s="346"/>
      <c r="E12" s="347"/>
      <c r="F12" s="348"/>
      <c r="G12" s="348"/>
      <c r="H12" s="349"/>
      <c r="I12" s="225"/>
      <c r="J12" s="225"/>
    </row>
    <row r="13" spans="1:14" ht="25.5" customHeight="1" x14ac:dyDescent="0.25">
      <c r="A13" s="2">
        <v>1</v>
      </c>
      <c r="B13" s="226" t="s">
        <v>109</v>
      </c>
      <c r="C13" s="227" t="s">
        <v>247</v>
      </c>
      <c r="D13" s="145" t="s">
        <v>248</v>
      </c>
      <c r="E13" s="228">
        <f>G13/F13</f>
        <v>174.04079382579934</v>
      </c>
      <c r="F13" s="189">
        <v>9.07</v>
      </c>
      <c r="G13" s="189">
        <f>SUM(Прил.3!H13:H14)</f>
        <v>1578.5500000000002</v>
      </c>
      <c r="H13" s="229">
        <f>G13/$G$14</f>
        <v>1</v>
      </c>
      <c r="I13" s="230">
        <f>ФОТр.тек.!E13</f>
        <v>433.78619657747998</v>
      </c>
      <c r="J13" s="230">
        <f>ROUND(I13*E13,2)</f>
        <v>75496.490000000005</v>
      </c>
    </row>
    <row r="14" spans="1:14" s="14" customFormat="1" ht="25.5" customHeight="1" x14ac:dyDescent="0.2">
      <c r="A14" s="2"/>
      <c r="B14" s="2"/>
      <c r="C14" s="289" t="s">
        <v>249</v>
      </c>
      <c r="D14" s="2" t="s">
        <v>248</v>
      </c>
      <c r="E14" s="231">
        <f>SUM(E13:E13)</f>
        <v>174.04079382579934</v>
      </c>
      <c r="F14" s="29"/>
      <c r="G14" s="29">
        <f>SUM(G13:G13)</f>
        <v>1578.5500000000002</v>
      </c>
      <c r="H14" s="292">
        <v>1</v>
      </c>
      <c r="I14" s="225"/>
      <c r="J14" s="189">
        <f>SUM(J13:J13)</f>
        <v>75496.490000000005</v>
      </c>
    </row>
    <row r="15" spans="1:14" s="14" customFormat="1" ht="14.25" customHeight="1" x14ac:dyDescent="0.2">
      <c r="A15" s="2"/>
      <c r="B15" s="345" t="s">
        <v>114</v>
      </c>
      <c r="C15" s="345"/>
      <c r="D15" s="346"/>
      <c r="E15" s="347"/>
      <c r="F15" s="348"/>
      <c r="G15" s="348"/>
      <c r="H15" s="349"/>
      <c r="I15" s="225"/>
      <c r="J15" s="225"/>
    </row>
    <row r="16" spans="1:14" s="14" customFormat="1" ht="14.25" customHeight="1" x14ac:dyDescent="0.2">
      <c r="A16" s="2">
        <v>2</v>
      </c>
      <c r="B16" s="2">
        <v>2</v>
      </c>
      <c r="C16" s="9" t="s">
        <v>114</v>
      </c>
      <c r="D16" s="2" t="s">
        <v>248</v>
      </c>
      <c r="E16" s="231">
        <f>Прил.3!F16</f>
        <v>10.802</v>
      </c>
      <c r="F16" s="29">
        <f>G16/E16</f>
        <v>12.402332901314571</v>
      </c>
      <c r="G16" s="29">
        <f>Прил.3!H15</f>
        <v>133.97</v>
      </c>
      <c r="H16" s="292">
        <v>1</v>
      </c>
      <c r="I16" s="230">
        <f>ROUND(F16*Прил.10!D11,2)</f>
        <v>549.29999999999995</v>
      </c>
      <c r="J16" s="230">
        <f>ROUND(I16*E16,2)</f>
        <v>5933.54</v>
      </c>
    </row>
    <row r="17" spans="1:12" s="14" customFormat="1" ht="14.25" customHeight="1" x14ac:dyDescent="0.2">
      <c r="A17" s="2"/>
      <c r="B17" s="344" t="s">
        <v>115</v>
      </c>
      <c r="C17" s="345"/>
      <c r="D17" s="346"/>
      <c r="E17" s="347"/>
      <c r="F17" s="348"/>
      <c r="G17" s="348"/>
      <c r="H17" s="349"/>
      <c r="I17" s="225"/>
      <c r="J17" s="225"/>
    </row>
    <row r="18" spans="1:12" s="14" customFormat="1" ht="14.25" customHeight="1" x14ac:dyDescent="0.2">
      <c r="A18" s="2"/>
      <c r="B18" s="345" t="s">
        <v>250</v>
      </c>
      <c r="C18" s="345"/>
      <c r="D18" s="346"/>
      <c r="E18" s="347"/>
      <c r="F18" s="348"/>
      <c r="G18" s="348"/>
      <c r="H18" s="349"/>
      <c r="I18" s="225"/>
      <c r="J18" s="225"/>
    </row>
    <row r="19" spans="1:12" s="14" customFormat="1" ht="25.5" customHeight="1" x14ac:dyDescent="0.2">
      <c r="A19" s="2">
        <v>3</v>
      </c>
      <c r="B19" s="261" t="s">
        <v>116</v>
      </c>
      <c r="C19" s="262" t="s">
        <v>117</v>
      </c>
      <c r="D19" s="263" t="s">
        <v>118</v>
      </c>
      <c r="E19" s="231">
        <v>4.7709999999999999</v>
      </c>
      <c r="F19" s="264">
        <v>115.4</v>
      </c>
      <c r="G19" s="235">
        <f>ROUND(E19*F19,2)</f>
        <v>550.57000000000005</v>
      </c>
      <c r="H19" s="265">
        <f>G19/$G$29</f>
        <v>0.48822381839141621</v>
      </c>
      <c r="I19" s="189">
        <f>ROUND(F19*Прил.10!$D$12,2)</f>
        <v>1554.44</v>
      </c>
      <c r="J19" s="189">
        <f>ROUND(I19*E19,2)</f>
        <v>7416.23</v>
      </c>
    </row>
    <row r="20" spans="1:12" s="14" customFormat="1" ht="25.5" customHeight="1" x14ac:dyDescent="0.2">
      <c r="A20" s="2">
        <v>4</v>
      </c>
      <c r="B20" s="261" t="s">
        <v>119</v>
      </c>
      <c r="C20" s="262" t="s">
        <v>120</v>
      </c>
      <c r="D20" s="263" t="s">
        <v>118</v>
      </c>
      <c r="E20" s="231">
        <v>4.7709999999999999</v>
      </c>
      <c r="F20" s="264">
        <v>65.709999999999994</v>
      </c>
      <c r="G20" s="235">
        <f>ROUND(E20*F20,2)</f>
        <v>313.5</v>
      </c>
      <c r="H20" s="265">
        <f>G20/$G$29</f>
        <v>0.27799946794360203</v>
      </c>
      <c r="I20" s="189">
        <f>ROUND(F20*Прил.10!$D$12,2)</f>
        <v>885.11</v>
      </c>
      <c r="J20" s="189">
        <f>ROUND(I20*E20,2)</f>
        <v>4222.8599999999997</v>
      </c>
    </row>
    <row r="21" spans="1:12" s="14" customFormat="1" ht="25.5" customHeight="1" x14ac:dyDescent="0.2">
      <c r="A21" s="2">
        <v>5</v>
      </c>
      <c r="B21" s="261" t="s">
        <v>121</v>
      </c>
      <c r="C21" s="262" t="s">
        <v>122</v>
      </c>
      <c r="D21" s="263" t="s">
        <v>118</v>
      </c>
      <c r="E21" s="231">
        <v>1.1100000000000001</v>
      </c>
      <c r="F21" s="264">
        <v>112.36</v>
      </c>
      <c r="G21" s="235">
        <f>ROUND(E21*F21,2)</f>
        <v>124.72</v>
      </c>
      <c r="H21" s="265">
        <f>G21/$G$29</f>
        <v>0.11059678992639886</v>
      </c>
      <c r="I21" s="189">
        <f>ROUND(F21*Прил.10!$D$12,2)</f>
        <v>1513.49</v>
      </c>
      <c r="J21" s="189">
        <f>ROUND(I21*E21,2)</f>
        <v>1679.97</v>
      </c>
    </row>
    <row r="22" spans="1:12" s="14" customFormat="1" ht="14.25" customHeight="1" x14ac:dyDescent="0.2">
      <c r="A22" s="2"/>
      <c r="B22" s="2"/>
      <c r="C22" s="9" t="s">
        <v>251</v>
      </c>
      <c r="D22" s="2"/>
      <c r="E22" s="231"/>
      <c r="F22" s="29"/>
      <c r="G22" s="29">
        <f>SUM(G19:G21)</f>
        <v>988.79000000000008</v>
      </c>
      <c r="H22" s="292">
        <f>G22/G29</f>
        <v>0.87682007626141711</v>
      </c>
      <c r="I22" s="266"/>
      <c r="J22" s="29">
        <f>SUM(J19:J21)</f>
        <v>13319.06</v>
      </c>
      <c r="K22" s="26"/>
    </row>
    <row r="23" spans="1:12" s="14" customFormat="1" ht="25.5" hidden="1" customHeight="1" outlineLevel="1" x14ac:dyDescent="0.2">
      <c r="A23" s="2">
        <v>6</v>
      </c>
      <c r="B23" s="261" t="s">
        <v>123</v>
      </c>
      <c r="C23" s="262" t="s">
        <v>124</v>
      </c>
      <c r="D23" s="263" t="s">
        <v>118</v>
      </c>
      <c r="E23" s="231">
        <v>25.4374</v>
      </c>
      <c r="F23" s="264">
        <v>3.28</v>
      </c>
      <c r="G23" s="235">
        <f>ROUND(E23*F23,2)</f>
        <v>83.43</v>
      </c>
      <c r="H23" s="265">
        <f>G23/$G$29</f>
        <v>7.3982442138866719E-2</v>
      </c>
      <c r="I23" s="189">
        <f>ROUND(F23*Прил.10!$D$12,2)</f>
        <v>44.18</v>
      </c>
      <c r="J23" s="189">
        <f>ROUND(I23*E23,2)</f>
        <v>1123.82</v>
      </c>
    </row>
    <row r="24" spans="1:12" s="14" customFormat="1" ht="25.5" hidden="1" customHeight="1" outlineLevel="1" x14ac:dyDescent="0.2">
      <c r="A24" s="2">
        <v>7</v>
      </c>
      <c r="B24" s="261" t="s">
        <v>125</v>
      </c>
      <c r="C24" s="262" t="s">
        <v>126</v>
      </c>
      <c r="D24" s="263" t="s">
        <v>118</v>
      </c>
      <c r="E24" s="231">
        <v>3.7120000000000002</v>
      </c>
      <c r="F24" s="264">
        <v>8.1</v>
      </c>
      <c r="G24" s="235">
        <f>ROUND(E24*F24,2)</f>
        <v>30.07</v>
      </c>
      <c r="H24" s="265">
        <f>G24/$G$29</f>
        <v>2.6664893145340072E-2</v>
      </c>
      <c r="I24" s="189">
        <f>ROUND(F24*Прил.10!$D$12,2)</f>
        <v>109.11</v>
      </c>
      <c r="J24" s="189">
        <f>ROUND(I24*E24,2)</f>
        <v>405.02</v>
      </c>
    </row>
    <row r="25" spans="1:12" s="14" customFormat="1" ht="25.5" hidden="1" customHeight="1" outlineLevel="1" x14ac:dyDescent="0.2">
      <c r="A25" s="2">
        <v>8</v>
      </c>
      <c r="B25" s="261" t="s">
        <v>127</v>
      </c>
      <c r="C25" s="262" t="s">
        <v>128</v>
      </c>
      <c r="D25" s="263" t="s">
        <v>118</v>
      </c>
      <c r="E25" s="231">
        <v>25.4374</v>
      </c>
      <c r="F25" s="264">
        <v>0.9</v>
      </c>
      <c r="G25" s="235">
        <f>ROUND(E25*F25,2)</f>
        <v>22.89</v>
      </c>
      <c r="H25" s="265">
        <f>G25/$G$29</f>
        <v>2.0297951582867783E-2</v>
      </c>
      <c r="I25" s="189">
        <f>ROUND(F25*Прил.10!$D$12,2)</f>
        <v>12.12</v>
      </c>
      <c r="J25" s="189">
        <f>ROUND(I25*E25,2)</f>
        <v>308.3</v>
      </c>
    </row>
    <row r="26" spans="1:12" s="14" customFormat="1" ht="38.25" hidden="1" customHeight="1" outlineLevel="1" x14ac:dyDescent="0.2">
      <c r="A26" s="2">
        <v>9</v>
      </c>
      <c r="B26" s="261" t="s">
        <v>129</v>
      </c>
      <c r="C26" s="262" t="s">
        <v>130</v>
      </c>
      <c r="D26" s="263" t="s">
        <v>118</v>
      </c>
      <c r="E26" s="231">
        <v>0.15</v>
      </c>
      <c r="F26" s="264">
        <v>13.13</v>
      </c>
      <c r="G26" s="235">
        <f>ROUND(E26*F26,2)</f>
        <v>1.97</v>
      </c>
      <c r="H26" s="265">
        <f>G26/$G$29</f>
        <v>1.746918506695043E-3</v>
      </c>
      <c r="I26" s="189">
        <f>ROUND(F26*Прил.10!$D$12,2)</f>
        <v>176.86</v>
      </c>
      <c r="J26" s="189">
        <f>ROUND(I26*E26,2)</f>
        <v>26.53</v>
      </c>
    </row>
    <row r="27" spans="1:12" s="14" customFormat="1" ht="25.5" hidden="1" customHeight="1" outlineLevel="1" x14ac:dyDescent="0.2">
      <c r="A27" s="2">
        <v>10</v>
      </c>
      <c r="B27" s="261" t="s">
        <v>131</v>
      </c>
      <c r="C27" s="262" t="s">
        <v>132</v>
      </c>
      <c r="D27" s="263" t="s">
        <v>118</v>
      </c>
      <c r="E27" s="231">
        <v>0.49440000000000001</v>
      </c>
      <c r="F27" s="264">
        <v>1.1100000000000001</v>
      </c>
      <c r="G27" s="235">
        <f>ROUND(E27*F27,2)</f>
        <v>0.55000000000000004</v>
      </c>
      <c r="H27" s="265">
        <f>G27/$G$29</f>
        <v>4.8771836481333692E-4</v>
      </c>
      <c r="I27" s="189">
        <f>ROUND(F27*Прил.10!$D$12,2)</f>
        <v>14.95</v>
      </c>
      <c r="J27" s="189">
        <f>ROUND(I27*E27,2)</f>
        <v>7.39</v>
      </c>
    </row>
    <row r="28" spans="1:12" s="14" customFormat="1" ht="14.25" customHeight="1" collapsed="1" x14ac:dyDescent="0.2">
      <c r="A28" s="2"/>
      <c r="B28" s="2"/>
      <c r="C28" s="9" t="s">
        <v>252</v>
      </c>
      <c r="D28" s="2"/>
      <c r="E28" s="290"/>
      <c r="F28" s="29"/>
      <c r="G28" s="266">
        <f>SUM(G23:G27)</f>
        <v>138.91</v>
      </c>
      <c r="H28" s="236">
        <f>G28/G29</f>
        <v>0.12317992373858294</v>
      </c>
      <c r="I28" s="267"/>
      <c r="J28" s="266">
        <f>SUM(J23:J27)</f>
        <v>1871.06</v>
      </c>
    </row>
    <row r="29" spans="1:12" s="14" customFormat="1" ht="25.5" customHeight="1" x14ac:dyDescent="0.2">
      <c r="A29" s="2"/>
      <c r="B29" s="2"/>
      <c r="C29" s="289" t="s">
        <v>253</v>
      </c>
      <c r="D29" s="2"/>
      <c r="E29" s="290"/>
      <c r="F29" s="29"/>
      <c r="G29" s="29">
        <f>G28+G22</f>
        <v>1127.7</v>
      </c>
      <c r="H29" s="268">
        <f>H28+H22</f>
        <v>1</v>
      </c>
      <c r="I29" s="269"/>
      <c r="J29" s="270">
        <f>J28+J22</f>
        <v>15190.119999999999</v>
      </c>
    </row>
    <row r="30" spans="1:12" s="14" customFormat="1" ht="14.25" customHeight="1" x14ac:dyDescent="0.2">
      <c r="A30" s="2"/>
      <c r="B30" s="344" t="s">
        <v>43</v>
      </c>
      <c r="C30" s="344"/>
      <c r="D30" s="350"/>
      <c r="E30" s="351"/>
      <c r="F30" s="352"/>
      <c r="G30" s="352"/>
      <c r="H30" s="353"/>
      <c r="I30" s="225"/>
      <c r="J30" s="225"/>
    </row>
    <row r="31" spans="1:12" x14ac:dyDescent="0.25">
      <c r="A31" s="293"/>
      <c r="B31" s="345" t="s">
        <v>254</v>
      </c>
      <c r="C31" s="345"/>
      <c r="D31" s="346"/>
      <c r="E31" s="347"/>
      <c r="F31" s="348"/>
      <c r="G31" s="348"/>
      <c r="H31" s="349"/>
      <c r="I31" s="271"/>
      <c r="J31" s="271"/>
      <c r="K31" s="272"/>
      <c r="L31" s="272"/>
    </row>
    <row r="32" spans="1:12" s="14" customFormat="1" ht="25.5" customHeight="1" x14ac:dyDescent="0.2">
      <c r="A32" s="2">
        <v>11</v>
      </c>
      <c r="B32" s="232" t="s">
        <v>255</v>
      </c>
      <c r="C32" s="151" t="s">
        <v>134</v>
      </c>
      <c r="D32" s="232" t="s">
        <v>135</v>
      </c>
      <c r="E32" s="233">
        <v>1</v>
      </c>
      <c r="F32" s="234">
        <v>944244.6</v>
      </c>
      <c r="G32" s="235">
        <f>ROUND(E32*F32,2)</f>
        <v>944244.6</v>
      </c>
      <c r="H32" s="236">
        <f>G32/$G$68</f>
        <v>14.60349260936095</v>
      </c>
      <c r="I32" s="189">
        <v>1302293.75</v>
      </c>
      <c r="J32" s="189">
        <f>ROUND(I32*E32,2)</f>
        <v>1302293.75</v>
      </c>
    </row>
    <row r="33" spans="1:12" s="14" customFormat="1" ht="25.5" customHeight="1" x14ac:dyDescent="0.2">
      <c r="A33" s="2">
        <v>12</v>
      </c>
      <c r="B33" s="232" t="s">
        <v>256</v>
      </c>
      <c r="C33" s="151" t="s">
        <v>136</v>
      </c>
      <c r="D33" s="232" t="s">
        <v>135</v>
      </c>
      <c r="E33" s="233">
        <v>1</v>
      </c>
      <c r="F33" s="234">
        <v>350719.42</v>
      </c>
      <c r="G33" s="235">
        <f>ROUND(E33*F33,2)</f>
        <v>350719.42</v>
      </c>
      <c r="H33" s="236">
        <f>G33/$G$68</f>
        <v>5.4241543535746555</v>
      </c>
      <c r="I33" s="189">
        <v>350000</v>
      </c>
      <c r="J33" s="189">
        <f>ROUND(I33*E33,2)</f>
        <v>350000</v>
      </c>
    </row>
    <row r="34" spans="1:12" x14ac:dyDescent="0.25">
      <c r="A34" s="2"/>
      <c r="B34" s="293"/>
      <c r="C34" s="136" t="s">
        <v>257</v>
      </c>
      <c r="D34" s="263"/>
      <c r="E34" s="231"/>
      <c r="F34" s="295"/>
      <c r="G34" s="213">
        <f>SUM(G32:G33)</f>
        <v>1294964.02</v>
      </c>
      <c r="H34" s="236">
        <f>G34/$G$36</f>
        <v>1</v>
      </c>
      <c r="I34" s="273"/>
      <c r="J34" s="213">
        <f>SUM(J32:J33)</f>
        <v>1652293.75</v>
      </c>
      <c r="K34" s="272"/>
      <c r="L34" s="272"/>
    </row>
    <row r="35" spans="1:12" x14ac:dyDescent="0.25">
      <c r="A35" s="2"/>
      <c r="B35" s="293"/>
      <c r="C35" s="136" t="s">
        <v>258</v>
      </c>
      <c r="D35" s="293"/>
      <c r="E35" s="231"/>
      <c r="F35" s="295"/>
      <c r="G35" s="213">
        <v>0</v>
      </c>
      <c r="H35" s="236">
        <f>G35/$G$36</f>
        <v>0</v>
      </c>
      <c r="I35" s="273"/>
      <c r="J35" s="213">
        <v>0</v>
      </c>
      <c r="K35" s="272"/>
      <c r="L35" s="272"/>
    </row>
    <row r="36" spans="1:12" x14ac:dyDescent="0.25">
      <c r="A36" s="293"/>
      <c r="B36" s="293"/>
      <c r="C36" s="211" t="s">
        <v>259</v>
      </c>
      <c r="D36" s="293"/>
      <c r="E36" s="294"/>
      <c r="F36" s="295"/>
      <c r="G36" s="213">
        <f>G34+G35</f>
        <v>1294964.02</v>
      </c>
      <c r="H36" s="292">
        <f>H35+H34</f>
        <v>1</v>
      </c>
      <c r="I36" s="273"/>
      <c r="J36" s="213">
        <f>J35+J34</f>
        <v>1652293.75</v>
      </c>
      <c r="K36" s="272"/>
      <c r="L36" s="272"/>
    </row>
    <row r="37" spans="1:12" ht="25.5" customHeight="1" x14ac:dyDescent="0.25">
      <c r="A37" s="293"/>
      <c r="B37" s="293"/>
      <c r="C37" s="136" t="s">
        <v>260</v>
      </c>
      <c r="D37" s="293"/>
      <c r="E37" s="274"/>
      <c r="F37" s="295"/>
      <c r="G37" s="213">
        <f>'Прил.6 Расчет ОБ'!G14</f>
        <v>1294964.02</v>
      </c>
      <c r="H37" s="296"/>
      <c r="I37" s="273"/>
      <c r="J37" s="213">
        <f>J36</f>
        <v>1652293.75</v>
      </c>
      <c r="K37" s="272"/>
      <c r="L37" s="272"/>
    </row>
    <row r="38" spans="1:12" s="14" customFormat="1" ht="14.25" customHeight="1" x14ac:dyDescent="0.2">
      <c r="A38" s="2"/>
      <c r="B38" s="344" t="s">
        <v>137</v>
      </c>
      <c r="C38" s="344"/>
      <c r="D38" s="350"/>
      <c r="E38" s="351"/>
      <c r="F38" s="352"/>
      <c r="G38" s="352"/>
      <c r="H38" s="353"/>
      <c r="I38" s="225"/>
      <c r="J38" s="225"/>
    </row>
    <row r="39" spans="1:12" s="14" customFormat="1" ht="14.25" customHeight="1" x14ac:dyDescent="0.2">
      <c r="A39" s="288"/>
      <c r="B39" s="339" t="s">
        <v>261</v>
      </c>
      <c r="C39" s="339"/>
      <c r="D39" s="340"/>
      <c r="E39" s="341"/>
      <c r="F39" s="342"/>
      <c r="G39" s="342"/>
      <c r="H39" s="343"/>
      <c r="I39" s="275"/>
      <c r="J39" s="275"/>
    </row>
    <row r="40" spans="1:12" s="14" customFormat="1" ht="25.5" customHeight="1" x14ac:dyDescent="0.2">
      <c r="A40" s="232">
        <v>13</v>
      </c>
      <c r="B40" s="232" t="s">
        <v>138</v>
      </c>
      <c r="C40" s="151" t="s">
        <v>139</v>
      </c>
      <c r="D40" s="232" t="s">
        <v>140</v>
      </c>
      <c r="E40" s="233">
        <v>0.59874000000000005</v>
      </c>
      <c r="F40" s="234">
        <v>71107.06</v>
      </c>
      <c r="G40" s="235">
        <f>ROUND(E40*F40,2)</f>
        <v>42574.64</v>
      </c>
      <c r="H40" s="236">
        <f t="shared" ref="H40:H68" si="0">G40/$G$68</f>
        <v>0.6584506181832579</v>
      </c>
      <c r="I40" s="189">
        <f>ROUND(F40*Прил.10!$D$13,2)</f>
        <v>571700.76</v>
      </c>
      <c r="J40" s="189">
        <f>ROUND(I40*E40,2)</f>
        <v>342300.11</v>
      </c>
    </row>
    <row r="41" spans="1:12" s="14" customFormat="1" ht="25.5" customHeight="1" x14ac:dyDescent="0.2">
      <c r="A41" s="232">
        <v>14</v>
      </c>
      <c r="B41" s="232" t="s">
        <v>141</v>
      </c>
      <c r="C41" s="151" t="s">
        <v>142</v>
      </c>
      <c r="D41" s="232" t="s">
        <v>140</v>
      </c>
      <c r="E41" s="233">
        <v>0.55793999999999999</v>
      </c>
      <c r="F41" s="234">
        <v>26001.05</v>
      </c>
      <c r="G41" s="235">
        <f>ROUND(E41*F41,2)</f>
        <v>14507.03</v>
      </c>
      <c r="H41" s="236">
        <f t="shared" si="0"/>
        <v>0.22436273968501128</v>
      </c>
      <c r="I41" s="189">
        <f>ROUND(F41*Прил.10!$D$13,2)</f>
        <v>209048.44</v>
      </c>
      <c r="J41" s="189">
        <f>ROUND(I41*E41,2)</f>
        <v>116636.49</v>
      </c>
    </row>
    <row r="42" spans="1:12" s="14" customFormat="1" ht="14.25" customHeight="1" x14ac:dyDescent="0.2">
      <c r="A42" s="237"/>
      <c r="B42" s="237"/>
      <c r="C42" s="238" t="s">
        <v>262</v>
      </c>
      <c r="D42" s="239"/>
      <c r="E42" s="240"/>
      <c r="F42" s="241"/>
      <c r="G42" s="242">
        <f>SUM(G40:G41)</f>
        <v>57081.67</v>
      </c>
      <c r="H42" s="236">
        <f t="shared" si="0"/>
        <v>0.8828133578682692</v>
      </c>
      <c r="I42" s="189"/>
      <c r="J42" s="242">
        <f>SUM(J40:J41)</f>
        <v>458936.6</v>
      </c>
      <c r="K42" s="26"/>
      <c r="L42" s="26"/>
    </row>
    <row r="43" spans="1:12" s="14" customFormat="1" ht="25.5" hidden="1" customHeight="1" outlineLevel="1" x14ac:dyDescent="0.2">
      <c r="A43" s="232">
        <v>15</v>
      </c>
      <c r="B43" s="232" t="s">
        <v>143</v>
      </c>
      <c r="C43" s="151" t="s">
        <v>144</v>
      </c>
      <c r="D43" s="232" t="s">
        <v>140</v>
      </c>
      <c r="E43" s="233">
        <v>0.20451</v>
      </c>
      <c r="F43" s="234">
        <v>16394.77</v>
      </c>
      <c r="G43" s="235">
        <f t="shared" ref="G43:G66" si="1">ROUND(E43*F43,2)</f>
        <v>3352.89</v>
      </c>
      <c r="H43" s="236">
        <f t="shared" si="0"/>
        <v>5.1855106542309307E-2</v>
      </c>
      <c r="I43" s="189">
        <f>ROUND(F43*Прил.10!$D$13,2)</f>
        <v>131813.95000000001</v>
      </c>
      <c r="J43" s="189">
        <f t="shared" ref="J43:J66" si="2">ROUND(I43*E43,2)</f>
        <v>26957.27</v>
      </c>
    </row>
    <row r="44" spans="1:12" s="14" customFormat="1" ht="25.5" hidden="1" customHeight="1" outlineLevel="1" x14ac:dyDescent="0.2">
      <c r="A44" s="232">
        <v>16</v>
      </c>
      <c r="B44" s="232" t="s">
        <v>145</v>
      </c>
      <c r="C44" s="151" t="s">
        <v>146</v>
      </c>
      <c r="D44" s="232" t="s">
        <v>140</v>
      </c>
      <c r="E44" s="233">
        <v>0.23663999999999999</v>
      </c>
      <c r="F44" s="234">
        <v>13942.81</v>
      </c>
      <c r="G44" s="235">
        <f t="shared" si="1"/>
        <v>3299.43</v>
      </c>
      <c r="H44" s="236">
        <f t="shared" si="0"/>
        <v>5.1028305187134561E-2</v>
      </c>
      <c r="I44" s="189">
        <f>ROUND(F44*Прил.10!$D$13,2)</f>
        <v>112100.19</v>
      </c>
      <c r="J44" s="189">
        <f t="shared" si="2"/>
        <v>26527.39</v>
      </c>
    </row>
    <row r="45" spans="1:12" s="14" customFormat="1" ht="25.5" hidden="1" customHeight="1" outlineLevel="1" x14ac:dyDescent="0.2">
      <c r="A45" s="232">
        <v>17</v>
      </c>
      <c r="B45" s="232" t="s">
        <v>147</v>
      </c>
      <c r="C45" s="151" t="s">
        <v>148</v>
      </c>
      <c r="D45" s="232" t="s">
        <v>149</v>
      </c>
      <c r="E45" s="233">
        <v>7.0939000000000002E-3</v>
      </c>
      <c r="F45" s="234">
        <v>68050</v>
      </c>
      <c r="G45" s="235">
        <f t="shared" si="1"/>
        <v>482.74</v>
      </c>
      <c r="H45" s="236">
        <f t="shared" si="0"/>
        <v>7.4659574672101964E-3</v>
      </c>
      <c r="I45" s="189">
        <f>ROUND(F45*Прил.10!$D$13,2)</f>
        <v>547122</v>
      </c>
      <c r="J45" s="189">
        <f t="shared" si="2"/>
        <v>3881.23</v>
      </c>
    </row>
    <row r="46" spans="1:12" s="14" customFormat="1" ht="25.5" hidden="1" customHeight="1" outlineLevel="1" x14ac:dyDescent="0.2">
      <c r="A46" s="232">
        <v>18</v>
      </c>
      <c r="B46" s="232" t="s">
        <v>150</v>
      </c>
      <c r="C46" s="151" t="s">
        <v>151</v>
      </c>
      <c r="D46" s="232" t="s">
        <v>140</v>
      </c>
      <c r="E46" s="233">
        <v>1.2239999999999999E-2</v>
      </c>
      <c r="F46" s="234">
        <v>12127</v>
      </c>
      <c r="G46" s="235">
        <f t="shared" si="1"/>
        <v>148.43</v>
      </c>
      <c r="H46" s="236">
        <f t="shared" si="0"/>
        <v>2.2955878254505729E-3</v>
      </c>
      <c r="I46" s="189">
        <f>ROUND(F46*Прил.10!$D$13,2)</f>
        <v>97501.08</v>
      </c>
      <c r="J46" s="189">
        <f t="shared" si="2"/>
        <v>1193.4100000000001</v>
      </c>
    </row>
    <row r="47" spans="1:12" s="14" customFormat="1" ht="14.25" hidden="1" customHeight="1" outlineLevel="1" x14ac:dyDescent="0.2">
      <c r="A47" s="232">
        <v>19</v>
      </c>
      <c r="B47" s="232" t="s">
        <v>152</v>
      </c>
      <c r="C47" s="151" t="s">
        <v>153</v>
      </c>
      <c r="D47" s="232" t="s">
        <v>154</v>
      </c>
      <c r="E47" s="233">
        <v>13.436624999999999</v>
      </c>
      <c r="F47" s="234">
        <v>6.9</v>
      </c>
      <c r="G47" s="235">
        <f t="shared" si="1"/>
        <v>92.71</v>
      </c>
      <c r="H47" s="236">
        <f t="shared" si="0"/>
        <v>1.4338337755003879E-3</v>
      </c>
      <c r="I47" s="189">
        <f>ROUND(F47*Прил.10!$D$13,2)</f>
        <v>55.48</v>
      </c>
      <c r="J47" s="189">
        <f t="shared" si="2"/>
        <v>745.46</v>
      </c>
    </row>
    <row r="48" spans="1:12" s="14" customFormat="1" ht="14.25" hidden="1" customHeight="1" outlineLevel="1" x14ac:dyDescent="0.2">
      <c r="A48" s="232">
        <v>20</v>
      </c>
      <c r="B48" s="232" t="s">
        <v>155</v>
      </c>
      <c r="C48" s="151" t="s">
        <v>156</v>
      </c>
      <c r="D48" s="232" t="s">
        <v>149</v>
      </c>
      <c r="E48" s="233">
        <v>1.2800000000000001E-2</v>
      </c>
      <c r="F48" s="234">
        <v>4488.3999999999996</v>
      </c>
      <c r="G48" s="235">
        <f t="shared" si="1"/>
        <v>57.45</v>
      </c>
      <c r="H48" s="236">
        <f t="shared" si="0"/>
        <v>8.8850987382695827E-4</v>
      </c>
      <c r="I48" s="189">
        <f>ROUND(F48*Прил.10!$D$13,2)</f>
        <v>36086.74</v>
      </c>
      <c r="J48" s="189">
        <f t="shared" si="2"/>
        <v>461.91</v>
      </c>
    </row>
    <row r="49" spans="1:10" s="14" customFormat="1" ht="25.5" hidden="1" customHeight="1" outlineLevel="1" x14ac:dyDescent="0.2">
      <c r="A49" s="232">
        <v>21</v>
      </c>
      <c r="B49" s="232" t="s">
        <v>157</v>
      </c>
      <c r="C49" s="151" t="s">
        <v>158</v>
      </c>
      <c r="D49" s="232" t="s">
        <v>159</v>
      </c>
      <c r="E49" s="233">
        <v>31.530200000000001</v>
      </c>
      <c r="F49" s="234">
        <v>1</v>
      </c>
      <c r="G49" s="235">
        <f t="shared" si="1"/>
        <v>31.53</v>
      </c>
      <c r="H49" s="236">
        <f t="shared" si="0"/>
        <v>4.8763648949980842E-4</v>
      </c>
      <c r="I49" s="189">
        <f>ROUND(F49*Прил.10!$D$13,2)</f>
        <v>8.0399999999999991</v>
      </c>
      <c r="J49" s="189">
        <f t="shared" si="2"/>
        <v>253.5</v>
      </c>
    </row>
    <row r="50" spans="1:10" s="14" customFormat="1" ht="14.25" hidden="1" customHeight="1" outlineLevel="1" x14ac:dyDescent="0.2">
      <c r="A50" s="232">
        <v>22</v>
      </c>
      <c r="B50" s="232" t="s">
        <v>160</v>
      </c>
      <c r="C50" s="151" t="s">
        <v>161</v>
      </c>
      <c r="D50" s="232" t="s">
        <v>149</v>
      </c>
      <c r="E50" s="233">
        <v>2.9759999999999999E-3</v>
      </c>
      <c r="F50" s="234">
        <v>7826.9</v>
      </c>
      <c r="G50" s="235">
        <f t="shared" si="1"/>
        <v>23.29</v>
      </c>
      <c r="H50" s="236">
        <f t="shared" si="0"/>
        <v>3.6019834571679471E-4</v>
      </c>
      <c r="I50" s="189">
        <f>ROUND(F50*Прил.10!$D$13,2)</f>
        <v>62928.28</v>
      </c>
      <c r="J50" s="189">
        <f t="shared" si="2"/>
        <v>187.27</v>
      </c>
    </row>
    <row r="51" spans="1:10" s="14" customFormat="1" ht="14.25" hidden="1" customHeight="1" outlineLevel="1" x14ac:dyDescent="0.2">
      <c r="A51" s="232">
        <v>23</v>
      </c>
      <c r="B51" s="232" t="s">
        <v>162</v>
      </c>
      <c r="C51" s="151" t="s">
        <v>163</v>
      </c>
      <c r="D51" s="232" t="s">
        <v>164</v>
      </c>
      <c r="E51" s="233">
        <v>0.24479999999999999</v>
      </c>
      <c r="F51" s="234">
        <v>86</v>
      </c>
      <c r="G51" s="235">
        <f t="shared" si="1"/>
        <v>21.05</v>
      </c>
      <c r="H51" s="236">
        <f t="shared" si="0"/>
        <v>3.2555496682432501E-4</v>
      </c>
      <c r="I51" s="189">
        <f>ROUND(F51*Прил.10!$D$13,2)</f>
        <v>691.44</v>
      </c>
      <c r="J51" s="189">
        <f t="shared" si="2"/>
        <v>169.26</v>
      </c>
    </row>
    <row r="52" spans="1:10" s="14" customFormat="1" ht="14.25" hidden="1" customHeight="1" outlineLevel="1" x14ac:dyDescent="0.2">
      <c r="A52" s="232">
        <v>24</v>
      </c>
      <c r="B52" s="232" t="s">
        <v>165</v>
      </c>
      <c r="C52" s="151" t="s">
        <v>166</v>
      </c>
      <c r="D52" s="232" t="s">
        <v>167</v>
      </c>
      <c r="E52" s="233">
        <v>2.4</v>
      </c>
      <c r="F52" s="234">
        <v>6.09</v>
      </c>
      <c r="G52" s="235">
        <f t="shared" si="1"/>
        <v>14.62</v>
      </c>
      <c r="H52" s="236">
        <f t="shared" si="0"/>
        <v>2.2610991044995872E-4</v>
      </c>
      <c r="I52" s="189">
        <f>ROUND(F52*Прил.10!$D$13,2)</f>
        <v>48.96</v>
      </c>
      <c r="J52" s="189">
        <f t="shared" si="2"/>
        <v>117.5</v>
      </c>
    </row>
    <row r="53" spans="1:10" s="14" customFormat="1" ht="14.25" hidden="1" customHeight="1" outlineLevel="1" x14ac:dyDescent="0.2">
      <c r="A53" s="232">
        <v>25</v>
      </c>
      <c r="B53" s="232" t="s">
        <v>168</v>
      </c>
      <c r="C53" s="151" t="s">
        <v>169</v>
      </c>
      <c r="D53" s="232" t="s">
        <v>164</v>
      </c>
      <c r="E53" s="233">
        <v>0.20399999999999999</v>
      </c>
      <c r="F53" s="234">
        <v>63</v>
      </c>
      <c r="G53" s="235">
        <f t="shared" si="1"/>
        <v>12.85</v>
      </c>
      <c r="H53" s="236">
        <f t="shared" si="0"/>
        <v>1.9873545480724825E-4</v>
      </c>
      <c r="I53" s="189">
        <f>ROUND(F53*Прил.10!$D$13,2)</f>
        <v>506.52</v>
      </c>
      <c r="J53" s="189">
        <f t="shared" si="2"/>
        <v>103.33</v>
      </c>
    </row>
    <row r="54" spans="1:10" s="14" customFormat="1" ht="14.25" hidden="1" customHeight="1" outlineLevel="1" x14ac:dyDescent="0.2">
      <c r="A54" s="232">
        <v>26</v>
      </c>
      <c r="B54" s="232" t="s">
        <v>170</v>
      </c>
      <c r="C54" s="151" t="s">
        <v>171</v>
      </c>
      <c r="D54" s="232" t="s">
        <v>167</v>
      </c>
      <c r="E54" s="233">
        <v>1.0376000000000001</v>
      </c>
      <c r="F54" s="234">
        <v>9.0399999999999991</v>
      </c>
      <c r="G54" s="235">
        <f t="shared" si="1"/>
        <v>9.3800000000000008</v>
      </c>
      <c r="H54" s="236">
        <f t="shared" si="0"/>
        <v>1.4506914911221704E-4</v>
      </c>
      <c r="I54" s="189">
        <f>ROUND(F54*Прил.10!$D$13,2)</f>
        <v>72.680000000000007</v>
      </c>
      <c r="J54" s="189">
        <f t="shared" si="2"/>
        <v>75.41</v>
      </c>
    </row>
    <row r="55" spans="1:10" s="14" customFormat="1" ht="14.25" hidden="1" customHeight="1" outlineLevel="1" x14ac:dyDescent="0.2">
      <c r="A55" s="232">
        <v>27</v>
      </c>
      <c r="B55" s="232" t="s">
        <v>172</v>
      </c>
      <c r="C55" s="151" t="s">
        <v>173</v>
      </c>
      <c r="D55" s="232" t="s">
        <v>167</v>
      </c>
      <c r="E55" s="233">
        <v>0.24</v>
      </c>
      <c r="F55" s="234">
        <v>28.6</v>
      </c>
      <c r="G55" s="235">
        <f t="shared" si="1"/>
        <v>6.86</v>
      </c>
      <c r="H55" s="236">
        <f t="shared" si="0"/>
        <v>1.0609534785818858E-4</v>
      </c>
      <c r="I55" s="189">
        <f>ROUND(F55*Прил.10!$D$13,2)</f>
        <v>229.94</v>
      </c>
      <c r="J55" s="189">
        <f t="shared" si="2"/>
        <v>55.19</v>
      </c>
    </row>
    <row r="56" spans="1:10" s="14" customFormat="1" ht="14.25" hidden="1" customHeight="1" outlineLevel="1" x14ac:dyDescent="0.2">
      <c r="A56" s="232">
        <v>28</v>
      </c>
      <c r="B56" s="232" t="s">
        <v>174</v>
      </c>
      <c r="C56" s="151" t="s">
        <v>175</v>
      </c>
      <c r="D56" s="232" t="s">
        <v>176</v>
      </c>
      <c r="E56" s="233">
        <v>0.16</v>
      </c>
      <c r="F56" s="234">
        <v>39</v>
      </c>
      <c r="G56" s="235">
        <f t="shared" si="1"/>
        <v>6.24</v>
      </c>
      <c r="H56" s="236">
        <f t="shared" si="0"/>
        <v>9.6506555486165692E-5</v>
      </c>
      <c r="I56" s="189">
        <f>ROUND(F56*Прил.10!$D$13,2)</f>
        <v>313.56</v>
      </c>
      <c r="J56" s="189">
        <f t="shared" si="2"/>
        <v>50.17</v>
      </c>
    </row>
    <row r="57" spans="1:10" s="14" customFormat="1" ht="14.25" hidden="1" customHeight="1" outlineLevel="1" x14ac:dyDescent="0.2">
      <c r="A57" s="232">
        <v>29</v>
      </c>
      <c r="B57" s="232" t="s">
        <v>177</v>
      </c>
      <c r="C57" s="151" t="s">
        <v>178</v>
      </c>
      <c r="D57" s="232" t="s">
        <v>149</v>
      </c>
      <c r="E57" s="233">
        <v>3.3940000000000001E-4</v>
      </c>
      <c r="F57" s="234">
        <v>12430</v>
      </c>
      <c r="G57" s="235">
        <f t="shared" si="1"/>
        <v>4.22</v>
      </c>
      <c r="H57" s="236">
        <f t="shared" si="0"/>
        <v>6.5265651306349232E-5</v>
      </c>
      <c r="I57" s="189">
        <f>ROUND(F57*Прил.10!$D$13,2)</f>
        <v>99937.2</v>
      </c>
      <c r="J57" s="189">
        <f t="shared" si="2"/>
        <v>33.92</v>
      </c>
    </row>
    <row r="58" spans="1:10" s="14" customFormat="1" ht="25.5" hidden="1" customHeight="1" outlineLevel="1" x14ac:dyDescent="0.2">
      <c r="A58" s="232">
        <v>30</v>
      </c>
      <c r="B58" s="232" t="s">
        <v>179</v>
      </c>
      <c r="C58" s="151" t="s">
        <v>180</v>
      </c>
      <c r="D58" s="232" t="s">
        <v>167</v>
      </c>
      <c r="E58" s="233">
        <v>0.32</v>
      </c>
      <c r="F58" s="234">
        <v>10.57</v>
      </c>
      <c r="G58" s="235">
        <f t="shared" si="1"/>
        <v>3.38</v>
      </c>
      <c r="H58" s="236">
        <f t="shared" si="0"/>
        <v>5.2274384221673081E-5</v>
      </c>
      <c r="I58" s="189">
        <f>ROUND(F58*Прил.10!$D$13,2)</f>
        <v>84.98</v>
      </c>
      <c r="J58" s="189">
        <f t="shared" si="2"/>
        <v>27.19</v>
      </c>
    </row>
    <row r="59" spans="1:10" s="14" customFormat="1" ht="38.25" hidden="1" customHeight="1" outlineLevel="1" x14ac:dyDescent="0.2">
      <c r="A59" s="232">
        <v>31</v>
      </c>
      <c r="B59" s="232" t="s">
        <v>181</v>
      </c>
      <c r="C59" s="151" t="s">
        <v>182</v>
      </c>
      <c r="D59" s="232" t="s">
        <v>149</v>
      </c>
      <c r="E59" s="233">
        <v>6.4000000000000005E-4</v>
      </c>
      <c r="F59" s="234">
        <v>5000</v>
      </c>
      <c r="G59" s="235">
        <f t="shared" si="1"/>
        <v>3.2</v>
      </c>
      <c r="H59" s="236">
        <f t="shared" si="0"/>
        <v>4.949054127495677E-5</v>
      </c>
      <c r="I59" s="189">
        <f>ROUND(F59*Прил.10!$D$13,2)</f>
        <v>40200</v>
      </c>
      <c r="J59" s="189">
        <f t="shared" si="2"/>
        <v>25.73</v>
      </c>
    </row>
    <row r="60" spans="1:10" s="14" customFormat="1" ht="14.25" hidden="1" customHeight="1" outlineLevel="1" x14ac:dyDescent="0.2">
      <c r="A60" s="232">
        <v>32</v>
      </c>
      <c r="B60" s="232" t="s">
        <v>183</v>
      </c>
      <c r="C60" s="151" t="s">
        <v>184</v>
      </c>
      <c r="D60" s="232" t="s">
        <v>149</v>
      </c>
      <c r="E60" s="233">
        <v>2.8E-5</v>
      </c>
      <c r="F60" s="234">
        <v>70200</v>
      </c>
      <c r="G60" s="235">
        <f t="shared" si="1"/>
        <v>1.97</v>
      </c>
      <c r="H60" s="236">
        <f t="shared" si="0"/>
        <v>3.046761447239526E-5</v>
      </c>
      <c r="I60" s="189">
        <f>ROUND(F60*Прил.10!$D$13,2)</f>
        <v>564408</v>
      </c>
      <c r="J60" s="189">
        <f t="shared" si="2"/>
        <v>15.8</v>
      </c>
    </row>
    <row r="61" spans="1:10" s="14" customFormat="1" ht="38.25" hidden="1" customHeight="1" outlineLevel="1" x14ac:dyDescent="0.2">
      <c r="A61" s="232">
        <v>33</v>
      </c>
      <c r="B61" s="232" t="s">
        <v>185</v>
      </c>
      <c r="C61" s="151" t="s">
        <v>186</v>
      </c>
      <c r="D61" s="232" t="s">
        <v>167</v>
      </c>
      <c r="E61" s="233">
        <v>5.6000000000000001E-2</v>
      </c>
      <c r="F61" s="234">
        <v>30.4</v>
      </c>
      <c r="G61" s="235">
        <f t="shared" si="1"/>
        <v>1.7</v>
      </c>
      <c r="H61" s="236">
        <f t="shared" si="0"/>
        <v>2.6291850052320783E-5</v>
      </c>
      <c r="I61" s="189">
        <f>ROUND(F61*Прил.10!$D$13,2)</f>
        <v>244.42</v>
      </c>
      <c r="J61" s="189">
        <f t="shared" si="2"/>
        <v>13.69</v>
      </c>
    </row>
    <row r="62" spans="1:10" s="14" customFormat="1" ht="14.25" hidden="1" customHeight="1" outlineLevel="1" x14ac:dyDescent="0.2">
      <c r="A62" s="232">
        <v>34</v>
      </c>
      <c r="B62" s="232" t="s">
        <v>187</v>
      </c>
      <c r="C62" s="151" t="s">
        <v>188</v>
      </c>
      <c r="D62" s="232" t="s">
        <v>149</v>
      </c>
      <c r="E62" s="233">
        <v>1.6000000000000001E-4</v>
      </c>
      <c r="F62" s="234">
        <v>8105.71</v>
      </c>
      <c r="G62" s="235">
        <f t="shared" si="1"/>
        <v>1.3</v>
      </c>
      <c r="H62" s="236">
        <f t="shared" si="0"/>
        <v>2.0105532392951188E-5</v>
      </c>
      <c r="I62" s="189">
        <f>ROUND(F62*Прил.10!$D$13,2)</f>
        <v>65169.91</v>
      </c>
      <c r="J62" s="189">
        <f t="shared" si="2"/>
        <v>10.43</v>
      </c>
    </row>
    <row r="63" spans="1:10" s="14" customFormat="1" ht="14.25" hidden="1" customHeight="1" outlineLevel="1" x14ac:dyDescent="0.2">
      <c r="A63" s="232">
        <v>35</v>
      </c>
      <c r="B63" s="232" t="s">
        <v>189</v>
      </c>
      <c r="C63" s="151" t="s">
        <v>190</v>
      </c>
      <c r="D63" s="232" t="s">
        <v>167</v>
      </c>
      <c r="E63" s="233">
        <v>2.1999999999999999E-2</v>
      </c>
      <c r="F63" s="234">
        <v>44.97</v>
      </c>
      <c r="G63" s="235">
        <f t="shared" si="1"/>
        <v>0.99</v>
      </c>
      <c r="H63" s="236">
        <f t="shared" si="0"/>
        <v>1.5311136206939749E-5</v>
      </c>
      <c r="I63" s="189">
        <f>ROUND(F63*Прил.10!$D$13,2)</f>
        <v>361.56</v>
      </c>
      <c r="J63" s="189">
        <f t="shared" si="2"/>
        <v>7.95</v>
      </c>
    </row>
    <row r="64" spans="1:10" s="14" customFormat="1" ht="51" hidden="1" customHeight="1" outlineLevel="1" x14ac:dyDescent="0.2">
      <c r="A64" s="232">
        <v>36</v>
      </c>
      <c r="B64" s="232" t="s">
        <v>191</v>
      </c>
      <c r="C64" s="151" t="s">
        <v>192</v>
      </c>
      <c r="D64" s="232" t="s">
        <v>164</v>
      </c>
      <c r="E64" s="233">
        <v>0.24479999999999999</v>
      </c>
      <c r="F64" s="234">
        <v>2</v>
      </c>
      <c r="G64" s="235">
        <f t="shared" si="1"/>
        <v>0.49</v>
      </c>
      <c r="H64" s="236">
        <f t="shared" si="0"/>
        <v>7.5782391327277544E-6</v>
      </c>
      <c r="I64" s="189">
        <f>ROUND(F64*Прил.10!$D$13,2)</f>
        <v>16.079999999999998</v>
      </c>
      <c r="J64" s="189">
        <f t="shared" si="2"/>
        <v>3.94</v>
      </c>
    </row>
    <row r="65" spans="1:10" s="14" customFormat="1" ht="14.25" hidden="1" customHeight="1" outlineLevel="1" x14ac:dyDescent="0.2">
      <c r="A65" s="232">
        <v>37</v>
      </c>
      <c r="B65" s="232" t="s">
        <v>193</v>
      </c>
      <c r="C65" s="151" t="s">
        <v>194</v>
      </c>
      <c r="D65" s="232" t="s">
        <v>167</v>
      </c>
      <c r="E65" s="233">
        <v>2.8E-3</v>
      </c>
      <c r="F65" s="234">
        <v>133.05000000000001</v>
      </c>
      <c r="G65" s="235">
        <f t="shared" si="1"/>
        <v>0.37</v>
      </c>
      <c r="H65" s="236">
        <f t="shared" si="0"/>
        <v>5.7223438349168757E-6</v>
      </c>
      <c r="I65" s="189">
        <f>ROUND(F65*Прил.10!$D$13,2)</f>
        <v>1069.72</v>
      </c>
      <c r="J65" s="189">
        <f t="shared" si="2"/>
        <v>3</v>
      </c>
    </row>
    <row r="66" spans="1:10" s="14" customFormat="1" ht="14.25" hidden="1" customHeight="1" outlineLevel="1" x14ac:dyDescent="0.2">
      <c r="A66" s="232">
        <v>38</v>
      </c>
      <c r="B66" s="232" t="s">
        <v>195</v>
      </c>
      <c r="C66" s="151" t="s">
        <v>196</v>
      </c>
      <c r="D66" s="232" t="s">
        <v>167</v>
      </c>
      <c r="E66" s="233">
        <v>5.5999999999999999E-3</v>
      </c>
      <c r="F66" s="234">
        <v>11.5</v>
      </c>
      <c r="G66" s="235">
        <f t="shared" si="1"/>
        <v>0.06</v>
      </c>
      <c r="H66" s="236">
        <f t="shared" si="0"/>
        <v>9.2794764890543935E-7</v>
      </c>
      <c r="I66" s="189">
        <f>ROUND(F66*Прил.10!$D$13,2)</f>
        <v>92.46</v>
      </c>
      <c r="J66" s="189">
        <f t="shared" si="2"/>
        <v>0.52</v>
      </c>
    </row>
    <row r="67" spans="1:10" s="14" customFormat="1" ht="14.25" customHeight="1" collapsed="1" x14ac:dyDescent="0.2">
      <c r="A67" s="2"/>
      <c r="B67" s="2"/>
      <c r="C67" s="9" t="s">
        <v>263</v>
      </c>
      <c r="D67" s="2"/>
      <c r="E67" s="290"/>
      <c r="F67" s="291"/>
      <c r="G67" s="29">
        <f>SUM(G43:G66)</f>
        <v>7577.15</v>
      </c>
      <c r="H67" s="236">
        <f t="shared" si="0"/>
        <v>0.11718664213173083</v>
      </c>
      <c r="I67" s="29"/>
      <c r="J67" s="29">
        <f>SUM(J43:J66)</f>
        <v>60920.470000000023</v>
      </c>
    </row>
    <row r="68" spans="1:10" s="14" customFormat="1" ht="14.25" customHeight="1" x14ac:dyDescent="0.2">
      <c r="A68" s="2"/>
      <c r="B68" s="2"/>
      <c r="C68" s="289" t="s">
        <v>264</v>
      </c>
      <c r="D68" s="2"/>
      <c r="E68" s="290"/>
      <c r="F68" s="291"/>
      <c r="G68" s="29">
        <f>G42+G67</f>
        <v>64658.82</v>
      </c>
      <c r="H68" s="292">
        <f t="shared" si="0"/>
        <v>1</v>
      </c>
      <c r="I68" s="29"/>
      <c r="J68" s="29">
        <f>J42+J67</f>
        <v>519857.07</v>
      </c>
    </row>
    <row r="69" spans="1:10" s="14" customFormat="1" ht="14.25" customHeight="1" x14ac:dyDescent="0.2">
      <c r="A69" s="2"/>
      <c r="B69" s="2"/>
      <c r="C69" s="9" t="s">
        <v>265</v>
      </c>
      <c r="D69" s="2"/>
      <c r="E69" s="290"/>
      <c r="F69" s="291"/>
      <c r="G69" s="29">
        <f>G14+G29+G68</f>
        <v>67365.070000000007</v>
      </c>
      <c r="H69" s="292"/>
      <c r="I69" s="29"/>
      <c r="J69" s="29">
        <f>J14+J29+J68</f>
        <v>610543.68000000005</v>
      </c>
    </row>
    <row r="70" spans="1:10" s="14" customFormat="1" ht="14.25" customHeight="1" x14ac:dyDescent="0.2">
      <c r="A70" s="2"/>
      <c r="B70" s="2"/>
      <c r="C70" s="9" t="s">
        <v>266</v>
      </c>
      <c r="D70" s="243">
        <f>ROUND(G70/(G$16+$G$14),2)</f>
        <v>0.97</v>
      </c>
      <c r="E70" s="290"/>
      <c r="F70" s="291"/>
      <c r="G70" s="29">
        <v>1661.27</v>
      </c>
      <c r="H70" s="292"/>
      <c r="I70" s="29"/>
      <c r="J70" s="189">
        <f>ROUND(D70*(J14+J16),2)</f>
        <v>78987.13</v>
      </c>
    </row>
    <row r="71" spans="1:10" s="14" customFormat="1" ht="14.25" customHeight="1" x14ac:dyDescent="0.2">
      <c r="A71" s="2"/>
      <c r="B71" s="2"/>
      <c r="C71" s="9" t="s">
        <v>267</v>
      </c>
      <c r="D71" s="243">
        <f>ROUND(G71/(G$14+G$16),2)</f>
        <v>0.51</v>
      </c>
      <c r="E71" s="290"/>
      <c r="F71" s="291"/>
      <c r="G71" s="29">
        <v>873.46</v>
      </c>
      <c r="H71" s="292"/>
      <c r="I71" s="29"/>
      <c r="J71" s="189">
        <f>ROUND(D71*(J14+J16),2)</f>
        <v>41529.32</v>
      </c>
    </row>
    <row r="72" spans="1:10" s="14" customFormat="1" ht="14.25" customHeight="1" x14ac:dyDescent="0.2">
      <c r="A72" s="2"/>
      <c r="B72" s="2"/>
      <c r="C72" s="9" t="s">
        <v>268</v>
      </c>
      <c r="D72" s="2"/>
      <c r="E72" s="290"/>
      <c r="F72" s="291"/>
      <c r="G72" s="29">
        <f>G14+G29+G68+G70+G71</f>
        <v>69899.800000000017</v>
      </c>
      <c r="H72" s="292"/>
      <c r="I72" s="29"/>
      <c r="J72" s="29">
        <f>J14+J29+J68+J70+J71</f>
        <v>731060.13</v>
      </c>
    </row>
    <row r="73" spans="1:10" s="14" customFormat="1" ht="14.25" customHeight="1" x14ac:dyDescent="0.2">
      <c r="A73" s="2"/>
      <c r="B73" s="2"/>
      <c r="C73" s="9" t="s">
        <v>269</v>
      </c>
      <c r="D73" s="2"/>
      <c r="E73" s="290"/>
      <c r="F73" s="291"/>
      <c r="G73" s="29">
        <f>G72+G36</f>
        <v>1364863.82</v>
      </c>
      <c r="H73" s="292"/>
      <c r="I73" s="29"/>
      <c r="J73" s="29">
        <f>J72+J36</f>
        <v>2383353.88</v>
      </c>
    </row>
    <row r="74" spans="1:10" s="14" customFormat="1" ht="34.5" customHeight="1" x14ac:dyDescent="0.2">
      <c r="A74" s="2"/>
      <c r="B74" s="2"/>
      <c r="C74" s="9" t="s">
        <v>233</v>
      </c>
      <c r="D74" s="2" t="s">
        <v>270</v>
      </c>
      <c r="E74" s="276">
        <v>1</v>
      </c>
      <c r="F74" s="291"/>
      <c r="G74" s="29">
        <f>G73/E74</f>
        <v>1364863.82</v>
      </c>
      <c r="H74" s="292"/>
      <c r="I74" s="29"/>
      <c r="J74" s="29">
        <f>J73/E74</f>
        <v>2383353.88</v>
      </c>
    </row>
    <row r="76" spans="1:10" s="14" customFormat="1" ht="14.25" customHeight="1" x14ac:dyDescent="0.2">
      <c r="A76" s="4" t="s">
        <v>271</v>
      </c>
    </row>
    <row r="77" spans="1:10" s="14" customFormat="1" ht="14.25" customHeight="1" x14ac:dyDescent="0.2">
      <c r="A77" s="208" t="s">
        <v>76</v>
      </c>
    </row>
    <row r="78" spans="1:10" s="14" customFormat="1" ht="14.25" customHeight="1" x14ac:dyDescent="0.2">
      <c r="A78" s="4"/>
    </row>
    <row r="79" spans="1:10" s="14" customFormat="1" ht="14.25" customHeight="1" x14ac:dyDescent="0.2">
      <c r="A79" s="4" t="s">
        <v>272</v>
      </c>
    </row>
    <row r="80" spans="1:10" s="14" customFormat="1" ht="14.25" customHeight="1" x14ac:dyDescent="0.2">
      <c r="A80" s="208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39:H39"/>
    <mergeCell ref="B12:H12"/>
    <mergeCell ref="B15:H15"/>
    <mergeCell ref="B17:H17"/>
    <mergeCell ref="B18:H18"/>
    <mergeCell ref="B31:H31"/>
    <mergeCell ref="B30:H30"/>
    <mergeCell ref="B38:H38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1"/>
  <sheetViews>
    <sheetView view="pageBreakPreview" topLeftCell="A7" workbookViewId="0">
      <selection activeCell="D16" sqref="D16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359" t="s">
        <v>273</v>
      </c>
      <c r="B1" s="359"/>
      <c r="C1" s="359"/>
      <c r="D1" s="359"/>
      <c r="E1" s="359"/>
      <c r="F1" s="359"/>
      <c r="G1" s="359"/>
    </row>
    <row r="2" spans="1:7" ht="21.75" customHeight="1" x14ac:dyDescent="0.25">
      <c r="A2" s="297"/>
      <c r="B2" s="297"/>
      <c r="C2" s="297"/>
      <c r="D2" s="297"/>
      <c r="E2" s="297"/>
      <c r="F2" s="297"/>
      <c r="G2" s="297"/>
    </row>
    <row r="3" spans="1:7" x14ac:dyDescent="0.25">
      <c r="A3" s="317" t="s">
        <v>274</v>
      </c>
      <c r="B3" s="317"/>
      <c r="C3" s="317"/>
      <c r="D3" s="317"/>
      <c r="E3" s="317"/>
      <c r="F3" s="317"/>
      <c r="G3" s="317"/>
    </row>
    <row r="4" spans="1:7" ht="25.5" customHeight="1" x14ac:dyDescent="0.25">
      <c r="A4" s="320" t="s">
        <v>47</v>
      </c>
      <c r="B4" s="320"/>
      <c r="C4" s="320"/>
      <c r="D4" s="320"/>
      <c r="E4" s="320"/>
      <c r="F4" s="320"/>
      <c r="G4" s="320"/>
    </row>
    <row r="5" spans="1:7" x14ac:dyDescent="0.25">
      <c r="A5" s="209"/>
      <c r="B5" s="209"/>
      <c r="C5" s="209"/>
      <c r="D5" s="209"/>
      <c r="E5" s="209"/>
      <c r="F5" s="209"/>
      <c r="G5" s="209"/>
    </row>
    <row r="6" spans="1:7" ht="30" customHeight="1" x14ac:dyDescent="0.25">
      <c r="A6" s="364" t="s">
        <v>13</v>
      </c>
      <c r="B6" s="364" t="s">
        <v>99</v>
      </c>
      <c r="C6" s="364" t="s">
        <v>199</v>
      </c>
      <c r="D6" s="364" t="s">
        <v>101</v>
      </c>
      <c r="E6" s="340" t="s">
        <v>242</v>
      </c>
      <c r="F6" s="364" t="s">
        <v>103</v>
      </c>
      <c r="G6" s="364"/>
    </row>
    <row r="7" spans="1:7" x14ac:dyDescent="0.25">
      <c r="A7" s="364"/>
      <c r="B7" s="364"/>
      <c r="C7" s="364"/>
      <c r="D7" s="364"/>
      <c r="E7" s="357"/>
      <c r="F7" s="293" t="s">
        <v>245</v>
      </c>
      <c r="G7" s="293" t="s">
        <v>105</v>
      </c>
    </row>
    <row r="8" spans="1:7" x14ac:dyDescent="0.25">
      <c r="A8" s="293">
        <v>1</v>
      </c>
      <c r="B8" s="293">
        <v>2</v>
      </c>
      <c r="C8" s="293">
        <v>3</v>
      </c>
      <c r="D8" s="293">
        <v>4</v>
      </c>
      <c r="E8" s="293">
        <v>5</v>
      </c>
      <c r="F8" s="293">
        <v>6</v>
      </c>
      <c r="G8" s="293">
        <v>7</v>
      </c>
    </row>
    <row r="9" spans="1:7" ht="15" customHeight="1" x14ac:dyDescent="0.25">
      <c r="A9" s="210"/>
      <c r="B9" s="360" t="s">
        <v>275</v>
      </c>
      <c r="C9" s="361"/>
      <c r="D9" s="361"/>
      <c r="E9" s="361"/>
      <c r="F9" s="361"/>
      <c r="G9" s="362"/>
    </row>
    <row r="10" spans="1:7" ht="27" customHeight="1" x14ac:dyDescent="0.25">
      <c r="A10" s="293"/>
      <c r="B10" s="211"/>
      <c r="C10" s="136" t="s">
        <v>276</v>
      </c>
      <c r="D10" s="211"/>
      <c r="E10" s="212"/>
      <c r="F10" s="295"/>
      <c r="G10" s="213">
        <v>0</v>
      </c>
    </row>
    <row r="11" spans="1:7" x14ac:dyDescent="0.25">
      <c r="A11" s="293"/>
      <c r="B11" s="345" t="s">
        <v>277</v>
      </c>
      <c r="C11" s="345"/>
      <c r="D11" s="345"/>
      <c r="E11" s="363"/>
      <c r="F11" s="348"/>
      <c r="G11" s="348"/>
    </row>
    <row r="12" spans="1:7" s="168" customFormat="1" ht="25.5" customHeight="1" x14ac:dyDescent="0.25">
      <c r="A12" s="293">
        <v>1</v>
      </c>
      <c r="B12" s="136" t="str">
        <f>'Прил.5 Расчет СМР и ОБ'!B32</f>
        <v>БЦ.36.17</v>
      </c>
      <c r="C12" s="214" t="str">
        <f>'Прил.5 Расчет СМР и ОБ'!C32</f>
        <v>Шкаф №1 с оборудованием ЭПУ (карта заказа №1.1 (ШОЭП №1)</v>
      </c>
      <c r="D12" s="215" t="str">
        <f>'Прил.5 Расчет СМР и ОБ'!D32</f>
        <v>шт</v>
      </c>
      <c r="E12" s="216">
        <f>'Прил.5 Расчет СМР и ОБ'!E32</f>
        <v>1</v>
      </c>
      <c r="F12" s="216">
        <f>'Прил.5 Расчет СМР и ОБ'!F32</f>
        <v>944244.6</v>
      </c>
      <c r="G12" s="213">
        <f>ROUND(E12*F12,2)</f>
        <v>944244.6</v>
      </c>
    </row>
    <row r="13" spans="1:7" s="168" customFormat="1" ht="25.5" customHeight="1" x14ac:dyDescent="0.25">
      <c r="A13" s="293">
        <v>2</v>
      </c>
      <c r="B13" s="136" t="str">
        <f>'Прил.5 Расчет СМР и ОБ'!B33</f>
        <v>БЦ.36.18</v>
      </c>
      <c r="C13" s="214" t="str">
        <f>'Прил.5 Расчет СМР и ОБ'!C33</f>
        <v>Шкаф №3 с оборудованием ЭПУ (АКБ) (карта заказа №1.3 (ШОЭП №3 (АКБ))</v>
      </c>
      <c r="D13" s="215" t="str">
        <f>'Прил.5 Расчет СМР и ОБ'!D33</f>
        <v>шт</v>
      </c>
      <c r="E13" s="216">
        <f>'Прил.5 Расчет СМР и ОБ'!E33</f>
        <v>1</v>
      </c>
      <c r="F13" s="216">
        <f>'Прил.5 Расчет СМР и ОБ'!F33</f>
        <v>350719.42</v>
      </c>
      <c r="G13" s="213">
        <f>ROUND(E13*F13,2)</f>
        <v>350719.42</v>
      </c>
    </row>
    <row r="14" spans="1:7" ht="25.5" customHeight="1" x14ac:dyDescent="0.25">
      <c r="A14" s="293"/>
      <c r="B14" s="136"/>
      <c r="C14" s="136" t="s">
        <v>278</v>
      </c>
      <c r="D14" s="136"/>
      <c r="E14" s="298"/>
      <c r="F14" s="295"/>
      <c r="G14" s="213">
        <f>SUM(G12:G13)</f>
        <v>1294964.02</v>
      </c>
    </row>
    <row r="15" spans="1:7" ht="19.5" customHeight="1" x14ac:dyDescent="0.25">
      <c r="A15" s="293"/>
      <c r="B15" s="136"/>
      <c r="C15" s="136" t="s">
        <v>279</v>
      </c>
      <c r="D15" s="136"/>
      <c r="E15" s="298"/>
      <c r="F15" s="295"/>
      <c r="G15" s="213">
        <f>G10+G14</f>
        <v>1294964.02</v>
      </c>
    </row>
    <row r="16" spans="1:7" x14ac:dyDescent="0.25">
      <c r="A16" s="217"/>
      <c r="B16" s="218"/>
      <c r="C16" s="217"/>
      <c r="D16" s="217"/>
      <c r="E16" s="217"/>
      <c r="F16" s="217"/>
      <c r="G16" s="217"/>
    </row>
    <row r="17" spans="1:7" x14ac:dyDescent="0.25">
      <c r="A17" s="4" t="s">
        <v>271</v>
      </c>
      <c r="B17" s="14"/>
      <c r="C17" s="14"/>
      <c r="D17" s="217"/>
      <c r="E17" s="217"/>
      <c r="F17" s="217"/>
      <c r="G17" s="217"/>
    </row>
    <row r="18" spans="1:7" x14ac:dyDescent="0.25">
      <c r="A18" s="208" t="s">
        <v>76</v>
      </c>
      <c r="B18" s="14"/>
      <c r="C18" s="14"/>
      <c r="D18" s="217"/>
      <c r="E18" s="217"/>
      <c r="F18" s="217"/>
      <c r="G18" s="217"/>
    </row>
    <row r="19" spans="1:7" x14ac:dyDescent="0.25">
      <c r="A19" s="4"/>
      <c r="B19" s="14"/>
      <c r="C19" s="14"/>
      <c r="D19" s="217"/>
      <c r="E19" s="217"/>
      <c r="F19" s="217"/>
      <c r="G19" s="217"/>
    </row>
    <row r="20" spans="1:7" x14ac:dyDescent="0.25">
      <c r="A20" s="4" t="s">
        <v>272</v>
      </c>
      <c r="B20" s="14"/>
      <c r="C20" s="14"/>
      <c r="D20" s="217"/>
      <c r="E20" s="217"/>
      <c r="F20" s="217"/>
      <c r="G20" s="217"/>
    </row>
    <row r="21" spans="1:7" x14ac:dyDescent="0.25">
      <c r="A21" s="208" t="s">
        <v>78</v>
      </c>
      <c r="B21" s="14"/>
      <c r="C21" s="14"/>
      <c r="D21" s="217"/>
      <c r="E21" s="217"/>
      <c r="F21" s="217"/>
      <c r="G21" s="217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2023-11-26T06:31:59Z</cp:lastPrinted>
  <dcterms:created xsi:type="dcterms:W3CDTF">2020-09-30T08:50:27Z</dcterms:created>
  <dcterms:modified xsi:type="dcterms:W3CDTF">2023-11-26T06:32:08Z</dcterms:modified>
  <cp:category/>
</cp:coreProperties>
</file>