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136B7DDD-FC89-41E2-82E9-6AB0C534979D}" xr6:coauthVersionLast="40" xr6:coauthVersionMax="40" xr10:uidLastSave="{00000000-0000-0000-0000-000000000000}"/>
  <bookViews>
    <workbookView xWindow="0" yWindow="0" windowWidth="28800" windowHeight="12225" tabRatio="924" firstSheet="3" activeTab="8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3">#REF!</definedName>
    <definedName name="\AUTOEXEC" localSheetId="5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3">#REF!</definedName>
    <definedName name="\z" localSheetId="5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3">#REF!</definedName>
    <definedName name="______a2" localSheetId="5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3">#REF!</definedName>
    <definedName name="______xlnm.Primt_Area_3" localSheetId="5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3">#REF!</definedName>
    <definedName name="_____xlnm.Print_Area_1" localSheetId="5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3">#REF!</definedName>
    <definedName name="____xlnm.Primt_Area_3" localSheetId="5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3">#REF!</definedName>
    <definedName name="___xlnm.Primt_Area_3" localSheetId="5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3">#REF!</definedName>
    <definedName name="__qs2" localSheetId="5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3">#REF!</definedName>
    <definedName name="__xlnm.Primt_Area_3" localSheetId="5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3">#REF!</definedName>
    <definedName name="_02121" localSheetId="5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3">#REF!</definedName>
    <definedName name="_AUTOEXEC" localSheetId="5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3">#REF!</definedName>
    <definedName name="_Fill" localSheetId="5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3">#REF!</definedName>
    <definedName name="_k" localSheetId="5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3">#REF!</definedName>
    <definedName name="_qs2" localSheetId="5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3">#REF!</definedName>
    <definedName name="_z" localSheetId="5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3">#REF!</definedName>
    <definedName name="_Стоимость_УНЦП" localSheetId="5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3">#REF!</definedName>
    <definedName name="a" localSheetId="5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3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3">#REF!</definedName>
    <definedName name="asd" localSheetId="5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3">#REF!</definedName>
    <definedName name="Categories" localSheetId="5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3">#REF!</definedName>
    <definedName name="Criteria" localSheetId="5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vtnf" localSheetId="3">#REF!</definedName>
    <definedName name="cvtnf" localSheetId="5">#REF!</definedName>
    <definedName name="cvtnf" localSheetId="6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3">#REF!</definedName>
    <definedName name="ddduy" localSheetId="5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3">#REF!</definedName>
    <definedName name="DiscontRate" localSheetId="5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3">#REF!</definedName>
    <definedName name="Excel_BuiltIn_Database" localSheetId="5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3">#REF!</definedName>
    <definedName name="Excel_BuiltIn_Print_Area_10_1" localSheetId="5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3">#REF!</definedName>
    <definedName name="Excel_BuiltIn_Print_Area_15" localSheetId="5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3">#REF!</definedName>
    <definedName name="Excel_BuiltIn_Print_Area_2_1" localSheetId="5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3">#REF!</definedName>
    <definedName name="Excel_BuiltIn_Print_Area_3_1" localSheetId="5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3">#REF!</definedName>
    <definedName name="Excel_BuiltIn_Print_Area_7_1" localSheetId="5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3">#REF!</definedName>
    <definedName name="Excel_BuiltIn_Print_Area_8_1" localSheetId="5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3">#REF!</definedName>
    <definedName name="Excel_BuiltIn_Print_Area_9_1" localSheetId="5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3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>#REF!</definedName>
    <definedName name="htvjyn" localSheetId="3">#REF!</definedName>
    <definedName name="htvjyn" localSheetId="5">#REF!</definedName>
    <definedName name="htvjyn" localSheetId="6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3">#REF!</definedName>
    <definedName name="iii" localSheetId="5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3">#REF!</definedName>
    <definedName name="Itog" localSheetId="5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3">#REF!</definedName>
    <definedName name="jkjhggh" localSheetId="5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5">#REF!</definedName>
    <definedName name="kk" localSheetId="6">#REF!</definedName>
    <definedName name="kk" localSheetId="7">#REF!</definedName>
    <definedName name="kk">#REF!</definedName>
    <definedName name="kl" localSheetId="3">#REF!</definedName>
    <definedName name="kl" localSheetId="5">#REF!</definedName>
    <definedName name="kl" localSheetId="6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3">#REF!</definedName>
    <definedName name="KPlan" localSheetId="5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3">#REF!</definedName>
    <definedName name="m" localSheetId="5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1">IF(Прил.10!n_3=1,Прил.10!n_2,Прил.10!n_3&amp;Прил.10!n_1)</definedName>
    <definedName name="n0x" localSheetId="5">IF('Прил.2 Расч стоим'!n_3=1,'Прил.2 Расч стоим'!n_2,'Прил.2 Расч стоим'!n_3&amp;'Прил.2 Расч стоим'!n_1)</definedName>
    <definedName name="n0x" localSheetId="6">IF(Прил.3!n_3=1,Прил.3!n_2,Прил.3!n_3&amp;Прил.3!n_1)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1">IF(Прил.10!n_3=1,Прил.10!n_2,Прил.10!n_3&amp;Прил.10!n_5)</definedName>
    <definedName name="n1x" localSheetId="5">IF('Прил.2 Расч стоим'!n_3=1,'Прил.2 Расч стоим'!n_2,'Прил.2 Расч стоим'!n_3&amp;'Прил.2 Расч стоим'!n_5)</definedName>
    <definedName name="n1x" localSheetId="6">IF(Прил.3!n_3=1,Прил.3!n_2,Прил.3!n_3&amp;Прил.3!n_5)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3">#REF!</definedName>
    <definedName name="Nalog" localSheetId="5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3">#REF!</definedName>
    <definedName name="NumColJournal" localSheetId="5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3">#REF!</definedName>
    <definedName name="oppp" localSheetId="5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3">#REF!</definedName>
    <definedName name="pp" localSheetId="5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3">#REF!</definedName>
    <definedName name="Print_Area" localSheetId="5">#REF!</definedName>
    <definedName name="Print_Area" localSheetId="6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3">#REF!</definedName>
    <definedName name="propis" localSheetId="5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3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3">#REF!</definedName>
    <definedName name="rrrrrr" localSheetId="5">#REF!</definedName>
    <definedName name="rrrrrr" localSheetId="6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3">#REF!</definedName>
    <definedName name="rybuf" localSheetId="5">#REF!</definedName>
    <definedName name="rybuf">#REF!</definedName>
    <definedName name="rybuf3" localSheetId="3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3">#REF!</definedName>
    <definedName name="SD_DC" localSheetId="5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3">#REF!</definedName>
    <definedName name="SDDsfd" localSheetId="5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3">#REF!</definedName>
    <definedName name="SM" localSheetId="5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3">#REF!</definedName>
    <definedName name="SM_STO1" localSheetId="5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3">#REF!</definedName>
    <definedName name="Status" localSheetId="5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3">#REF!</definedName>
    <definedName name="SUM_" localSheetId="5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3">#REF!</definedName>
    <definedName name="ttt" localSheetId="5">#REF!</definedName>
    <definedName name="ttt" localSheetId="6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3">#REF!</definedName>
    <definedName name="USA_1" localSheetId="5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3">#REF!</definedName>
    <definedName name="v" localSheetId="5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3">#REF!</definedName>
    <definedName name="w" localSheetId="5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3">{#N/A,#N/A,FALSE,"Шаблон_Спец1"}</definedName>
    <definedName name="wrn.1." localSheetId="11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3">#REF!</definedName>
    <definedName name="xh" localSheetId="5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3">#REF!</definedName>
    <definedName name="А10" localSheetId="5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3">#REF!</definedName>
    <definedName name="аааа" localSheetId="11">#REF!</definedName>
    <definedName name="аааа" localSheetId="5">#REF!</definedName>
    <definedName name="аааа" localSheetId="6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3">#REF!</definedName>
    <definedName name="ало" localSheetId="5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3">#REF!</definedName>
    <definedName name="аморт" localSheetId="5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3">#REF!</definedName>
    <definedName name="анол" localSheetId="5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3">#REF!</definedName>
    <definedName name="аода" localSheetId="5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3">#REF!</definedName>
    <definedName name="аопы" localSheetId="5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3">#REF!</definedName>
    <definedName name="аправи" localSheetId="5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3">#REF!</definedName>
    <definedName name="апыо" localSheetId="5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3">#REF!</definedName>
    <definedName name="аро" localSheetId="5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3">#REF!</definedName>
    <definedName name="ародарод" localSheetId="5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3">#REF!</definedName>
    <definedName name="аыв" localSheetId="5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3">#REF!</definedName>
    <definedName name="аыпрыпр" localSheetId="5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3">#REF!</definedName>
    <definedName name="б" localSheetId="5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3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3">#REF!</definedName>
    <definedName name="Больш" localSheetId="5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3">#REF!</definedName>
    <definedName name="бьюждж" localSheetId="5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3">#REF!</definedName>
    <definedName name="вава" localSheetId="5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3">#REF!</definedName>
    <definedName name="ВАЛ_" localSheetId="5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3">#REF!</definedName>
    <definedName name="вао" localSheetId="5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3">#REF!</definedName>
    <definedName name="варо" localSheetId="5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3">#REF!</definedName>
    <definedName name="ввв" localSheetId="5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3">#REF!</definedName>
    <definedName name="вген" localSheetId="5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3">#REF!</definedName>
    <definedName name="веше" localSheetId="5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3">#REF!</definedName>
    <definedName name="внеове" localSheetId="5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3">#REF!</definedName>
    <definedName name="Вп" localSheetId="5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3">#REF!</definedName>
    <definedName name="впор" localSheetId="5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3">#REF!</definedName>
    <definedName name="врьпврь" localSheetId="5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3">#REF!</definedName>
    <definedName name="Всего_по_смете" localSheetId="5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3">#REF!</definedName>
    <definedName name="ВсегоШурфов" localSheetId="5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3">#REF!</definedName>
    <definedName name="ГАП" localSheetId="5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3">#REF!</definedName>
    <definedName name="гелог" localSheetId="5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3">#REF!</definedName>
    <definedName name="геол1" localSheetId="5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3">#REF!</definedName>
    <definedName name="гидро1" localSheetId="5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3">#REF!</definedName>
    <definedName name="гидро5" localSheetId="5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3">#REF!</definedName>
    <definedName name="глрп" localSheetId="5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3">#REF!</definedName>
    <definedName name="гор" localSheetId="5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3">#REF!</definedName>
    <definedName name="гш" localSheetId="5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3">#REF!</definedName>
    <definedName name="десятый" localSheetId="5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3">#REF!</definedName>
    <definedName name="Дефлятор" localSheetId="5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3">#REF!</definedName>
    <definedName name="Дефлятор1" localSheetId="5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3">#REF!</definedName>
    <definedName name="диапазон" localSheetId="5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3">#REF!</definedName>
    <definedName name="Диск" localSheetId="5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3">#REF!</definedName>
    <definedName name="Длинна_границы" localSheetId="5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3">#REF!</definedName>
    <definedName name="длозщшзщдлжб" localSheetId="5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3">#REF!</definedName>
    <definedName name="Дн_ставка" localSheetId="5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3">#REF!</definedName>
    <definedName name="ДОЛЛАР" localSheetId="5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3">#REF!</definedName>
    <definedName name="Дорога_1" localSheetId="5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3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3">#REF!</definedName>
    <definedName name="дщшю" localSheetId="5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3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3">#REF!</definedName>
    <definedName name="жжж" localSheetId="5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_xlnm.Print_Titles" localSheetId="6">Прил.3!$9:$11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3">#REF!</definedName>
    <definedName name="Заказчик" localSheetId="5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3">#REF!</definedName>
    <definedName name="зждзд" localSheetId="5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3">#REF!</definedName>
    <definedName name="ЗИП_Всего_1" localSheetId="5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3">#REF!</definedName>
    <definedName name="зощр" localSheetId="5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3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>#REF!</definedName>
    <definedName name="ИиНИ" localSheetId="3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3">#REF!</definedName>
    <definedName name="имт" localSheetId="5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3">#REF!</definedName>
    <definedName name="Ини" localSheetId="5">#REF!</definedName>
    <definedName name="Ини" localSheetId="6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3">#REF!</definedName>
    <definedName name="ИОСост" localSheetId="5">#REF!</definedName>
    <definedName name="ИОСост">#REF!</definedName>
    <definedName name="ИОСпс" localSheetId="3">#REF!</definedName>
    <definedName name="ИОСпс" localSheetId="5">#REF!</definedName>
    <definedName name="ИОСпс">#REF!</definedName>
    <definedName name="ИОСсг" localSheetId="3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3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3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3">#REF!</definedName>
    <definedName name="ИС__И.Максимов" localSheetId="5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3">#REF!</definedName>
    <definedName name="Иуе" localSheetId="5">#REF!</definedName>
    <definedName name="Иуе">#REF!</definedName>
    <definedName name="ИуеРЭО" localSheetId="3">#REF!</definedName>
    <definedName name="ИуеРЭО" localSheetId="5">#REF!</definedName>
    <definedName name="ИуеРЭО">#REF!</definedName>
    <definedName name="Ицпп" localSheetId="3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3">#REF!</definedName>
    <definedName name="йцйу3йк" localSheetId="5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3">#REF!</definedName>
    <definedName name="йцу" localSheetId="5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3">#REF!</definedName>
    <definedName name="Кабели_1" localSheetId="5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3">#REF!</definedName>
    <definedName name="кака" localSheetId="5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3">#REF!</definedName>
    <definedName name="КВАРТАЛ2" localSheetId="5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3">#REF!</definedName>
    <definedName name="кгкг" localSheetId="5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>#REF!</definedName>
    <definedName name="КЗ_ИП" localSheetId="3">#REF!</definedName>
    <definedName name="КЗ_ИП" localSheetId="5">#REF!</definedName>
    <definedName name="КЗ_ИП">#REF!</definedName>
    <definedName name="КЗ_НИОКР" localSheetId="3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3">#REF!</definedName>
    <definedName name="КИПиавтом" localSheetId="5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3">#REF!</definedName>
    <definedName name="книга" localSheetId="5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3">#REF!</definedName>
    <definedName name="ком." localSheetId="5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>#REF!</definedName>
    <definedName name="комплект" localSheetId="3">#REF!</definedName>
    <definedName name="комплект" localSheetId="5">#REF!</definedName>
    <definedName name="комплект" localSheetId="6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3">#REF!</definedName>
    <definedName name="конкурс" localSheetId="5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3">#REF!</definedName>
    <definedName name="Контроллер_1" localSheetId="5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3">{#N/A,#N/A,FALSE,"Шаблон_Спец1"}</definedName>
    <definedName name="корр" localSheetId="11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3">#REF!</definedName>
    <definedName name="КОЭФ3" localSheetId="5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3">#REF!</definedName>
    <definedName name="КоэфБезПоля" localSheetId="5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3">#REF!</definedName>
    <definedName name="Коэффициент" localSheetId="5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3">#REF!</definedName>
    <definedName name="крас" localSheetId="5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3">#REF!</definedName>
    <definedName name="_xlnm.Criteria" localSheetId="5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3">#REF!</definedName>
    <definedName name="куку" localSheetId="5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3">#REF!</definedName>
    <definedName name="Курс_доллара_США" localSheetId="5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3">#REF!</definedName>
    <definedName name="лаборатория" localSheetId="5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3">#REF!</definedName>
    <definedName name="ленин" localSheetId="5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3">#REF!</definedName>
    <definedName name="ЛимитУРС_ПИР" localSheetId="5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3">#REF!</definedName>
    <definedName name="М" localSheetId="5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3">#REF!</definedName>
    <definedName name="МАРЖА" localSheetId="5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>#REF!</definedName>
    <definedName name="матер." localSheetId="3">#REF!</definedName>
    <definedName name="матер." localSheetId="5">#REF!</definedName>
    <definedName name="матер.">#REF!</definedName>
    <definedName name="матер.рем" localSheetId="3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3">#REF!</definedName>
    <definedName name="МИ_Т" localSheetId="5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3">{0,"овz";1,"z";2,"аz";5,"овz"}</definedName>
    <definedName name="мил" localSheetId="11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3">#REF!</definedName>
    <definedName name="мин" localSheetId="5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3">#REF!</definedName>
    <definedName name="мм" localSheetId="5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3">#REF!</definedName>
    <definedName name="Монтаж" localSheetId="5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3">#REF!</definedName>
    <definedName name="над" localSheetId="5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3">#REF!</definedName>
    <definedName name="Название_проекта" localSheetId="5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3">#REF!</definedName>
    <definedName name="нвле" localSheetId="5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>#REF!</definedName>
    <definedName name="НДСИП" localSheetId="3">#REF!</definedName>
    <definedName name="НДСИП" localSheetId="5">#REF!</definedName>
    <definedName name="НДСИП">#REF!</definedName>
    <definedName name="НДСНИОКР" localSheetId="3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3">#REF!</definedName>
    <definedName name="нер" localSheetId="5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3">#REF!</definedName>
    <definedName name="неуо" localSheetId="5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3">#REF!</definedName>
    <definedName name="новый" localSheetId="5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5">#REF!</definedName>
    <definedName name="НормаАУП_на_УЕ" localSheetId="6">#REF!</definedName>
    <definedName name="НормаАУП_на_УЕ" localSheetId="7">#REF!</definedName>
    <definedName name="НормаАУП_на_УЕ">#REF!</definedName>
    <definedName name="НормаПП_на_УЕ" localSheetId="3">#REF!</definedName>
    <definedName name="НормаПП_на_УЕ" localSheetId="5">#REF!</definedName>
    <definedName name="НормаПП_на_УЕ" localSheetId="6">#REF!</definedName>
    <definedName name="НормаПП_на_УЕ" localSheetId="7">#REF!</definedName>
    <definedName name="НормаПП_на_УЕ">#REF!</definedName>
    <definedName name="НормаРостаУЕ" localSheetId="3">#REF!</definedName>
    <definedName name="НормаРостаУЕ" localSheetId="5">#REF!</definedName>
    <definedName name="НормаРостаУЕ" localSheetId="6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3">граж</definedName>
    <definedName name="нр" localSheetId="11">граж</definedName>
    <definedName name="нр" localSheetId="5">граж</definedName>
    <definedName name="нр" localSheetId="6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3">#REF!</definedName>
    <definedName name="о" localSheetId="5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3">#REF!</definedName>
    <definedName name="об" localSheetId="5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3">'Прил.1 Сравнит табл'!$A$1:$D$32</definedName>
    <definedName name="_xlnm.Print_Area" localSheetId="5">'Прил.2 Расч стоим'!$A$1:$J$23</definedName>
    <definedName name="_xlnm.Print_Area" localSheetId="6">Прил.3!$A$1:$H$48</definedName>
    <definedName name="_xlnm.Print_Area" localSheetId="7">'Прил.4 РМ'!$A$1:$E$48</definedName>
    <definedName name="_xlnm.Print_Area" localSheetId="8">'Прил.5 Расчет СМР и ОБ'!$A$1:$J$66</definedName>
    <definedName name="_xlnm.Print_Area" localSheetId="9">'Прил.6 Расчет ОБ'!$A$1:$G$20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3">#REF!</definedName>
    <definedName name="объем___0" localSheetId="5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3">#REF!</definedName>
    <definedName name="объем___10___0___0" localSheetId="5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3">#REF!</definedName>
    <definedName name="объем___11" localSheetId="5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3">#REF!</definedName>
    <definedName name="объем___11___10" localSheetId="5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3">#REF!</definedName>
    <definedName name="объем___2" localSheetId="5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3">#REF!</definedName>
    <definedName name="объем___3___10" localSheetId="5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3">#REF!</definedName>
    <definedName name="объем___4___0___0" localSheetId="5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3">#REF!</definedName>
    <definedName name="объем___5___0" localSheetId="5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3">#REF!</definedName>
    <definedName name="объем___6___0" localSheetId="5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3">#REF!</definedName>
    <definedName name="окн" localSheetId="5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7">#REF!</definedName>
    <definedName name="ОсвоениеИмущества">#REF!</definedName>
    <definedName name="ОсвоениеИП" localSheetId="3">#REF!</definedName>
    <definedName name="ОсвоениеИП" localSheetId="5">#REF!</definedName>
    <definedName name="ОсвоениеИП" localSheetId="6">#REF!</definedName>
    <definedName name="ОсвоениеИП" localSheetId="7">#REF!</definedName>
    <definedName name="ОсвоениеИП">#REF!</definedName>
    <definedName name="ОсвоениеНИОКР" localSheetId="3">#REF!</definedName>
    <definedName name="ОсвоениеНИОКР" localSheetId="5">#REF!</definedName>
    <definedName name="ОсвоениеНИОКР" localSheetId="6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3">#REF!</definedName>
    <definedName name="ОтпускИзЕНЭС" localSheetId="5">#REF!</definedName>
    <definedName name="ОтпускИзЕНЭС" localSheetId="6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3">#REF!</definedName>
    <definedName name="оьт" localSheetId="5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3">#REF!</definedName>
    <definedName name="паша" localSheetId="5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3">#REF!</definedName>
    <definedName name="пвьрвпрь" localSheetId="5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3">#REF!</definedName>
    <definedName name="Пи" localSheetId="5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3">#REF!</definedName>
    <definedName name="пл" localSheetId="5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3">#REF!</definedName>
    <definedName name="плдпол" localSheetId="5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3">#REF!</definedName>
    <definedName name="плыа" localSheetId="5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3">#REF!</definedName>
    <definedName name="пов" localSheetId="5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3">#REF!</definedName>
    <definedName name="Подгон" localSheetId="5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3">#REF!</definedName>
    <definedName name="подста" localSheetId="5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3">#REF!</definedName>
    <definedName name="Покупное_ПО" localSheetId="5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3">#REF!</definedName>
    <definedName name="ПотериНорма" localSheetId="5">#REF!</definedName>
    <definedName name="ПотериНорма" localSheetId="6">#REF!</definedName>
    <definedName name="ПотериНорма" localSheetId="7">#REF!</definedName>
    <definedName name="ПотериНорма">#REF!</definedName>
    <definedName name="ПотериФакт" localSheetId="3">#REF!</definedName>
    <definedName name="ПотериФакт" localSheetId="5">#REF!</definedName>
    <definedName name="ПотериФакт" localSheetId="6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3">#REF!</definedName>
    <definedName name="пп" localSheetId="5">#REF!</definedName>
    <definedName name="пп" localSheetId="6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3">#REF!</definedName>
    <definedName name="прд" localSheetId="5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3">#REF!</definedName>
    <definedName name="прибыль" localSheetId="5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3">#REF!</definedName>
    <definedName name="Приморский_край" localSheetId="5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3">#REF!</definedName>
    <definedName name="приоб" localSheetId="5">#REF!</definedName>
    <definedName name="приоб">#REF!</definedName>
    <definedName name="приобр" localSheetId="3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3">#REF!</definedName>
    <definedName name="прл" localSheetId="5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3">#REF!</definedName>
    <definedName name="проект" localSheetId="5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3">#REF!</definedName>
    <definedName name="пролоддошщ" localSheetId="5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3">#REF!</definedName>
    <definedName name="Промбезоп" localSheetId="5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3">#REF!</definedName>
    <definedName name="пропр" localSheetId="5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3">#REF!</definedName>
    <definedName name="протоколРМВК" localSheetId="5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3">#REF!</definedName>
    <definedName name="Прочие_работы" localSheetId="5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3">#REF!</definedName>
    <definedName name="прпр_1" localSheetId="5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3">#REF!</definedName>
    <definedName name="прьто" localSheetId="5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3">#REF!</definedName>
    <definedName name="пшждю" localSheetId="5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3">#REF!</definedName>
    <definedName name="Работа1" localSheetId="5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3">#REF!</definedName>
    <definedName name="раоб" localSheetId="5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5">#REF!</definedName>
    <definedName name="расш" localSheetId="6">#REF!</definedName>
    <definedName name="расш" localSheetId="7">#REF!</definedName>
    <definedName name="расш">#REF!</definedName>
    <definedName name="расш." localSheetId="3">#REF!</definedName>
    <definedName name="расш." localSheetId="5">#REF!</definedName>
    <definedName name="расш." localSheetId="6">#REF!</definedName>
    <definedName name="расш." localSheetId="7">#REF!</definedName>
    <definedName name="расш.">#REF!</definedName>
    <definedName name="Расшифровка" localSheetId="3">#REF!</definedName>
    <definedName name="Расшифровка" localSheetId="5">#REF!</definedName>
    <definedName name="Расшифровка" localSheetId="6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3">#REF!</definedName>
    <definedName name="рлвро" localSheetId="5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3">#REF!</definedName>
    <definedName name="роло" localSheetId="5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3">#REF!</definedName>
    <definedName name="рпьрь" localSheetId="5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3">{#N/A,#N/A,FALSE,"Шаблон_Спец1"}</definedName>
    <definedName name="С" localSheetId="11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3">#REF!</definedName>
    <definedName name="с1" localSheetId="5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3">#REF!</definedName>
    <definedName name="Сводка" localSheetId="5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3">#REF!</definedName>
    <definedName name="сев" localSheetId="5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3">#REF!</definedName>
    <definedName name="Сегодня" localSheetId="5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3">#REF!</definedName>
    <definedName name="Семь" localSheetId="5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3">#REF!</definedName>
    <definedName name="Сервис_Всего_1" localSheetId="5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3">#REF!</definedName>
    <definedName name="СлБелг" localSheetId="5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3">#REF!</definedName>
    <definedName name="см" localSheetId="5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3">#REF!</definedName>
    <definedName name="См7" localSheetId="5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3">#REF!</definedName>
    <definedName name="смета" localSheetId="5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3">#REF!</definedName>
    <definedName name="смета1" localSheetId="5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3">#REF!</definedName>
    <definedName name="Согласование" localSheetId="5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3">#REF!</definedName>
    <definedName name="Составитель" localSheetId="5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3">#REF!</definedName>
    <definedName name="сп2" localSheetId="5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3">#REF!</definedName>
    <definedName name="срл" localSheetId="5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7">#REF!</definedName>
    <definedName name="СтавкаАмортизации">#REF!</definedName>
    <definedName name="СтавкаДепозитов" localSheetId="3">#REF!</definedName>
    <definedName name="СтавкаДепозитов" localSheetId="5">#REF!</definedName>
    <definedName name="СтавкаДепозитов" localSheetId="6">#REF!</definedName>
    <definedName name="СтавкаДепозитов" localSheetId="7">#REF!</definedName>
    <definedName name="СтавкаДепозитов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7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3">#REF!</definedName>
    <definedName name="Стоимость" localSheetId="5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5">#REF!</definedName>
    <definedName name="страх" localSheetId="6">#REF!</definedName>
    <definedName name="страх" localSheetId="7">#REF!</definedName>
    <definedName name="страх">#REF!</definedName>
    <definedName name="страхов" localSheetId="3">#REF!</definedName>
    <definedName name="страхов" localSheetId="5">#REF!</definedName>
    <definedName name="страхов" localSheetId="6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3">#REF!</definedName>
    <definedName name="т" localSheetId="5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3">#REF!</definedName>
    <definedName name="Томская_область" localSheetId="5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3">#REF!</definedName>
    <definedName name="третий" localSheetId="5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3">{0,"тысячz";1,"тысячаz";2,"тысячиz";5,"тысячz"}</definedName>
    <definedName name="тыс" localSheetId="11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3">#REF!</definedName>
    <definedName name="тьбю" localSheetId="5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>#REF!</definedName>
    <definedName name="УслугиТОиР_ГС" localSheetId="3">#REF!</definedName>
    <definedName name="УслугиТОиР_ГС" localSheetId="5">#REF!</definedName>
    <definedName name="УслугиТОиР_ГС" localSheetId="6">#REF!</definedName>
    <definedName name="УслугиТОиР_ГС" localSheetId="7">#REF!</definedName>
    <definedName name="УслугиТОиР_ГС">#REF!</definedName>
    <definedName name="УслугиТОиР_ЭСС" localSheetId="3">#REF!</definedName>
    <definedName name="УслугиТОиР_ЭСС" localSheetId="5">#REF!</definedName>
    <definedName name="УслугиТОиР_ЭСС" localSheetId="6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3">#REF!</definedName>
    <definedName name="Ф5.1" localSheetId="5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3">#REF!</definedName>
    <definedName name="Ф91" localSheetId="5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3">#REF!</definedName>
    <definedName name="фукек" localSheetId="5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3">#REF!</definedName>
    <definedName name="ффггг" localSheetId="5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3">#REF!</definedName>
    <definedName name="цена___0" localSheetId="5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3">#REF!</definedName>
    <definedName name="цена___10___0___0" localSheetId="5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3">#REF!</definedName>
    <definedName name="цена___11" localSheetId="5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3">#REF!</definedName>
    <definedName name="цена___11___10" localSheetId="5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3">#REF!</definedName>
    <definedName name="цена___2" localSheetId="5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3">#REF!</definedName>
    <definedName name="цена___3___10" localSheetId="5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3">#REF!</definedName>
    <definedName name="цена___4___0___0" localSheetId="5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3">#REF!</definedName>
    <definedName name="цена___5___0" localSheetId="5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3">#REF!</definedName>
    <definedName name="цена___6___0" localSheetId="5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3">#REF!</definedName>
    <definedName name="ЦенаШурфов" localSheetId="5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3">#REF!</definedName>
    <definedName name="Шкафы_ТМ" localSheetId="5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3">#REF!</definedName>
    <definedName name="ыа" localSheetId="5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3">#REF!</definedName>
    <definedName name="ыапраыр" localSheetId="5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3">#REF!</definedName>
    <definedName name="ЫВGGGGGGGGGGGGGGG" localSheetId="5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3">#REF!</definedName>
    <definedName name="ываф" localSheetId="5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3">#REF!</definedName>
    <definedName name="ыВПВП" localSheetId="5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3">#REF!</definedName>
    <definedName name="ыпры" localSheetId="5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3">#REF!</definedName>
    <definedName name="ьбюбб" localSheetId="5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3">#REF!</definedName>
    <definedName name="экол1" localSheetId="5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3">граж</definedName>
    <definedName name="ЭКСПО" localSheetId="11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3">граж</definedName>
    <definedName name="ЭКСПОФОРУМ" localSheetId="11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3">#REF!</definedName>
    <definedName name="экт" localSheetId="5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3">#REF!</definedName>
    <definedName name="ЭлеСи_1" localSheetId="5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3">#REF!</definedName>
    <definedName name="юдшншджгп" localSheetId="5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3">#REF!</definedName>
    <definedName name="яапт" localSheetId="5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8" i="13"/>
  <c r="D5" i="11"/>
  <c r="F12" i="10"/>
  <c r="G12" i="10" s="1"/>
  <c r="G13" i="10" s="1"/>
  <c r="E12" i="10"/>
  <c r="D12" i="10"/>
  <c r="C12" i="10"/>
  <c r="B12" i="10"/>
  <c r="I49" i="9"/>
  <c r="J49" i="9" s="1"/>
  <c r="G49" i="9"/>
  <c r="I48" i="9"/>
  <c r="J48" i="9" s="1"/>
  <c r="G48" i="9"/>
  <c r="I47" i="9"/>
  <c r="J47" i="9" s="1"/>
  <c r="G47" i="9"/>
  <c r="I46" i="9"/>
  <c r="J46" i="9" s="1"/>
  <c r="G46" i="9"/>
  <c r="I45" i="9"/>
  <c r="J45" i="9" s="1"/>
  <c r="G45" i="9"/>
  <c r="I44" i="9"/>
  <c r="J44" i="9" s="1"/>
  <c r="G44" i="9"/>
  <c r="I43" i="9"/>
  <c r="J43" i="9" s="1"/>
  <c r="G43" i="9"/>
  <c r="I42" i="9"/>
  <c r="J42" i="9" s="1"/>
  <c r="G42" i="9"/>
  <c r="I41" i="9"/>
  <c r="J41" i="9" s="1"/>
  <c r="G41" i="9"/>
  <c r="G50" i="9" s="1"/>
  <c r="B14" i="5" s="1"/>
  <c r="G40" i="9"/>
  <c r="B13" i="5" s="1"/>
  <c r="J39" i="9"/>
  <c r="I39" i="9"/>
  <c r="G39" i="9"/>
  <c r="J38" i="9"/>
  <c r="I38" i="9"/>
  <c r="G38" i="9"/>
  <c r="J37" i="9"/>
  <c r="I37" i="9"/>
  <c r="G37" i="9"/>
  <c r="J36" i="9"/>
  <c r="I36" i="9"/>
  <c r="G36" i="9"/>
  <c r="J35" i="9"/>
  <c r="J40" i="9" s="1"/>
  <c r="I35" i="9"/>
  <c r="G35" i="9"/>
  <c r="J34" i="9"/>
  <c r="I34" i="9"/>
  <c r="G34" i="9"/>
  <c r="J33" i="9"/>
  <c r="I33" i="9"/>
  <c r="G33" i="9"/>
  <c r="J29" i="9"/>
  <c r="C25" i="8" s="1"/>
  <c r="J27" i="9"/>
  <c r="G27" i="9"/>
  <c r="J26" i="9"/>
  <c r="G26" i="9"/>
  <c r="F26" i="9"/>
  <c r="G23" i="9"/>
  <c r="H19" i="9" s="1"/>
  <c r="G22" i="9"/>
  <c r="J21" i="9"/>
  <c r="J22" i="9" s="1"/>
  <c r="I21" i="9"/>
  <c r="H21" i="9"/>
  <c r="G21" i="9"/>
  <c r="J20" i="9"/>
  <c r="G20" i="9"/>
  <c r="H20" i="9" s="1"/>
  <c r="J19" i="9"/>
  <c r="I19" i="9"/>
  <c r="G19" i="9"/>
  <c r="G16" i="9"/>
  <c r="E14" i="9"/>
  <c r="J13" i="9"/>
  <c r="J14" i="9" s="1"/>
  <c r="I13" i="9"/>
  <c r="G13" i="9"/>
  <c r="G14" i="9" s="1"/>
  <c r="C12" i="8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C21" i="7"/>
  <c r="H20" i="7"/>
  <c r="H19" i="7"/>
  <c r="H18" i="7"/>
  <c r="H17" i="7"/>
  <c r="H15" i="7"/>
  <c r="F15" i="7"/>
  <c r="H14" i="7"/>
  <c r="H13" i="7"/>
  <c r="H12" i="7"/>
  <c r="F12" i="7"/>
  <c r="H12" i="6"/>
  <c r="H14" i="6" s="1"/>
  <c r="D19" i="4" s="1"/>
  <c r="D17" i="4" s="1"/>
  <c r="D23" i="4" s="1"/>
  <c r="D24" i="4" s="1"/>
  <c r="F12" i="6"/>
  <c r="F14" i="6" s="1"/>
  <c r="B32" i="5"/>
  <c r="B30" i="5"/>
  <c r="B28" i="5"/>
  <c r="B27" i="5"/>
  <c r="B26" i="5"/>
  <c r="B19" i="5"/>
  <c r="B17" i="5"/>
  <c r="B12" i="5"/>
  <c r="B10" i="5"/>
  <c r="B9" i="5"/>
  <c r="B11" i="5" s="1"/>
  <c r="A4" i="5"/>
  <c r="A2" i="5"/>
  <c r="D18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J50" i="9" l="1"/>
  <c r="C17" i="8" s="1"/>
  <c r="B15" i="5"/>
  <c r="C16" i="8"/>
  <c r="J51" i="9"/>
  <c r="C18" i="8"/>
  <c r="C19" i="8" s="1"/>
  <c r="C13" i="8"/>
  <c r="C14" i="8" s="1"/>
  <c r="J23" i="9"/>
  <c r="H27" i="9"/>
  <c r="C11" i="8"/>
  <c r="H50" i="9"/>
  <c r="G14" i="10"/>
  <c r="B22" i="5" s="1"/>
  <c r="B23" i="5"/>
  <c r="C12" i="2" s="1"/>
  <c r="D18" i="2" s="1"/>
  <c r="G30" i="9"/>
  <c r="J30" i="9" s="1"/>
  <c r="C26" i="8" s="1"/>
  <c r="H22" i="9"/>
  <c r="G29" i="9"/>
  <c r="G51" i="9"/>
  <c r="G52" i="9" s="1"/>
  <c r="D53" i="9"/>
  <c r="H13" i="9"/>
  <c r="B8" i="5"/>
  <c r="D54" i="9"/>
  <c r="J12" i="6"/>
  <c r="J14" i="6" s="1"/>
  <c r="F16" i="9"/>
  <c r="I16" i="9" s="1"/>
  <c r="J16" i="9" s="1"/>
  <c r="C15" i="8" s="1"/>
  <c r="J52" i="9" l="1"/>
  <c r="H35" i="9"/>
  <c r="H47" i="9"/>
  <c r="H44" i="9"/>
  <c r="H41" i="9"/>
  <c r="H34" i="9"/>
  <c r="H49" i="9"/>
  <c r="H46" i="9"/>
  <c r="H43" i="9"/>
  <c r="H39" i="9"/>
  <c r="H36" i="9"/>
  <c r="H33" i="9"/>
  <c r="H51" i="9"/>
  <c r="H37" i="9"/>
  <c r="H48" i="9"/>
  <c r="H45" i="9"/>
  <c r="H42" i="9"/>
  <c r="H38" i="9"/>
  <c r="H29" i="9"/>
  <c r="H26" i="9"/>
  <c r="H28" i="9"/>
  <c r="G55" i="9"/>
  <c r="G56" i="9" s="1"/>
  <c r="B24" i="5" s="1"/>
  <c r="H40" i="9"/>
  <c r="J54" i="9"/>
  <c r="C20" i="8"/>
  <c r="C22" i="8"/>
  <c r="B18" i="5"/>
  <c r="B16" i="5"/>
  <c r="B21" i="5" s="1"/>
  <c r="C8" i="5" s="1"/>
  <c r="B20" i="5"/>
  <c r="J53" i="9"/>
  <c r="G57" i="9" l="1"/>
  <c r="J55" i="9"/>
  <c r="J56" i="9" s="1"/>
  <c r="J57" i="9" s="1"/>
  <c r="B33" i="5"/>
  <c r="C21" i="5"/>
  <c r="C15" i="5"/>
  <c r="C13" i="5"/>
  <c r="C11" i="5"/>
  <c r="C9" i="5"/>
  <c r="C19" i="5"/>
  <c r="C17" i="5"/>
  <c r="C14" i="5"/>
  <c r="C10" i="5"/>
  <c r="C12" i="5"/>
  <c r="C24" i="8"/>
  <c r="D22" i="8" s="1"/>
  <c r="D20" i="8" l="1"/>
  <c r="D17" i="8"/>
  <c r="D13" i="8"/>
  <c r="D11" i="8"/>
  <c r="C27" i="8"/>
  <c r="D24" i="8"/>
  <c r="C29" i="8"/>
  <c r="C30" i="8" s="1"/>
  <c r="D18" i="8"/>
  <c r="D16" i="8"/>
  <c r="D14" i="8"/>
  <c r="D12" i="8"/>
  <c r="D15" i="8"/>
  <c r="B34" i="5"/>
  <c r="B35" i="5" s="1"/>
  <c r="D28" i="5" l="1"/>
  <c r="D15" i="5"/>
  <c r="B36" i="5"/>
  <c r="D35" i="5"/>
  <c r="D27" i="5"/>
  <c r="D23" i="5"/>
  <c r="D17" i="5"/>
  <c r="D11" i="5"/>
  <c r="D32" i="5"/>
  <c r="D14" i="5"/>
  <c r="D10" i="5"/>
  <c r="D30" i="5"/>
  <c r="D26" i="5"/>
  <c r="D22" i="5"/>
  <c r="D19" i="5"/>
  <c r="D13" i="5"/>
  <c r="D9" i="5"/>
  <c r="D12" i="5"/>
  <c r="D8" i="5"/>
  <c r="D24" i="5"/>
  <c r="D21" i="5"/>
  <c r="D33" i="5"/>
  <c r="C36" i="8"/>
  <c r="C37" i="8"/>
  <c r="D34" i="5"/>
  <c r="C9" i="2" l="1"/>
  <c r="B18" i="2" s="1"/>
  <c r="C13" i="2"/>
  <c r="C10" i="1"/>
  <c r="C38" i="8"/>
  <c r="C39" i="8" l="1"/>
  <c r="E39" i="8" l="1"/>
  <c r="C40" i="8"/>
  <c r="E26" i="8" l="1"/>
  <c r="E35" i="8"/>
  <c r="E17" i="8"/>
  <c r="E13" i="8"/>
  <c r="C41" i="8"/>
  <c r="D11" i="11" s="1"/>
  <c r="E34" i="8"/>
  <c r="E25" i="8"/>
  <c r="E18" i="8"/>
  <c r="E16" i="8"/>
  <c r="E14" i="8"/>
  <c r="E12" i="8"/>
  <c r="E40" i="8"/>
  <c r="E33" i="8"/>
  <c r="E31" i="8"/>
  <c r="E11" i="8"/>
  <c r="E32" i="8"/>
  <c r="E15" i="8"/>
  <c r="E20" i="8"/>
  <c r="E22" i="8"/>
  <c r="E24" i="8"/>
  <c r="E30" i="8"/>
  <c r="E27" i="8"/>
  <c r="E29" i="8"/>
  <c r="E36" i="8"/>
  <c r="E37" i="8"/>
  <c r="E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<sst xmlns="http://schemas.openxmlformats.org/spreadsheetml/2006/main" count="669" uniqueCount="412">
  <si>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</si>
  <si>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</si>
  <si>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</si>
  <si>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</si>
  <si>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</si>
  <si>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</si>
  <si>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</si>
  <si>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</si>
  <si>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</si>
  <si>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</si>
  <si>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</si>
  <si>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</si>
  <si>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</si>
  <si>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</si>
  <si>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</si>
  <si>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</si>
  <si>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</si>
  <si>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</si>
  <si>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</si>
  <si>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</si>
  <si>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</si>
  <si>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</si>
  <si>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</si>
  <si>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</si>
  <si>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</si>
  <si>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</si>
  <si>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</si>
  <si>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</si>
  <si>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</si>
  <si>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</si>
  <si>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</si>
  <si>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</si>
  <si>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</si>
  <si>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</si>
  <si>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</si>
  <si>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</si>
  <si>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</si>
  <si>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</si>
  <si>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</si>
  <si>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</si>
  <si>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</si>
  <si>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</si>
  <si>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</si>
  <si>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</si>
  <si>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</si>
  <si>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</si>
  <si>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</si>
  <si>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АРМ ЗПС 110 кВ</t>
  </si>
  <si>
    <t>Сопоставимый уровень цен:  4 кв. 2019 г.</t>
  </si>
  <si>
    <t>Единица измерения  — 1 ПС.</t>
  </si>
  <si>
    <t>Параметр</t>
  </si>
  <si>
    <t>Объект-представитель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</si>
  <si>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</si>
  <si>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</si>
  <si>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</si>
  <si>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</si>
  <si>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</si>
  <si>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</si>
  <si>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</si>
  <si>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</si>
  <si>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АРМ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</si>
  <si>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</si>
  <si>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</si>
  <si>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</si>
  <si>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</si>
  <si>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</si>
  <si>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</si>
  <si>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</si>
  <si>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</si>
  <si>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</si>
  <si>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</si>
  <si>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</si>
  <si>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</si>
  <si>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</si>
  <si>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</si>
  <si>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</si>
  <si>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</si>
  <si>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</si>
  <si>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</si>
  <si>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</si>
  <si>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</si>
  <si>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</si>
  <si>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</si>
  <si>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</si>
  <si>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</si>
  <si>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</si>
  <si>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</si>
  <si>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</si>
  <si>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</si>
  <si>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</si>
  <si>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</si>
  <si>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</si>
  <si>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</si>
  <si>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</si>
  <si>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</si>
  <si>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</si>
  <si>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</si>
  <si>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</si>
  <si>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</si>
  <si>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</si>
  <si>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</si>
  <si>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</si>
  <si>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</si>
  <si>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</si>
  <si>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</si>
  <si>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</si>
  <si>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</si>
  <si>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</si>
  <si>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</si>
  <si>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</si>
  <si>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</si>
  <si>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</si>
  <si>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</si>
  <si>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</si>
  <si>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</si>
  <si>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</si>
  <si>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</si>
  <si>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АРМ ЗПС 110 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</si>
  <si>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</si>
  <si>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</si>
  <si>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</si>
  <si>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</si>
  <si>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</si>
  <si>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</si>
  <si>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</si>
  <si>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</si>
  <si>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</si>
  <si>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АРМ ЗПС 110 кВ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</si>
  <si>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</si>
  <si>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</si>
  <si>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</si>
  <si>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</si>
  <si>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АРМ ЗПС 110 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</si>
  <si>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</si>
  <si>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</si>
  <si>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</si>
  <si>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</si>
  <si>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</si>
  <si>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</si>
  <si>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</si>
  <si>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</si>
  <si>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</si>
  <si>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</si>
  <si>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</si>
  <si>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</si>
  <si>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</si>
  <si>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</si>
  <si>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</si>
  <si>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</si>
  <si>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</si>
  <si>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</si>
  <si>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</si>
  <si>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</si>
  <si>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</si>
  <si>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</si>
  <si>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</si>
  <si>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</si>
  <si>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</si>
  <si>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</si>
  <si>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</si>
  <si>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</si>
  <si>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</si>
  <si>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</si>
  <si>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</si>
  <si>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</si>
  <si>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</si>
  <si>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</si>
  <si>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</si>
  <si>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</si>
  <si>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</si>
  <si>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</si>
  <si>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</si>
  <si>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</si>
  <si>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</si>
  <si>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</si>
  <si>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</si>
  <si>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</si>
  <si>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</si>
  <si>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</si>
  <si>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</si>
  <si>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</si>
  <si>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</si>
  <si>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</si>
  <si>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</si>
  <si>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</si>
  <si>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</si>
  <si>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</si>
  <si>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</si>
  <si>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</si>
  <si>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</si>
  <si>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</si>
  <si>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</si>
  <si>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</si>
  <si>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</si>
  <si>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</si>
  <si>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</si>
  <si>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</si>
  <si>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</si>
  <si>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</si>
  <si>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</si>
  <si>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</si>
  <si>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</si>
  <si>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</si>
  <si>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</si>
  <si>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</si>
  <si>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</si>
  <si>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</si>
  <si>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</si>
  <si>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</si>
  <si>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</si>
  <si>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</si>
  <si>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</si>
  <si>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</si>
  <si>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</si>
  <si>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</si>
  <si>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</si>
  <si>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АРМ ЗПС 110 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</si>
  <si>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</si>
  <si>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</si>
  <si>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</si>
  <si>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</si>
  <si>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</si>
  <si>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</si>
  <si>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</si>
  <si>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</si>
  <si>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</si>
  <si>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</si>
  <si>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</si>
  <si>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</si>
  <si>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</si>
  <si>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</si>
  <si>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</si>
  <si>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</si>
  <si>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</si>
  <si>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</si>
  <si>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</si>
  <si>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</si>
  <si>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</si>
  <si>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</si>
  <si>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</si>
  <si>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</si>
  <si>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</si>
  <si>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</si>
  <si>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</si>
  <si>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</si>
  <si>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</si>
  <si>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ПС.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</si>
  <si>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</si>
  <si>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</si>
  <si>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</si>
  <si>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</si>
  <si>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</si>
  <si>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</si>
  <si>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</si>
  <si>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</si>
  <si>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</si>
  <si>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</si>
  <si>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</si>
  <si>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</si>
  <si>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</si>
  <si>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</si>
  <si>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</si>
  <si>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ПС 110 кВ</t>
  </si>
  <si>
    <t>З2_ЗПС_АРМ_110_кВ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</si>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</sst>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right" vertical="center" wrapText="1"/>
    </xf>
    <xf numFmtId="10" fontId="1" fillId="4" borderId="8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28</xdr:row>
      <xdr:rowOff>119785</xdr:rowOff>
    </xdr:from>
    <xdr:to>
      <xdr:col>2</xdr:col>
      <xdr:colOff>1357552</xdr:colOff>
      <xdr:row>31</xdr:row>
      <xdr:rowOff>28336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0653C29-F531-4704-9A68-5D26E89CE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023" y="13974330"/>
          <a:ext cx="944802" cy="532006"/>
        </a:xfrm>
        <a:prstGeom prst="rect">
          <a:avLst/>
        </a:prstGeom>
      </xdr:spPr>
    </xdr:pic>
    <xdr:clientData/>
  </xdr:twoCellAnchor>
  <xdr:twoCellAnchor editAs="oneCell">
    <xdr:from>
      <xdr:col>2</xdr:col>
      <xdr:colOff>488951</xdr:colOff>
      <xdr:row>26</xdr:row>
      <xdr:rowOff>307686</xdr:rowOff>
    </xdr:from>
    <xdr:to>
      <xdr:col>2</xdr:col>
      <xdr:colOff>1327150</xdr:colOff>
      <xdr:row>28</xdr:row>
      <xdr:rowOff>70420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A6484B0-B9E4-4ED0-AF1C-2B81B93F8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224" y="13469504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374196</xdr:colOff>
      <xdr:row>19</xdr:row>
      <xdr:rowOff>122010</xdr:rowOff>
    </xdr:from>
    <xdr:to>
      <xdr:col>2</xdr:col>
      <xdr:colOff>1318998</xdr:colOff>
      <xdr:row>22</xdr:row>
      <xdr:rowOff>33902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C38D84B-68C9-4D1C-A7DB-4A26C1367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10" y="474843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450397</xdr:colOff>
      <xdr:row>17</xdr:row>
      <xdr:rowOff>25400</xdr:rowOff>
    </xdr:from>
    <xdr:to>
      <xdr:col>2</xdr:col>
      <xdr:colOff>1288596</xdr:colOff>
      <xdr:row>19</xdr:row>
      <xdr:rowOff>72645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9FE1D27-A671-48A5-85C0-CA96C46C6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111" y="4243614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41</xdr:row>
      <xdr:rowOff>142875</xdr:rowOff>
    </xdr:from>
    <xdr:to>
      <xdr:col>2</xdr:col>
      <xdr:colOff>1249602</xdr:colOff>
      <xdr:row>44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23BB4F7-C99B-4085-949D-F4E8F7FBC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2068175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381001</xdr:colOff>
      <xdr:row>39</xdr:row>
      <xdr:rowOff>38100</xdr:rowOff>
    </xdr:from>
    <xdr:to>
      <xdr:col>2</xdr:col>
      <xdr:colOff>1219200</xdr:colOff>
      <xdr:row>41</xdr:row>
      <xdr:rowOff>93510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F56B23C-3F94-43CB-88AE-4B19172A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1" y="11582400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68EFFE0-4D07-4181-AAEE-ECB3BA292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2E2FD87-49CE-4C99-85AB-AF61EE766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963706</xdr:colOff>
      <xdr:row>59</xdr:row>
      <xdr:rowOff>146237</xdr:rowOff>
    </xdr:from>
    <xdr:to>
      <xdr:col>2</xdr:col>
      <xdr:colOff>403558</xdr:colOff>
      <xdr:row>62</xdr:row>
      <xdr:rowOff>98950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2FF24EC-8884-4572-B1C3-9384AE082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6" y="160339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1039907</xdr:colOff>
      <xdr:row>57</xdr:row>
      <xdr:rowOff>22412</xdr:rowOff>
    </xdr:from>
    <xdr:to>
      <xdr:col>2</xdr:col>
      <xdr:colOff>354106</xdr:colOff>
      <xdr:row>59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E5C225A-D9C8-4B87-96DB-0784E02B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907" y="155291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16</xdr:row>
      <xdr:rowOff>114300</xdr:rowOff>
    </xdr:from>
    <xdr:to>
      <xdr:col>2</xdr:col>
      <xdr:colOff>268527</xdr:colOff>
      <xdr:row>19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7855691-FC78-4C5E-93B0-720193E9E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8577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13</xdr:row>
      <xdr:rowOff>238125</xdr:rowOff>
    </xdr:from>
    <xdr:to>
      <xdr:col>2</xdr:col>
      <xdr:colOff>238125</xdr:colOff>
      <xdr:row>16</xdr:row>
      <xdr:rowOff>64935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568FB5A-4037-4FB6-929C-54BC570C7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43529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821A8BE-1412-459E-AE50-44055CF6F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5B0F80D-0CCA-4EBA-A2A6-0392E031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27</xdr:row>
      <xdr:rowOff>76200</xdr:rowOff>
    </xdr:from>
    <xdr:to>
      <xdr:col>1</xdr:col>
      <xdr:colOff>1833802</xdr:colOff>
      <xdr:row>30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83E59BC-27C6-4885-BED4-06A5DF2B0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9378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965201</xdr:colOff>
      <xdr:row>24</xdr:row>
      <xdr:rowOff>142875</xdr:rowOff>
    </xdr:from>
    <xdr:to>
      <xdr:col>1</xdr:col>
      <xdr:colOff>1803400</xdr:colOff>
      <xdr:row>27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06604A0-DE4E-4B52-B9A0-0132D351F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451" y="8874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0" t="s">
        <v>0</v>
      </c>
      <c r="B2" s="210"/>
      <c r="C2" s="210"/>
    </row>
    <row r="3" spans="1:3" x14ac:dyDescent="0.25">
      <c r="A3" s="1"/>
      <c r="B3" s="1"/>
      <c r="C3" s="1"/>
    </row>
    <row r="4" spans="1:3" x14ac:dyDescent="0.25">
      <c r="A4" s="211" t="s">
        <v>1</v>
      </c>
      <c r="B4" s="211"/>
      <c r="C4" s="21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2" t="s">
        <v>3</v>
      </c>
      <c r="C6" s="212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>
        <f>'4.5 РМ'!B36/1000</f>
        <v>54.924724898605838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20"/>
  <sheetViews>
    <sheetView view="pageBreakPreview" workbookViewId="0">
      <selection activeCell="E14" sqref="E1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1" t="s">
        <v>249</v>
      </c>
      <c r="B1" s="261"/>
      <c r="C1" s="261"/>
      <c r="D1" s="261"/>
      <c r="E1" s="261"/>
      <c r="F1" s="261"/>
      <c r="G1" s="261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10" t="s">
        <v>250</v>
      </c>
      <c r="B3" s="210"/>
      <c r="C3" s="210"/>
      <c r="D3" s="210"/>
      <c r="E3" s="210"/>
      <c r="F3" s="210"/>
      <c r="G3" s="210"/>
    </row>
    <row r="4" spans="1:7" ht="25.5" customHeight="1" x14ac:dyDescent="0.25">
      <c r="A4" s="213" t="s">
        <v>47</v>
      </c>
      <c r="B4" s="213"/>
      <c r="C4" s="213"/>
      <c r="D4" s="213"/>
      <c r="E4" s="213"/>
      <c r="F4" s="213"/>
      <c r="G4" s="21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6" t="s">
        <v>13</v>
      </c>
      <c r="B6" s="266" t="s">
        <v>135</v>
      </c>
      <c r="C6" s="266" t="s">
        <v>80</v>
      </c>
      <c r="D6" s="266" t="s">
        <v>137</v>
      </c>
      <c r="E6" s="239" t="s">
        <v>217</v>
      </c>
      <c r="F6" s="266" t="s">
        <v>81</v>
      </c>
      <c r="G6" s="266"/>
    </row>
    <row r="7" spans="1:7" x14ac:dyDescent="0.25">
      <c r="A7" s="266"/>
      <c r="B7" s="266"/>
      <c r="C7" s="266"/>
      <c r="D7" s="266"/>
      <c r="E7" s="240"/>
      <c r="F7" s="2" t="s">
        <v>220</v>
      </c>
      <c r="G7" s="2" t="s">
        <v>140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2" t="s">
        <v>251</v>
      </c>
      <c r="C9" s="263"/>
      <c r="D9" s="263"/>
      <c r="E9" s="263"/>
      <c r="F9" s="263"/>
      <c r="G9" s="264"/>
    </row>
    <row r="10" spans="1:7" ht="27" customHeight="1" x14ac:dyDescent="0.25">
      <c r="A10" s="2"/>
      <c r="B10" s="159"/>
      <c r="C10" s="8" t="s">
        <v>252</v>
      </c>
      <c r="D10" s="159"/>
      <c r="E10" s="167"/>
      <c r="F10" s="153"/>
      <c r="G10" s="32">
        <v>0</v>
      </c>
    </row>
    <row r="11" spans="1:7" x14ac:dyDescent="0.25">
      <c r="A11" s="2"/>
      <c r="B11" s="248" t="s">
        <v>253</v>
      </c>
      <c r="C11" s="248"/>
      <c r="D11" s="248"/>
      <c r="E11" s="265"/>
      <c r="F11" s="250"/>
      <c r="G11" s="250"/>
    </row>
    <row r="12" spans="1:7" s="113" customFormat="1" ht="89.25" customHeight="1" x14ac:dyDescent="0.25">
      <c r="A12" s="2">
        <v>1</v>
      </c>
      <c r="B12" s="8" t="str">
        <f>'Прил.5 Расчет СМР и ОБ'!B26</f>
        <v>БЦ.54.24</v>
      </c>
      <c r="C12" s="8" t="str">
        <f>'Прил.5 Расчет СМР и ОБ'!C26</f>
        <v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v>
      </c>
      <c r="D12" s="2" t="str">
        <f>'Прил.5 Расчет СМР и ОБ'!D26</f>
        <v>шт</v>
      </c>
      <c r="E12" s="158">
        <f>'Прил.5 Расчет СМР и ОБ'!E26</f>
        <v>1</v>
      </c>
      <c r="F12" s="153">
        <f>'Прил.5 Расчет СМР и ОБ'!F26</f>
        <v>43258.79</v>
      </c>
      <c r="G12" s="32">
        <f>ROUND(E12*F12,2)</f>
        <v>43258.79</v>
      </c>
    </row>
    <row r="13" spans="1:7" ht="25.5" customHeight="1" x14ac:dyDescent="0.25">
      <c r="A13" s="2"/>
      <c r="B13" s="8"/>
      <c r="C13" s="8" t="s">
        <v>254</v>
      </c>
      <c r="D13" s="8"/>
      <c r="E13" s="46"/>
      <c r="F13" s="153"/>
      <c r="G13" s="32">
        <f>SUM(G12:G12)</f>
        <v>43258.79</v>
      </c>
    </row>
    <row r="14" spans="1:7" ht="19.5" customHeight="1" x14ac:dyDescent="0.25">
      <c r="A14" s="2"/>
      <c r="B14" s="8"/>
      <c r="C14" s="8" t="s">
        <v>255</v>
      </c>
      <c r="D14" s="8"/>
      <c r="E14" s="46"/>
      <c r="F14" s="153"/>
      <c r="G14" s="32">
        <f>G10+G13</f>
        <v>43258.79</v>
      </c>
    </row>
    <row r="15" spans="1:7" x14ac:dyDescent="0.25">
      <c r="A15" s="30"/>
      <c r="B15" s="168"/>
      <c r="C15" s="30"/>
      <c r="D15" s="30"/>
      <c r="E15" s="30"/>
      <c r="F15" s="30"/>
      <c r="G15" s="30"/>
    </row>
    <row r="16" spans="1:7" x14ac:dyDescent="0.25">
      <c r="A16" s="4" t="s">
        <v>247</v>
      </c>
      <c r="B16" s="12"/>
      <c r="C16" s="12"/>
      <c r="D16" s="30"/>
      <c r="E16" s="30"/>
      <c r="F16" s="30"/>
      <c r="G16" s="30"/>
    </row>
    <row r="17" spans="1:7" x14ac:dyDescent="0.25">
      <c r="A17" s="166" t="s">
        <v>76</v>
      </c>
      <c r="B17" s="12"/>
      <c r="C17" s="12"/>
      <c r="D17" s="30"/>
      <c r="E17" s="30"/>
      <c r="F17" s="30"/>
      <c r="G17" s="30"/>
    </row>
    <row r="18" spans="1:7" x14ac:dyDescent="0.25">
      <c r="A18" s="4"/>
      <c r="B18" s="12"/>
      <c r="C18" s="12"/>
      <c r="D18" s="30"/>
      <c r="E18" s="30"/>
      <c r="F18" s="30"/>
      <c r="G18" s="30"/>
    </row>
    <row r="19" spans="1:7" x14ac:dyDescent="0.25">
      <c r="A19" s="4" t="s">
        <v>248</v>
      </c>
      <c r="B19" s="12"/>
      <c r="C19" s="12"/>
      <c r="D19" s="30"/>
      <c r="E19" s="30"/>
      <c r="F19" s="30"/>
      <c r="G19" s="30"/>
    </row>
    <row r="20" spans="1:7" x14ac:dyDescent="0.25">
      <c r="A20" s="166" t="s">
        <v>78</v>
      </c>
      <c r="B20" s="12"/>
      <c r="C20" s="12"/>
      <c r="D20" s="30"/>
      <c r="E20" s="30"/>
      <c r="F20" s="30"/>
      <c r="G20" s="3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17"/>
  <sheetViews>
    <sheetView view="pageBreakPreview" workbookViewId="0">
      <selection activeCell="F24" sqref="F2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256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9" t="s">
        <v>257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5" customHeight="1" x14ac:dyDescent="0.25">
      <c r="A5" s="267" t="s">
        <v>258</v>
      </c>
      <c r="B5" s="267"/>
      <c r="C5" s="267"/>
      <c r="D5" s="204" t="str">
        <f>'Прил.5 Расчет СМР и ОБ'!D6:J6</f>
        <v>Постоянная часть ПС, АРМ ЗПС 110 кВ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26" t="s">
        <v>5</v>
      </c>
      <c r="B8" s="226" t="s">
        <v>6</v>
      </c>
      <c r="C8" s="226" t="s">
        <v>259</v>
      </c>
      <c r="D8" s="226" t="s">
        <v>260</v>
      </c>
    </row>
    <row r="9" spans="1:4" x14ac:dyDescent="0.25">
      <c r="A9" s="226"/>
      <c r="B9" s="226"/>
      <c r="C9" s="226"/>
      <c r="D9" s="226"/>
    </row>
    <row r="10" spans="1:4" ht="15.75" customHeight="1" x14ac:dyDescent="0.25">
      <c r="A10" s="122">
        <v>1</v>
      </c>
      <c r="B10" s="122">
        <v>2</v>
      </c>
      <c r="C10" s="122">
        <v>3</v>
      </c>
      <c r="D10" s="122">
        <v>4</v>
      </c>
    </row>
    <row r="11" spans="1:4" ht="63" customHeight="1" x14ac:dyDescent="0.25">
      <c r="A11" s="122" t="s">
        <v>261</v>
      </c>
      <c r="B11" s="122" t="s">
        <v>262</v>
      </c>
      <c r="C11" s="206" t="s">
        <v>263</v>
      </c>
      <c r="D11" s="175">
        <f>'Прил.4 РМ'!C41/1000</f>
        <v>310.79019999999997</v>
      </c>
    </row>
    <row r="13" spans="1:4" x14ac:dyDescent="0.25">
      <c r="A13" s="4" t="s">
        <v>264</v>
      </c>
      <c r="B13" s="12"/>
      <c r="C13" s="12"/>
      <c r="D13" s="30"/>
    </row>
    <row r="14" spans="1:4" x14ac:dyDescent="0.25">
      <c r="A14" s="166" t="s">
        <v>76</v>
      </c>
      <c r="B14" s="12"/>
      <c r="C14" s="12"/>
      <c r="D14" s="30"/>
    </row>
    <row r="15" spans="1:4" x14ac:dyDescent="0.25">
      <c r="A15" s="4"/>
      <c r="B15" s="12"/>
      <c r="C15" s="12"/>
      <c r="D15" s="30"/>
    </row>
    <row r="16" spans="1:4" x14ac:dyDescent="0.25">
      <c r="A16" s="4" t="s">
        <v>77</v>
      </c>
      <c r="B16" s="12"/>
      <c r="C16" s="12"/>
      <c r="D16" s="30"/>
    </row>
    <row r="17" spans="1:4" x14ac:dyDescent="0.25">
      <c r="A17" s="166" t="s">
        <v>78</v>
      </c>
      <c r="B17" s="12"/>
      <c r="C17" s="12"/>
      <c r="D17" s="3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4:E31"/>
  <sheetViews>
    <sheetView view="pageBreakPreview" zoomScale="60" zoomScaleNormal="85" workbookViewId="0">
      <selection activeCell="D28" sqref="D28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7" t="s">
        <v>265</v>
      </c>
      <c r="C4" s="217"/>
      <c r="D4" s="217"/>
    </row>
    <row r="5" spans="2:5" ht="18.75" customHeight="1" x14ac:dyDescent="0.25">
      <c r="B5" s="169"/>
    </row>
    <row r="6" spans="2:5" ht="15.75" customHeight="1" x14ac:dyDescent="0.25">
      <c r="B6" s="218" t="s">
        <v>266</v>
      </c>
      <c r="C6" s="218"/>
      <c r="D6" s="218"/>
    </row>
    <row r="7" spans="2:5" x14ac:dyDescent="0.25">
      <c r="B7" s="268"/>
      <c r="C7" s="268"/>
      <c r="D7" s="268"/>
      <c r="E7" s="268"/>
    </row>
    <row r="8" spans="2:5" x14ac:dyDescent="0.25">
      <c r="B8" s="188"/>
      <c r="C8" s="188"/>
      <c r="D8" s="188"/>
      <c r="E8" s="188"/>
    </row>
    <row r="9" spans="2:5" ht="47.25" customHeight="1" x14ac:dyDescent="0.25">
      <c r="B9" s="122" t="s">
        <v>267</v>
      </c>
      <c r="C9" s="122" t="s">
        <v>268</v>
      </c>
      <c r="D9" s="122" t="s">
        <v>269</v>
      </c>
    </row>
    <row r="10" spans="2:5" ht="15.75" customHeight="1" x14ac:dyDescent="0.25">
      <c r="B10" s="122">
        <v>1</v>
      </c>
      <c r="C10" s="122">
        <v>2</v>
      </c>
      <c r="D10" s="122">
        <v>3</v>
      </c>
    </row>
    <row r="11" spans="2:5" ht="45" customHeight="1" x14ac:dyDescent="0.25">
      <c r="B11" s="122" t="s">
        <v>270</v>
      </c>
      <c r="C11" s="122" t="s">
        <v>271</v>
      </c>
      <c r="D11" s="122">
        <v>44.29</v>
      </c>
    </row>
    <row r="12" spans="2:5" ht="29.25" customHeight="1" x14ac:dyDescent="0.25">
      <c r="B12" s="122" t="s">
        <v>272</v>
      </c>
      <c r="C12" s="122" t="s">
        <v>271</v>
      </c>
      <c r="D12" s="122">
        <v>13.47</v>
      </c>
    </row>
    <row r="13" spans="2:5" ht="29.25" customHeight="1" x14ac:dyDescent="0.25">
      <c r="B13" s="122" t="s">
        <v>273</v>
      </c>
      <c r="C13" s="122" t="s">
        <v>271</v>
      </c>
      <c r="D13" s="122">
        <v>8.0399999999999991</v>
      </c>
    </row>
    <row r="14" spans="2:5" ht="30.75" customHeight="1" x14ac:dyDescent="0.25">
      <c r="B14" s="122" t="s">
        <v>274</v>
      </c>
      <c r="C14" s="117" t="s">
        <v>275</v>
      </c>
      <c r="D14" s="122">
        <v>6.26</v>
      </c>
    </row>
    <row r="15" spans="2:5" ht="89.25" customHeight="1" x14ac:dyDescent="0.25">
      <c r="B15" s="122" t="s">
        <v>276</v>
      </c>
      <c r="C15" s="122" t="s">
        <v>277</v>
      </c>
      <c r="D15" s="170">
        <v>3.9E-2</v>
      </c>
    </row>
    <row r="16" spans="2:5" ht="78.75" customHeight="1" x14ac:dyDescent="0.25">
      <c r="B16" s="122" t="s">
        <v>278</v>
      </c>
      <c r="C16" s="122" t="s">
        <v>279</v>
      </c>
      <c r="D16" s="170">
        <v>2.1000000000000001E-2</v>
      </c>
    </row>
    <row r="17" spans="2:4" ht="34.5" customHeight="1" x14ac:dyDescent="0.25">
      <c r="B17" s="122"/>
      <c r="C17" s="122"/>
      <c r="D17" s="122"/>
    </row>
    <row r="18" spans="2:4" ht="31.5" customHeight="1" x14ac:dyDescent="0.25">
      <c r="B18" s="122" t="s">
        <v>105</v>
      </c>
      <c r="C18" s="122" t="s">
        <v>280</v>
      </c>
      <c r="D18" s="170">
        <v>2.1399999999999999E-2</v>
      </c>
    </row>
    <row r="19" spans="2:4" ht="31.5" customHeight="1" x14ac:dyDescent="0.25">
      <c r="B19" s="122" t="s">
        <v>208</v>
      </c>
      <c r="C19" s="122" t="s">
        <v>281</v>
      </c>
      <c r="D19" s="170">
        <v>2E-3</v>
      </c>
    </row>
    <row r="20" spans="2:4" ht="24" customHeight="1" x14ac:dyDescent="0.25">
      <c r="B20" s="122" t="s">
        <v>108</v>
      </c>
      <c r="C20" s="122" t="s">
        <v>282</v>
      </c>
      <c r="D20" s="170">
        <v>0.03</v>
      </c>
    </row>
    <row r="21" spans="2:4" ht="18.75" customHeight="1" x14ac:dyDescent="0.25">
      <c r="B21" s="171"/>
    </row>
    <row r="22" spans="2:4" ht="18.75" customHeight="1" x14ac:dyDescent="0.25">
      <c r="B22" s="171"/>
    </row>
    <row r="23" spans="2:4" ht="18.75" customHeight="1" x14ac:dyDescent="0.25">
      <c r="B23" s="171"/>
    </row>
    <row r="24" spans="2:4" ht="18.75" customHeight="1" x14ac:dyDescent="0.25">
      <c r="B24" s="171"/>
    </row>
    <row r="27" spans="2:4" x14ac:dyDescent="0.25">
      <c r="B27" s="4" t="s">
        <v>283</v>
      </c>
      <c r="C27" s="12"/>
    </row>
    <row r="28" spans="2:4" x14ac:dyDescent="0.25">
      <c r="B28" s="16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248</v>
      </c>
      <c r="C30" s="12"/>
    </row>
    <row r="31" spans="2:4" x14ac:dyDescent="0.25">
      <c r="B31" s="16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H12" sqref="G12:H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8" t="s">
        <v>284</v>
      </c>
      <c r="B2" s="218"/>
      <c r="C2" s="218"/>
      <c r="D2" s="218"/>
      <c r="E2" s="218"/>
      <c r="F2" s="218"/>
    </row>
    <row r="4" spans="1:7" ht="18" customHeight="1" x14ac:dyDescent="0.25">
      <c r="A4" s="172" t="s">
        <v>285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3" t="s">
        <v>13</v>
      </c>
      <c r="B5" s="173" t="s">
        <v>286</v>
      </c>
      <c r="C5" s="173" t="s">
        <v>287</v>
      </c>
      <c r="D5" s="173" t="s">
        <v>288</v>
      </c>
      <c r="E5" s="173" t="s">
        <v>289</v>
      </c>
      <c r="F5" s="173" t="s">
        <v>290</v>
      </c>
      <c r="G5" s="113"/>
    </row>
    <row r="6" spans="1:7" ht="15.75" customHeight="1" x14ac:dyDescent="0.25">
      <c r="A6" s="173">
        <v>1</v>
      </c>
      <c r="B6" s="173">
        <v>2</v>
      </c>
      <c r="C6" s="173">
        <v>3</v>
      </c>
      <c r="D6" s="173">
        <v>4</v>
      </c>
      <c r="E6" s="173">
        <v>5</v>
      </c>
      <c r="F6" s="173">
        <v>6</v>
      </c>
      <c r="G6" s="113"/>
    </row>
    <row r="7" spans="1:7" ht="110.25" customHeight="1" x14ac:dyDescent="0.25">
      <c r="A7" s="174" t="s">
        <v>291</v>
      </c>
      <c r="B7" s="116" t="s">
        <v>292</v>
      </c>
      <c r="C7" s="122" t="s">
        <v>293</v>
      </c>
      <c r="D7" s="122" t="s">
        <v>294</v>
      </c>
      <c r="E7" s="175">
        <v>47872.94</v>
      </c>
      <c r="F7" s="116" t="s">
        <v>295</v>
      </c>
      <c r="G7" s="113"/>
    </row>
    <row r="8" spans="1:7" ht="31.5" customHeight="1" x14ac:dyDescent="0.25">
      <c r="A8" s="174" t="s">
        <v>296</v>
      </c>
      <c r="B8" s="116" t="s">
        <v>297</v>
      </c>
      <c r="C8" s="122" t="s">
        <v>298</v>
      </c>
      <c r="D8" s="122" t="s">
        <v>299</v>
      </c>
      <c r="E8" s="175">
        <f>1973/12</f>
        <v>164.41666666667001</v>
      </c>
      <c r="F8" s="116" t="s">
        <v>300</v>
      </c>
      <c r="G8" s="176"/>
    </row>
    <row r="9" spans="1:7" ht="15.75" customHeight="1" x14ac:dyDescent="0.25">
      <c r="A9" s="174" t="s">
        <v>301</v>
      </c>
      <c r="B9" s="116" t="s">
        <v>302</v>
      </c>
      <c r="C9" s="122" t="s">
        <v>303</v>
      </c>
      <c r="D9" s="122" t="s">
        <v>294</v>
      </c>
      <c r="E9" s="175">
        <v>1</v>
      </c>
      <c r="F9" s="116"/>
      <c r="G9" s="176"/>
    </row>
    <row r="10" spans="1:7" ht="15.75" customHeight="1" x14ac:dyDescent="0.25">
      <c r="A10" s="174" t="s">
        <v>304</v>
      </c>
      <c r="B10" s="116" t="s">
        <v>305</v>
      </c>
      <c r="C10" s="122"/>
      <c r="D10" s="122"/>
      <c r="E10" s="177">
        <v>3.9</v>
      </c>
      <c r="F10" s="116" t="s">
        <v>306</v>
      </c>
      <c r="G10" s="176"/>
    </row>
    <row r="11" spans="1:7" ht="78.75" customHeight="1" x14ac:dyDescent="0.25">
      <c r="A11" s="174" t="s">
        <v>307</v>
      </c>
      <c r="B11" s="116" t="s">
        <v>308</v>
      </c>
      <c r="C11" s="122" t="s">
        <v>309</v>
      </c>
      <c r="D11" s="122" t="s">
        <v>294</v>
      </c>
      <c r="E11" s="178">
        <v>1.3240000000000001</v>
      </c>
      <c r="F11" s="116" t="s">
        <v>310</v>
      </c>
      <c r="G11" s="113"/>
    </row>
    <row r="12" spans="1:7" ht="78.75" customHeight="1" x14ac:dyDescent="0.25">
      <c r="A12" s="174" t="s">
        <v>311</v>
      </c>
      <c r="B12" s="115" t="s">
        <v>312</v>
      </c>
      <c r="C12" s="122" t="s">
        <v>313</v>
      </c>
      <c r="D12" s="122" t="s">
        <v>294</v>
      </c>
      <c r="E12" s="179">
        <v>1.139</v>
      </c>
      <c r="F12" s="180" t="s">
        <v>314</v>
      </c>
      <c r="G12" s="176"/>
    </row>
    <row r="13" spans="1:7" ht="63" customHeight="1" x14ac:dyDescent="0.25">
      <c r="A13" s="174" t="s">
        <v>315</v>
      </c>
      <c r="B13" s="133" t="s">
        <v>316</v>
      </c>
      <c r="C13" s="122" t="s">
        <v>317</v>
      </c>
      <c r="D13" s="122" t="s">
        <v>318</v>
      </c>
      <c r="E13" s="181">
        <v>439.09244974661999</v>
      </c>
      <c r="F13" s="116" t="s">
        <v>319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69" t="s">
        <v>320</v>
      </c>
      <c r="B1" s="269"/>
      <c r="C1" s="269"/>
      <c r="D1" s="269"/>
      <c r="E1" s="269"/>
      <c r="F1" s="269"/>
      <c r="G1" s="269"/>
      <c r="H1" s="269"/>
      <c r="I1" s="269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13" t="e">
        <f>#REF!</f>
        <v>#REF!</v>
      </c>
      <c r="B3" s="213"/>
      <c r="C3" s="213"/>
      <c r="D3" s="213"/>
      <c r="E3" s="213"/>
      <c r="F3" s="213"/>
      <c r="G3" s="213"/>
      <c r="H3" s="213"/>
      <c r="I3" s="213"/>
    </row>
    <row r="4" spans="1:13" s="4" customFormat="1" ht="15.75" customHeight="1" x14ac:dyDescent="0.2">
      <c r="A4" s="221"/>
      <c r="B4" s="221"/>
      <c r="C4" s="221"/>
      <c r="D4" s="221"/>
      <c r="E4" s="221"/>
      <c r="F4" s="221"/>
      <c r="G4" s="221"/>
      <c r="H4" s="221"/>
      <c r="I4" s="221"/>
    </row>
    <row r="5" spans="1:13" s="35" customFormat="1" ht="36.6" customHeight="1" x14ac:dyDescent="0.35">
      <c r="A5" s="270" t="s">
        <v>13</v>
      </c>
      <c r="B5" s="270" t="s">
        <v>321</v>
      </c>
      <c r="C5" s="270" t="s">
        <v>322</v>
      </c>
      <c r="D5" s="270" t="s">
        <v>323</v>
      </c>
      <c r="E5" s="266" t="s">
        <v>324</v>
      </c>
      <c r="F5" s="266"/>
      <c r="G5" s="266"/>
      <c r="H5" s="266"/>
      <c r="I5" s="266"/>
    </row>
    <row r="6" spans="1:13" s="30" customFormat="1" ht="31.5" customHeight="1" x14ac:dyDescent="0.2">
      <c r="A6" s="270"/>
      <c r="B6" s="270"/>
      <c r="C6" s="270"/>
      <c r="D6" s="270"/>
      <c r="E6" s="36" t="s">
        <v>123</v>
      </c>
      <c r="F6" s="36" t="s">
        <v>124</v>
      </c>
      <c r="G6" s="36" t="s">
        <v>43</v>
      </c>
      <c r="H6" s="36" t="s">
        <v>325</v>
      </c>
      <c r="I6" s="36" t="s">
        <v>326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100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327</v>
      </c>
      <c r="C9" s="8" t="s">
        <v>328</v>
      </c>
      <c r="D9" s="110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329</v>
      </c>
      <c r="C11" s="8" t="s">
        <v>278</v>
      </c>
      <c r="D11" s="110">
        <v>2.1000000000000001E-2</v>
      </c>
      <c r="E11" s="32">
        <f>(E8+E9)*D11</f>
        <v>8.6950678710000007E-2</v>
      </c>
      <c r="F11" s="32"/>
      <c r="G11" s="32"/>
      <c r="H11" s="32" t="s">
        <v>143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330</v>
      </c>
      <c r="C12" s="8" t="s">
        <v>331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332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280</v>
      </c>
      <c r="C14" s="8" t="s">
        <v>333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334</v>
      </c>
      <c r="C16" s="8" t="s">
        <v>335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336</v>
      </c>
    </row>
    <row r="17" spans="1:10" s="30" customFormat="1" ht="81.75" customHeight="1" x14ac:dyDescent="0.2">
      <c r="A17" s="37">
        <v>7</v>
      </c>
      <c r="B17" s="8" t="s">
        <v>334</v>
      </c>
      <c r="C17" s="8" t="s">
        <v>337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338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339</v>
      </c>
      <c r="C20" s="8" t="s">
        <v>108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340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111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112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113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114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5" t="s">
        <v>341</v>
      </c>
      <c r="O2" s="275"/>
    </row>
    <row r="3" spans="1:16" x14ac:dyDescent="0.25">
      <c r="A3" s="276" t="s">
        <v>342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</row>
    <row r="5" spans="1:16" ht="37.5" customHeight="1" x14ac:dyDescent="0.25">
      <c r="A5" s="277" t="s">
        <v>343</v>
      </c>
      <c r="B5" s="280" t="s">
        <v>344</v>
      </c>
      <c r="C5" s="283" t="s">
        <v>345</v>
      </c>
      <c r="D5" s="286" t="s">
        <v>346</v>
      </c>
      <c r="E5" s="287"/>
      <c r="F5" s="287"/>
      <c r="G5" s="287"/>
      <c r="H5" s="287"/>
      <c r="I5" s="286" t="s">
        <v>347</v>
      </c>
      <c r="J5" s="287"/>
      <c r="K5" s="287"/>
      <c r="L5" s="287"/>
      <c r="M5" s="287"/>
      <c r="N5" s="287"/>
      <c r="O5" s="53" t="s">
        <v>348</v>
      </c>
    </row>
    <row r="6" spans="1:16" s="56" customFormat="1" ht="150" customHeight="1" x14ac:dyDescent="0.25">
      <c r="A6" s="278"/>
      <c r="B6" s="281"/>
      <c r="C6" s="284"/>
      <c r="D6" s="283" t="s">
        <v>349</v>
      </c>
      <c r="E6" s="288" t="s">
        <v>350</v>
      </c>
      <c r="F6" s="289"/>
      <c r="G6" s="290"/>
      <c r="H6" s="54" t="s">
        <v>351</v>
      </c>
      <c r="I6" s="291" t="s">
        <v>352</v>
      </c>
      <c r="J6" s="291" t="s">
        <v>349</v>
      </c>
      <c r="K6" s="292" t="s">
        <v>350</v>
      </c>
      <c r="L6" s="292"/>
      <c r="M6" s="292"/>
      <c r="N6" s="54" t="s">
        <v>351</v>
      </c>
      <c r="O6" s="55" t="s">
        <v>353</v>
      </c>
    </row>
    <row r="7" spans="1:16" s="56" customFormat="1" ht="30.75" customHeight="1" x14ac:dyDescent="0.25">
      <c r="A7" s="279"/>
      <c r="B7" s="282"/>
      <c r="C7" s="285"/>
      <c r="D7" s="285"/>
      <c r="E7" s="53" t="s">
        <v>123</v>
      </c>
      <c r="F7" s="53" t="s">
        <v>124</v>
      </c>
      <c r="G7" s="53" t="s">
        <v>43</v>
      </c>
      <c r="H7" s="57" t="s">
        <v>354</v>
      </c>
      <c r="I7" s="291"/>
      <c r="J7" s="291"/>
      <c r="K7" s="53" t="s">
        <v>123</v>
      </c>
      <c r="L7" s="53" t="s">
        <v>124</v>
      </c>
      <c r="M7" s="53" t="s">
        <v>43</v>
      </c>
      <c r="N7" s="57" t="s">
        <v>354</v>
      </c>
      <c r="O7" s="53" t="s">
        <v>355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77" t="s">
        <v>356</v>
      </c>
      <c r="C9" s="59" t="s">
        <v>357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79"/>
      <c r="C10" s="62" t="s">
        <v>358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77" t="s">
        <v>359</v>
      </c>
      <c r="C11" s="62" t="s">
        <v>360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79"/>
      <c r="C12" s="62" t="s">
        <v>361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77" t="s">
        <v>362</v>
      </c>
      <c r="C13" s="59" t="s">
        <v>363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79"/>
      <c r="C14" s="62" t="s">
        <v>364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365</v>
      </c>
      <c r="C15" s="62" t="s">
        <v>366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367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368</v>
      </c>
    </row>
    <row r="19" spans="1:15" ht="30.75" customHeight="1" x14ac:dyDescent="0.25">
      <c r="L19" s="74"/>
    </row>
    <row r="20" spans="1:15" ht="15" customHeight="1" outlineLevel="1" x14ac:dyDescent="0.25">
      <c r="G20" s="274" t="s">
        <v>369</v>
      </c>
      <c r="H20" s="274"/>
      <c r="I20" s="274"/>
      <c r="J20" s="274"/>
      <c r="K20" s="274"/>
      <c r="L20" s="274"/>
      <c r="M20" s="274"/>
      <c r="N20" s="274"/>
    </row>
    <row r="21" spans="1:15" ht="15.75" customHeight="1" outlineLevel="1" x14ac:dyDescent="0.25">
      <c r="G21" s="75"/>
      <c r="H21" s="75" t="s">
        <v>370</v>
      </c>
      <c r="I21" s="75" t="s">
        <v>371</v>
      </c>
      <c r="J21" s="75" t="s">
        <v>372</v>
      </c>
      <c r="K21" s="76" t="s">
        <v>373</v>
      </c>
      <c r="L21" s="75" t="s">
        <v>374</v>
      </c>
      <c r="M21" s="75" t="s">
        <v>375</v>
      </c>
      <c r="N21" s="75" t="s">
        <v>376</v>
      </c>
      <c r="O21" s="69"/>
    </row>
    <row r="22" spans="1:15" ht="15.75" customHeight="1" outlineLevel="1" x14ac:dyDescent="0.25">
      <c r="G22" s="272" t="s">
        <v>377</v>
      </c>
      <c r="H22" s="271">
        <v>6.09</v>
      </c>
      <c r="I22" s="273">
        <v>6.44</v>
      </c>
      <c r="J22" s="271">
        <v>5.77</v>
      </c>
      <c r="K22" s="273">
        <v>5.77</v>
      </c>
      <c r="L22" s="271">
        <v>5.23</v>
      </c>
      <c r="M22" s="271">
        <v>5.77</v>
      </c>
      <c r="N22" s="77">
        <v>6.29</v>
      </c>
      <c r="O22" t="s">
        <v>378</v>
      </c>
    </row>
    <row r="23" spans="1:15" ht="15.75" customHeight="1" outlineLevel="1" x14ac:dyDescent="0.25">
      <c r="G23" s="272"/>
      <c r="H23" s="271"/>
      <c r="I23" s="273"/>
      <c r="J23" s="271"/>
      <c r="K23" s="273"/>
      <c r="L23" s="271"/>
      <c r="M23" s="271"/>
      <c r="N23" s="77">
        <v>6.56</v>
      </c>
      <c r="O23" t="s">
        <v>379</v>
      </c>
    </row>
    <row r="24" spans="1:15" ht="15.75" customHeight="1" outlineLevel="1" x14ac:dyDescent="0.25">
      <c r="G24" s="78" t="s">
        <v>380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354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381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382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325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293" t="s">
        <v>383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</row>
    <row r="4" spans="1:18" ht="36.75" customHeight="1" x14ac:dyDescent="0.25">
      <c r="A4" s="277" t="s">
        <v>343</v>
      </c>
      <c r="B4" s="280" t="s">
        <v>344</v>
      </c>
      <c r="C4" s="283" t="s">
        <v>384</v>
      </c>
      <c r="D4" s="283" t="s">
        <v>385</v>
      </c>
      <c r="E4" s="286" t="s">
        <v>386</v>
      </c>
      <c r="F4" s="287"/>
      <c r="G4" s="287"/>
      <c r="H4" s="287"/>
      <c r="I4" s="287"/>
      <c r="J4" s="287"/>
      <c r="K4" s="287"/>
      <c r="L4" s="287"/>
      <c r="M4" s="287"/>
      <c r="N4" s="294" t="s">
        <v>387</v>
      </c>
      <c r="O4" s="295"/>
      <c r="P4" s="295"/>
      <c r="Q4" s="295"/>
      <c r="R4" s="296"/>
    </row>
    <row r="5" spans="1:18" ht="60" customHeight="1" x14ac:dyDescent="0.25">
      <c r="A5" s="278"/>
      <c r="B5" s="281"/>
      <c r="C5" s="284"/>
      <c r="D5" s="284"/>
      <c r="E5" s="291" t="s">
        <v>388</v>
      </c>
      <c r="F5" s="291" t="s">
        <v>389</v>
      </c>
      <c r="G5" s="288" t="s">
        <v>350</v>
      </c>
      <c r="H5" s="289"/>
      <c r="I5" s="289"/>
      <c r="J5" s="290"/>
      <c r="K5" s="291" t="s">
        <v>390</v>
      </c>
      <c r="L5" s="291"/>
      <c r="M5" s="291"/>
      <c r="N5" s="80" t="s">
        <v>391</v>
      </c>
      <c r="O5" s="80" t="s">
        <v>392</v>
      </c>
      <c r="P5" s="80" t="s">
        <v>393</v>
      </c>
      <c r="Q5" s="81" t="s">
        <v>394</v>
      </c>
      <c r="R5" s="80" t="s">
        <v>395</v>
      </c>
    </row>
    <row r="6" spans="1:18" ht="49.5" customHeight="1" x14ac:dyDescent="0.25">
      <c r="A6" s="279"/>
      <c r="B6" s="282"/>
      <c r="C6" s="285"/>
      <c r="D6" s="285"/>
      <c r="E6" s="291"/>
      <c r="F6" s="291"/>
      <c r="G6" s="53" t="s">
        <v>123</v>
      </c>
      <c r="H6" s="53" t="s">
        <v>124</v>
      </c>
      <c r="I6" s="53" t="s">
        <v>43</v>
      </c>
      <c r="J6" s="53" t="s">
        <v>325</v>
      </c>
      <c r="K6" s="53" t="s">
        <v>391</v>
      </c>
      <c r="L6" s="53" t="s">
        <v>392</v>
      </c>
      <c r="M6" s="53" t="s">
        <v>393</v>
      </c>
      <c r="N6" s="53" t="s">
        <v>396</v>
      </c>
      <c r="O6" s="53" t="s">
        <v>397</v>
      </c>
      <c r="P6" s="53" t="s">
        <v>398</v>
      </c>
      <c r="Q6" s="54" t="s">
        <v>399</v>
      </c>
      <c r="R6" s="53" t="s">
        <v>400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77">
        <v>1</v>
      </c>
      <c r="B9" s="277" t="s">
        <v>401</v>
      </c>
      <c r="C9" s="297" t="s">
        <v>357</v>
      </c>
      <c r="D9" s="59" t="s">
        <v>402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79"/>
      <c r="B10" s="278"/>
      <c r="C10" s="298"/>
      <c r="D10" s="59" t="s">
        <v>403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77">
        <v>2</v>
      </c>
      <c r="B11" s="278"/>
      <c r="C11" s="297" t="s">
        <v>404</v>
      </c>
      <c r="D11" s="59" t="s">
        <v>402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79"/>
      <c r="B12" s="279"/>
      <c r="C12" s="298"/>
      <c r="D12" s="59" t="s">
        <v>403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77">
        <v>3</v>
      </c>
      <c r="B13" s="277" t="s">
        <v>359</v>
      </c>
      <c r="C13" s="299" t="s">
        <v>360</v>
      </c>
      <c r="D13" s="59" t="s">
        <v>405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79"/>
      <c r="B14" s="278"/>
      <c r="C14" s="300"/>
      <c r="D14" s="59" t="s">
        <v>403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77">
        <v>4</v>
      </c>
      <c r="B15" s="278"/>
      <c r="C15" s="301" t="s">
        <v>361</v>
      </c>
      <c r="D15" s="62" t="s">
        <v>405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79"/>
      <c r="B16" s="279"/>
      <c r="C16" s="302"/>
      <c r="D16" s="62" t="s">
        <v>403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77">
        <v>5</v>
      </c>
      <c r="B17" s="292" t="s">
        <v>362</v>
      </c>
      <c r="C17" s="297" t="s">
        <v>406</v>
      </c>
      <c r="D17" s="59" t="s">
        <v>407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79"/>
      <c r="B18" s="292"/>
      <c r="C18" s="298"/>
      <c r="D18" s="59" t="s">
        <v>403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77">
        <v>6</v>
      </c>
      <c r="B19" s="292"/>
      <c r="C19" s="297" t="s">
        <v>364</v>
      </c>
      <c r="D19" s="62" t="s">
        <v>405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79"/>
      <c r="B20" s="292"/>
      <c r="C20" s="298"/>
      <c r="D20" s="62" t="s">
        <v>403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77">
        <v>7</v>
      </c>
      <c r="B21" s="277" t="s">
        <v>365</v>
      </c>
      <c r="C21" s="297" t="s">
        <v>366</v>
      </c>
      <c r="D21" s="62" t="s">
        <v>408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79"/>
      <c r="B22" s="279"/>
      <c r="C22" s="298"/>
      <c r="D22" s="85" t="s">
        <v>403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409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303" t="s">
        <v>410</v>
      </c>
      <c r="E26" s="303"/>
      <c r="F26" s="303"/>
      <c r="G26" s="303"/>
      <c r="H26" s="303"/>
      <c r="I26" s="303"/>
      <c r="J26" s="303"/>
      <c r="K26" s="303"/>
      <c r="L26" s="74"/>
      <c r="R26" s="92"/>
    </row>
    <row r="27" spans="1:18" outlineLevel="1" x14ac:dyDescent="0.25">
      <c r="D27" s="93"/>
      <c r="E27" s="93" t="s">
        <v>370</v>
      </c>
      <c r="F27" s="93" t="s">
        <v>371</v>
      </c>
      <c r="G27" s="93" t="s">
        <v>372</v>
      </c>
      <c r="H27" s="94" t="s">
        <v>373</v>
      </c>
      <c r="I27" s="94" t="s">
        <v>374</v>
      </c>
      <c r="J27" s="94" t="s">
        <v>375</v>
      </c>
      <c r="K27" s="65" t="s">
        <v>376</v>
      </c>
    </row>
    <row r="28" spans="1:18" outlineLevel="1" x14ac:dyDescent="0.25">
      <c r="D28" s="304" t="s">
        <v>377</v>
      </c>
      <c r="E28" s="306">
        <v>6.09</v>
      </c>
      <c r="F28" s="308">
        <v>6.63</v>
      </c>
      <c r="G28" s="306">
        <v>5.77</v>
      </c>
      <c r="H28" s="310">
        <v>5.77</v>
      </c>
      <c r="I28" s="310">
        <v>6.35</v>
      </c>
      <c r="J28" s="306">
        <v>5.77</v>
      </c>
      <c r="K28" s="95">
        <v>6.29</v>
      </c>
      <c r="L28" t="s">
        <v>378</v>
      </c>
    </row>
    <row r="29" spans="1:18" outlineLevel="1" x14ac:dyDescent="0.25">
      <c r="D29" s="305"/>
      <c r="E29" s="307"/>
      <c r="F29" s="309"/>
      <c r="G29" s="307"/>
      <c r="H29" s="311"/>
      <c r="I29" s="311"/>
      <c r="J29" s="307"/>
      <c r="K29" s="95">
        <v>6.56</v>
      </c>
      <c r="L29" t="s">
        <v>379</v>
      </c>
    </row>
    <row r="30" spans="1:18" outlineLevel="1" x14ac:dyDescent="0.25">
      <c r="D30" s="96" t="s">
        <v>380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304" t="s">
        <v>354</v>
      </c>
      <c r="E31" s="306">
        <v>11.37</v>
      </c>
      <c r="F31" s="308">
        <v>13.56</v>
      </c>
      <c r="G31" s="306">
        <v>15.91</v>
      </c>
      <c r="H31" s="310">
        <v>15.91</v>
      </c>
      <c r="I31" s="310">
        <v>14.03</v>
      </c>
      <c r="J31" s="306">
        <v>15.91</v>
      </c>
      <c r="K31" s="95">
        <v>8.2899999999999991</v>
      </c>
      <c r="L31" t="s">
        <v>378</v>
      </c>
    </row>
    <row r="32" spans="1:18" outlineLevel="1" x14ac:dyDescent="0.25">
      <c r="D32" s="305"/>
      <c r="E32" s="307"/>
      <c r="F32" s="309"/>
      <c r="G32" s="307"/>
      <c r="H32" s="311"/>
      <c r="I32" s="311"/>
      <c r="J32" s="307"/>
      <c r="K32" s="95">
        <v>11.84</v>
      </c>
      <c r="L32" t="s">
        <v>379</v>
      </c>
    </row>
    <row r="33" spans="4:12" ht="15" customHeight="1" outlineLevel="1" x14ac:dyDescent="0.25">
      <c r="D33" s="97" t="s">
        <v>381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411</v>
      </c>
    </row>
    <row r="34" spans="4:12" outlineLevel="1" x14ac:dyDescent="0.25">
      <c r="D34" s="97" t="s">
        <v>382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411</v>
      </c>
    </row>
    <row r="35" spans="4:12" outlineLevel="1" x14ac:dyDescent="0.25">
      <c r="D35" s="96" t="s">
        <v>325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0" t="s">
        <v>10</v>
      </c>
      <c r="B2" s="210"/>
      <c r="C2" s="210"/>
      <c r="D2" s="21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3"/>
    </row>
    <row r="5" spans="1:4" x14ac:dyDescent="0.25">
      <c r="A5" s="5"/>
      <c r="B5" s="1"/>
      <c r="C5" s="1"/>
    </row>
    <row r="6" spans="1:4" x14ac:dyDescent="0.25">
      <c r="A6" s="210" t="s">
        <v>12</v>
      </c>
      <c r="B6" s="210"/>
      <c r="C6" s="210"/>
      <c r="D6" s="21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54.924724898605838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43.258789999999998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54.924724898605838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4" t="s">
        <v>5</v>
      </c>
      <c r="B15" s="215" t="s">
        <v>15</v>
      </c>
      <c r="C15" s="215"/>
      <c r="D15" s="215"/>
    </row>
    <row r="16" spans="1:4" x14ac:dyDescent="0.25">
      <c r="A16" s="214"/>
      <c r="B16" s="214" t="s">
        <v>17</v>
      </c>
      <c r="C16" s="215" t="s">
        <v>28</v>
      </c>
      <c r="D16" s="215"/>
    </row>
    <row r="17" spans="1:4" ht="39" customHeight="1" x14ac:dyDescent="0.25">
      <c r="A17" s="214"/>
      <c r="B17" s="21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54.924724898605838</v>
      </c>
      <c r="C18" s="3">
        <f>C11</f>
        <v>0</v>
      </c>
      <c r="D18" s="3">
        <f>C12</f>
        <v>43.258789999999998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6" t="s">
        <v>29</v>
      </c>
      <c r="B2" s="216"/>
      <c r="C2" s="216"/>
      <c r="D2" s="216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2" zoomScale="55" zoomScaleNormal="55" workbookViewId="0">
      <selection activeCell="D27" sqref="D27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6.5703125" style="113" customWidth="1"/>
    <col min="5" max="5" width="17.5703125" style="113" customWidth="1"/>
    <col min="6" max="6" width="18.7109375" style="113" customWidth="1"/>
    <col min="7" max="7" width="9.140625" style="113"/>
  </cols>
  <sheetData>
    <row r="3" spans="2:4" x14ac:dyDescent="0.25">
      <c r="B3" s="217" t="s">
        <v>45</v>
      </c>
      <c r="C3" s="217"/>
      <c r="D3" s="217"/>
    </row>
    <row r="4" spans="2:4" x14ac:dyDescent="0.25">
      <c r="B4" s="218" t="s">
        <v>46</v>
      </c>
      <c r="C4" s="218"/>
      <c r="D4" s="218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42.75" customHeight="1" x14ac:dyDescent="0.25">
      <c r="B7" s="219" t="s">
        <v>47</v>
      </c>
      <c r="C7" s="220"/>
      <c r="D7" s="220"/>
    </row>
    <row r="8" spans="2:4" ht="31.5" customHeight="1" x14ac:dyDescent="0.25">
      <c r="B8" s="220" t="s">
        <v>48</v>
      </c>
      <c r="C8" s="220"/>
      <c r="D8" s="220"/>
    </row>
    <row r="9" spans="2:4" x14ac:dyDescent="0.25">
      <c r="B9" s="220" t="s">
        <v>49</v>
      </c>
      <c r="C9" s="220"/>
      <c r="D9" s="220"/>
    </row>
    <row r="10" spans="2:4" x14ac:dyDescent="0.25">
      <c r="B10" s="182"/>
    </row>
    <row r="11" spans="2:4" x14ac:dyDescent="0.25">
      <c r="B11" s="122" t="s">
        <v>33</v>
      </c>
      <c r="C11" s="122" t="s">
        <v>50</v>
      </c>
      <c r="D11" s="115" t="s">
        <v>51</v>
      </c>
    </row>
    <row r="12" spans="2:4" ht="157.5" customHeight="1" x14ac:dyDescent="0.25">
      <c r="B12" s="122">
        <v>1</v>
      </c>
      <c r="C12" s="115" t="s">
        <v>52</v>
      </c>
      <c r="D12" s="122" t="s">
        <v>53</v>
      </c>
    </row>
    <row r="13" spans="2:4" ht="31.5" customHeight="1" x14ac:dyDescent="0.25">
      <c r="B13" s="122">
        <v>2</v>
      </c>
      <c r="C13" s="115" t="s">
        <v>54</v>
      </c>
      <c r="D13" s="122" t="s">
        <v>55</v>
      </c>
    </row>
    <row r="14" spans="2:4" x14ac:dyDescent="0.25">
      <c r="B14" s="122">
        <v>3</v>
      </c>
      <c r="C14" s="115" t="s">
        <v>56</v>
      </c>
      <c r="D14" s="122" t="s">
        <v>57</v>
      </c>
    </row>
    <row r="15" spans="2:4" x14ac:dyDescent="0.25">
      <c r="B15" s="122">
        <v>4</v>
      </c>
      <c r="C15" s="115" t="s">
        <v>58</v>
      </c>
      <c r="D15" s="122">
        <v>1</v>
      </c>
    </row>
    <row r="16" spans="2:4" ht="94.5" customHeight="1" x14ac:dyDescent="0.25">
      <c r="B16" s="122">
        <v>5</v>
      </c>
      <c r="C16" s="117" t="s">
        <v>59</v>
      </c>
      <c r="D16" s="205" t="s">
        <v>60</v>
      </c>
    </row>
    <row r="17" spans="2:6" ht="78.75" customHeight="1" x14ac:dyDescent="0.25">
      <c r="B17" s="122">
        <v>6</v>
      </c>
      <c r="C17" s="117" t="s">
        <v>61</v>
      </c>
      <c r="D17" s="118">
        <f>D18+D19</f>
        <v>209.64803730000003</v>
      </c>
    </row>
    <row r="18" spans="2:6" x14ac:dyDescent="0.25">
      <c r="B18" s="119" t="s">
        <v>62</v>
      </c>
      <c r="C18" s="115" t="s">
        <v>63</v>
      </c>
      <c r="D18" s="118">
        <f>'Прил.2 Расч стоим'!F12</f>
        <v>2.8710211000000001</v>
      </c>
    </row>
    <row r="19" spans="2:6" ht="15.75" customHeight="1" x14ac:dyDescent="0.25">
      <c r="B19" s="119" t="s">
        <v>64</v>
      </c>
      <c r="C19" s="115" t="s">
        <v>65</v>
      </c>
      <c r="D19" s="118">
        <f>'Прил.2 Расч стоим'!H14</f>
        <v>206.77701620000002</v>
      </c>
    </row>
    <row r="20" spans="2:6" ht="16.5" customHeight="1" x14ac:dyDescent="0.25">
      <c r="B20" s="119" t="s">
        <v>66</v>
      </c>
      <c r="C20" s="115" t="s">
        <v>67</v>
      </c>
      <c r="D20" s="118"/>
      <c r="F20" s="120"/>
    </row>
    <row r="21" spans="2:6" ht="35.25" customHeight="1" x14ac:dyDescent="0.25">
      <c r="B21" s="119" t="s">
        <v>68</v>
      </c>
      <c r="C21" s="121" t="s">
        <v>69</v>
      </c>
      <c r="D21" s="118"/>
    </row>
    <row r="22" spans="2:6" x14ac:dyDescent="0.25">
      <c r="B22" s="122">
        <v>7</v>
      </c>
      <c r="C22" s="121" t="s">
        <v>70</v>
      </c>
      <c r="D22" s="122" t="s">
        <v>71</v>
      </c>
    </row>
    <row r="23" spans="2:6" ht="123" customHeight="1" x14ac:dyDescent="0.25">
      <c r="B23" s="122">
        <v>8</v>
      </c>
      <c r="C23" s="123" t="s">
        <v>72</v>
      </c>
      <c r="D23" s="118">
        <f>D17</f>
        <v>209.64803730000003</v>
      </c>
    </row>
    <row r="24" spans="2:6" ht="60.75" customHeight="1" x14ac:dyDescent="0.25">
      <c r="B24" s="122">
        <v>9</v>
      </c>
      <c r="C24" s="117" t="s">
        <v>73</v>
      </c>
      <c r="D24" s="118">
        <f>D23/D15</f>
        <v>209.64803730000003</v>
      </c>
    </row>
    <row r="25" spans="2:6" ht="118.5" customHeight="1" x14ac:dyDescent="0.25">
      <c r="B25" s="122">
        <v>10</v>
      </c>
      <c r="C25" s="115" t="s">
        <v>74</v>
      </c>
      <c r="D25" s="115"/>
    </row>
    <row r="26" spans="2:6" x14ac:dyDescent="0.25">
      <c r="B26" s="124"/>
      <c r="C26" s="125"/>
      <c r="D26" s="125"/>
    </row>
    <row r="27" spans="2:6" ht="37.5" customHeight="1" x14ac:dyDescent="0.25">
      <c r="B27" s="126"/>
    </row>
    <row r="28" spans="2:6" x14ac:dyDescent="0.25">
      <c r="B28" s="113" t="s">
        <v>75</v>
      </c>
    </row>
    <row r="29" spans="2:6" x14ac:dyDescent="0.25">
      <c r="B29" s="126" t="s">
        <v>76</v>
      </c>
    </row>
    <row r="31" spans="2:6" x14ac:dyDescent="0.25">
      <c r="B31" s="113" t="s">
        <v>77</v>
      </c>
    </row>
    <row r="32" spans="2:6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16" t="s">
        <v>79</v>
      </c>
      <c r="B1" s="216"/>
      <c r="C1" s="216"/>
      <c r="D1" s="216"/>
    </row>
    <row r="2" spans="1:10" x14ac:dyDescent="0.25">
      <c r="A2" s="221" t="str">
        <f>'4.1 Отдел 1'!A10</f>
        <v>И5-05-02</v>
      </c>
      <c r="B2" s="221"/>
      <c r="C2" s="221"/>
      <c r="D2" s="221"/>
    </row>
    <row r="3" spans="1:10" x14ac:dyDescent="0.25">
      <c r="A3" s="222"/>
      <c r="B3" s="222"/>
      <c r="C3" s="222"/>
      <c r="D3" s="222"/>
    </row>
    <row r="4" spans="1:10" ht="51.75" customHeight="1" x14ac:dyDescent="0.25">
      <c r="A4" s="213" t="e">
        <f>#REF!</f>
        <v>#REF!</v>
      </c>
      <c r="B4" s="213"/>
      <c r="C4" s="213"/>
      <c r="D4" s="213"/>
    </row>
    <row r="5" spans="1:10" ht="15" customHeight="1" x14ac:dyDescent="0.25">
      <c r="A5" s="213"/>
      <c r="B5" s="223"/>
      <c r="C5" s="223"/>
      <c r="D5" s="223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80</v>
      </c>
      <c r="B7" s="2" t="s">
        <v>81</v>
      </c>
      <c r="C7" s="2" t="s">
        <v>82</v>
      </c>
      <c r="D7" s="2" t="s">
        <v>83</v>
      </c>
    </row>
    <row r="8" spans="1:10" x14ac:dyDescent="0.25">
      <c r="A8" s="25" t="s">
        <v>84</v>
      </c>
      <c r="B8" s="26">
        <f>'Прил.5 Расчет СМР и ОБ'!G14</f>
        <v>39.14</v>
      </c>
      <c r="C8" s="27">
        <f t="shared" ref="C8:C15" si="0">B8/$B$21</f>
        <v>2.028210469587207E-2</v>
      </c>
      <c r="D8" s="27">
        <f t="shared" ref="D8:D15" si="1">B8/$B$35</f>
        <v>7.1261167119643593E-4</v>
      </c>
      <c r="I8" s="28"/>
      <c r="J8" s="28"/>
    </row>
    <row r="9" spans="1:10" x14ac:dyDescent="0.25">
      <c r="A9" s="25" t="s">
        <v>85</v>
      </c>
      <c r="B9" s="26">
        <f>'Прил.5 Расчет СМР и ОБ'!G20</f>
        <v>63.08</v>
      </c>
      <c r="C9" s="27">
        <f t="shared" si="0"/>
        <v>3.2687663878784114E-2</v>
      </c>
      <c r="D9" s="27">
        <f t="shared" si="1"/>
        <v>1.1484809458117316E-3</v>
      </c>
      <c r="I9" s="28"/>
      <c r="J9" s="28"/>
    </row>
    <row r="10" spans="1:10" x14ac:dyDescent="0.25">
      <c r="A10" s="25" t="s">
        <v>86</v>
      </c>
      <c r="B10" s="26">
        <f>'Прил.5 Расчет СМР и ОБ'!G22</f>
        <v>4.5</v>
      </c>
      <c r="C10" s="27">
        <f t="shared" si="0"/>
        <v>2.3318720268631662E-3</v>
      </c>
      <c r="D10" s="27">
        <f t="shared" si="1"/>
        <v>8.1930314777311228E-5</v>
      </c>
      <c r="I10" s="28"/>
      <c r="J10" s="28"/>
    </row>
    <row r="11" spans="1:10" x14ac:dyDescent="0.25">
      <c r="A11" s="25" t="s">
        <v>87</v>
      </c>
      <c r="B11" s="26">
        <f>B9+B10</f>
        <v>67.58</v>
      </c>
      <c r="C11" s="27">
        <f t="shared" si="0"/>
        <v>3.5019535905647277E-2</v>
      </c>
      <c r="D11" s="27">
        <f t="shared" si="1"/>
        <v>1.2304112605890428E-3</v>
      </c>
      <c r="I11" s="28"/>
      <c r="J11" s="28"/>
    </row>
    <row r="12" spans="1:10" x14ac:dyDescent="0.25">
      <c r="A12" s="25" t="s">
        <v>88</v>
      </c>
      <c r="B12" s="26">
        <f>'Прил.5 Расчет СМР и ОБ'!G16</f>
        <v>23.28</v>
      </c>
      <c r="C12" s="27">
        <f t="shared" si="0"/>
        <v>1.206355128563878E-2</v>
      </c>
      <c r="D12" s="27">
        <f t="shared" si="1"/>
        <v>4.2385282844795678E-4</v>
      </c>
      <c r="I12" s="28"/>
      <c r="J12" s="28"/>
    </row>
    <row r="13" spans="1:10" x14ac:dyDescent="0.25">
      <c r="A13" s="25" t="s">
        <v>89</v>
      </c>
      <c r="B13" s="26">
        <f>'Прил.5 Расчет СМР и ОБ'!G40</f>
        <v>199.95</v>
      </c>
      <c r="C13" s="27">
        <f t="shared" si="0"/>
        <v>0.10361284706028667</v>
      </c>
      <c r="D13" s="27">
        <f t="shared" si="1"/>
        <v>3.6404369866051955E-3</v>
      </c>
      <c r="I13" s="28"/>
      <c r="J13" s="28"/>
    </row>
    <row r="14" spans="1:10" x14ac:dyDescent="0.25">
      <c r="A14" s="25" t="s">
        <v>90</v>
      </c>
      <c r="B14" s="26">
        <f>'Прил.5 Расчет СМР и ОБ'!G50</f>
        <v>24.06</v>
      </c>
      <c r="C14" s="27">
        <f t="shared" si="0"/>
        <v>1.2467742436961728E-2</v>
      </c>
      <c r="D14" s="27">
        <f t="shared" si="1"/>
        <v>4.3805408300935737E-4</v>
      </c>
      <c r="I14" s="28"/>
      <c r="J14" s="28"/>
    </row>
    <row r="15" spans="1:10" x14ac:dyDescent="0.25">
      <c r="A15" s="25" t="s">
        <v>91</v>
      </c>
      <c r="B15" s="26">
        <f>B13+B14</f>
        <v>224.01</v>
      </c>
      <c r="C15" s="27">
        <f t="shared" si="0"/>
        <v>0.11608058949724841</v>
      </c>
      <c r="D15" s="27">
        <f t="shared" si="1"/>
        <v>4.0784910696145529E-3</v>
      </c>
      <c r="I15" s="28"/>
      <c r="J15" s="28"/>
    </row>
    <row r="16" spans="1:10" x14ac:dyDescent="0.25">
      <c r="A16" s="25" t="s">
        <v>92</v>
      </c>
      <c r="B16" s="26">
        <f>B8+B11+B15</f>
        <v>330.73</v>
      </c>
      <c r="C16" s="27"/>
      <c r="D16" s="27"/>
      <c r="I16" s="28"/>
      <c r="J16" s="28"/>
    </row>
    <row r="17" spans="1:10" x14ac:dyDescent="0.25">
      <c r="A17" s="25" t="s">
        <v>93</v>
      </c>
      <c r="B17" s="26">
        <f>'Прил.5 Расчет СМР и ОБ'!G54</f>
        <v>569.17999999999995</v>
      </c>
      <c r="C17" s="27">
        <f>B17/$B$21</f>
        <v>0.29494553783332816</v>
      </c>
      <c r="D17" s="27">
        <f>B17/$B$35</f>
        <v>1.0362910347766667E-2</v>
      </c>
      <c r="I17" s="28"/>
      <c r="J17" s="28"/>
    </row>
    <row r="18" spans="1:10" x14ac:dyDescent="0.25">
      <c r="A18" s="25" t="s">
        <v>94</v>
      </c>
      <c r="B18" s="29">
        <f>B17/(B8+B12)</f>
        <v>9.1185517462351804</v>
      </c>
      <c r="C18" s="27"/>
      <c r="D18" s="27"/>
      <c r="I18" s="28"/>
      <c r="J18" s="28"/>
    </row>
    <row r="19" spans="1:10" x14ac:dyDescent="0.25">
      <c r="A19" s="25" t="s">
        <v>95</v>
      </c>
      <c r="B19" s="26">
        <f>'Прил.5 Расчет СМР и ОБ'!G53</f>
        <v>1029.8699999999999</v>
      </c>
      <c r="C19" s="27">
        <f>B19/$B$21</f>
        <v>0.53367223206790415</v>
      </c>
      <c r="D19" s="27">
        <f>B19/$B$35</f>
        <v>1.8750571839935445E-2</v>
      </c>
      <c r="I19" s="28"/>
      <c r="J19" s="28"/>
    </row>
    <row r="20" spans="1:10" x14ac:dyDescent="0.25">
      <c r="A20" s="25" t="s">
        <v>96</v>
      </c>
      <c r="B20" s="29">
        <f>B19/(B8+B12)</f>
        <v>16.49903876962512</v>
      </c>
      <c r="C20" s="27"/>
      <c r="D20" s="27"/>
      <c r="J20" s="28"/>
    </row>
    <row r="21" spans="1:10" x14ac:dyDescent="0.25">
      <c r="A21" s="25" t="s">
        <v>97</v>
      </c>
      <c r="B21" s="26">
        <f>B16+B17+B19</f>
        <v>1929.7799999999997</v>
      </c>
      <c r="C21" s="27">
        <f>B21/$B$21</f>
        <v>1</v>
      </c>
      <c r="D21" s="27">
        <f>B21/$B$35</f>
        <v>3.5134996189102145E-2</v>
      </c>
      <c r="J21" s="28"/>
    </row>
    <row r="22" spans="1:10" ht="26.45" customHeight="1" x14ac:dyDescent="0.25">
      <c r="A22" s="25" t="s">
        <v>98</v>
      </c>
      <c r="B22" s="26">
        <f>'Прил.6 Расчет ОБ'!G14</f>
        <v>43258.79</v>
      </c>
      <c r="C22" s="27"/>
      <c r="D22" s="27">
        <f>B22/$B$35</f>
        <v>0.78760139590791178</v>
      </c>
      <c r="J22" s="28"/>
    </row>
    <row r="23" spans="1:10" ht="26.45" customHeight="1" x14ac:dyDescent="0.25">
      <c r="A23" s="25" t="s">
        <v>99</v>
      </c>
      <c r="B23" s="26">
        <f>'Прил.6 Расчет ОБ'!G13</f>
        <v>43258.79</v>
      </c>
      <c r="C23" s="27"/>
      <c r="D23" s="27">
        <f>B23/$B$35</f>
        <v>0.78760139590791178</v>
      </c>
      <c r="J23" s="28"/>
    </row>
    <row r="24" spans="1:10" x14ac:dyDescent="0.25">
      <c r="A24" s="25" t="s">
        <v>100</v>
      </c>
      <c r="B24" s="26">
        <f>'Прил.5 Расчет СМР и ОБ'!G56</f>
        <v>45188.57</v>
      </c>
      <c r="C24" s="27"/>
      <c r="D24" s="27">
        <f>B24/$B$35</f>
        <v>0.82273639209701399</v>
      </c>
      <c r="J24" s="28"/>
    </row>
    <row r="25" spans="1:10" ht="26.45" customHeight="1" x14ac:dyDescent="0.25">
      <c r="A25" s="25" t="s">
        <v>101</v>
      </c>
      <c r="B25" s="26"/>
      <c r="C25" s="27"/>
      <c r="D25" s="27"/>
      <c r="J25" s="28"/>
    </row>
    <row r="26" spans="1:10" x14ac:dyDescent="0.25">
      <c r="A26" s="25" t="s">
        <v>102</v>
      </c>
      <c r="B26" s="26">
        <f>'4.7 Прил.6 Расчет Прочие'!I9*1000</f>
        <v>278.41007999999999</v>
      </c>
      <c r="C26" s="27"/>
      <c r="D26" s="27">
        <f>B26/$B$35</f>
        <v>5.0689389981280891E-3</v>
      </c>
      <c r="J26" s="28"/>
    </row>
    <row r="27" spans="1:10" x14ac:dyDescent="0.25">
      <c r="A27" s="25" t="s">
        <v>103</v>
      </c>
      <c r="B27" s="26">
        <f>'4.7 Прил.6 Расчет Прочие'!I11*1000</f>
        <v>86.950678710000005</v>
      </c>
      <c r="C27" s="27"/>
      <c r="D27" s="27">
        <f>B27/$B$35</f>
        <v>1.5830881059580343E-3</v>
      </c>
      <c r="J27" s="28"/>
    </row>
    <row r="28" spans="1:10" x14ac:dyDescent="0.25">
      <c r="A28" s="25" t="s">
        <v>104</v>
      </c>
      <c r="B28" s="26">
        <f>'4.7 Прил.6 Расчет Прочие'!I12*1000</f>
        <v>5470.4031199999999</v>
      </c>
      <c r="C28" s="27"/>
      <c r="D28" s="27">
        <f>B28/$B$35</f>
        <v>9.959818879564121E-2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105</v>
      </c>
      <c r="B30" s="26">
        <f>'4.7 Прил.6 Расчет Прочие'!I14*1000</f>
        <v>2300.6417510043998</v>
      </c>
      <c r="C30" s="27"/>
      <c r="D30" s="27">
        <f>B30/$B$35</f>
        <v>4.1887178411025544E-2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106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107</v>
      </c>
      <c r="B33" s="26">
        <f>B24+B26+B27+B28+B30+B32</f>
        <v>53324.975629714405</v>
      </c>
      <c r="C33" s="27"/>
      <c r="D33" s="27">
        <f>B33/$B$35</f>
        <v>0.97087378640776689</v>
      </c>
      <c r="J33" s="28"/>
    </row>
    <row r="34" spans="1:10" x14ac:dyDescent="0.25">
      <c r="A34" s="25" t="s">
        <v>108</v>
      </c>
      <c r="B34" s="26">
        <f>B33*3%</f>
        <v>1599.7492688914322</v>
      </c>
      <c r="C34" s="27"/>
      <c r="D34" s="27">
        <f>B34/$B$35</f>
        <v>2.9126213592233007E-2</v>
      </c>
      <c r="J34" s="28"/>
    </row>
    <row r="35" spans="1:10" x14ac:dyDescent="0.25">
      <c r="A35" s="25" t="s">
        <v>109</v>
      </c>
      <c r="B35" s="26">
        <f>B33+B34</f>
        <v>54924.72489860584</v>
      </c>
      <c r="C35" s="27"/>
      <c r="D35" s="27">
        <f>B35/$B$35</f>
        <v>1</v>
      </c>
      <c r="J35" s="28"/>
    </row>
    <row r="36" spans="1:10" x14ac:dyDescent="0.25">
      <c r="A36" s="25" t="s">
        <v>110</v>
      </c>
      <c r="B36" s="26">
        <f>B35</f>
        <v>54924.72489860584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111</v>
      </c>
      <c r="B38" s="30"/>
      <c r="C38" s="30"/>
      <c r="D38" s="30"/>
    </row>
    <row r="39" spans="1:10" x14ac:dyDescent="0.25">
      <c r="A39" s="31" t="s">
        <v>112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113</v>
      </c>
      <c r="B41" s="30"/>
      <c r="C41" s="30"/>
      <c r="D41" s="30"/>
    </row>
    <row r="42" spans="1:10" x14ac:dyDescent="0.25">
      <c r="A42" s="31" t="s">
        <v>114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23"/>
  <sheetViews>
    <sheetView view="pageBreakPreview" zoomScale="70" zoomScaleNormal="70" workbookViewId="0">
      <selection activeCell="F19" sqref="F19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17" t="s">
        <v>115</v>
      </c>
      <c r="C3" s="217"/>
      <c r="D3" s="217"/>
      <c r="E3" s="217"/>
      <c r="F3" s="217"/>
      <c r="G3" s="217"/>
      <c r="H3" s="217"/>
      <c r="I3" s="217"/>
      <c r="J3" s="217"/>
      <c r="K3" s="126"/>
    </row>
    <row r="4" spans="2:12" x14ac:dyDescent="0.25">
      <c r="B4" s="218" t="s">
        <v>116</v>
      </c>
      <c r="C4" s="218"/>
      <c r="D4" s="218"/>
      <c r="E4" s="218"/>
      <c r="F4" s="218"/>
      <c r="G4" s="218"/>
      <c r="H4" s="218"/>
      <c r="I4" s="218"/>
      <c r="J4" s="218"/>
      <c r="K4" s="218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15.75" customHeight="1" x14ac:dyDescent="0.25">
      <c r="B6" s="225" t="s">
        <v>117</v>
      </c>
      <c r="C6" s="225"/>
      <c r="D6" s="225"/>
      <c r="E6" s="225"/>
      <c r="F6" s="225"/>
      <c r="G6" s="225"/>
      <c r="H6" s="225"/>
      <c r="I6" s="225"/>
      <c r="J6" s="225"/>
      <c r="K6" s="126"/>
      <c r="L6" s="127"/>
    </row>
    <row r="7" spans="2:12" x14ac:dyDescent="0.25">
      <c r="B7" s="220" t="s">
        <v>49</v>
      </c>
      <c r="C7" s="220"/>
      <c r="D7" s="220"/>
      <c r="E7" s="220"/>
      <c r="F7" s="220"/>
      <c r="G7" s="220"/>
      <c r="H7" s="220"/>
      <c r="I7" s="220"/>
      <c r="J7" s="220"/>
      <c r="K7" s="220"/>
      <c r="L7" s="127"/>
    </row>
    <row r="8" spans="2:12" x14ac:dyDescent="0.25">
      <c r="B8" s="182"/>
    </row>
    <row r="9" spans="2:12" ht="15.75" customHeight="1" x14ac:dyDescent="0.25">
      <c r="B9" s="226" t="s">
        <v>33</v>
      </c>
      <c r="C9" s="226" t="s">
        <v>118</v>
      </c>
      <c r="D9" s="226" t="s">
        <v>119</v>
      </c>
      <c r="E9" s="226"/>
      <c r="F9" s="226"/>
      <c r="G9" s="226"/>
      <c r="H9" s="226"/>
      <c r="I9" s="226"/>
      <c r="J9" s="226"/>
    </row>
    <row r="10" spans="2:12" ht="15.75" customHeight="1" x14ac:dyDescent="0.25">
      <c r="B10" s="226"/>
      <c r="C10" s="226"/>
      <c r="D10" s="226" t="s">
        <v>120</v>
      </c>
      <c r="E10" s="226" t="s">
        <v>121</v>
      </c>
      <c r="F10" s="226" t="s">
        <v>122</v>
      </c>
      <c r="G10" s="226"/>
      <c r="H10" s="226"/>
      <c r="I10" s="226"/>
      <c r="J10" s="226"/>
    </row>
    <row r="11" spans="2:12" ht="31.5" customHeight="1" x14ac:dyDescent="0.25">
      <c r="B11" s="226"/>
      <c r="C11" s="226"/>
      <c r="D11" s="226"/>
      <c r="E11" s="226"/>
      <c r="F11" s="122" t="s">
        <v>123</v>
      </c>
      <c r="G11" s="122" t="s">
        <v>124</v>
      </c>
      <c r="H11" s="122" t="s">
        <v>43</v>
      </c>
      <c r="I11" s="122" t="s">
        <v>125</v>
      </c>
      <c r="J11" s="122" t="s">
        <v>126</v>
      </c>
    </row>
    <row r="12" spans="2:12" ht="47.25" customHeight="1" x14ac:dyDescent="0.25">
      <c r="B12" s="207"/>
      <c r="C12" s="208" t="s">
        <v>127</v>
      </c>
      <c r="D12" s="128"/>
      <c r="E12" s="122"/>
      <c r="F12" s="227">
        <f>(Прил.3!H12+Прил.3!H15+Прил.3!H17+Прил.3!H22)*8.11/1000</f>
        <v>2.8710211000000001</v>
      </c>
      <c r="G12" s="228"/>
      <c r="H12" s="129">
        <f>Прил.3!H20*4.78/1000</f>
        <v>206.77701620000002</v>
      </c>
      <c r="I12" s="130"/>
      <c r="J12" s="131">
        <f>F12+H12</f>
        <v>209.64803730000003</v>
      </c>
    </row>
    <row r="13" spans="2:12" ht="15.75" customHeight="1" x14ac:dyDescent="0.25">
      <c r="B13" s="224" t="s">
        <v>128</v>
      </c>
      <c r="C13" s="224"/>
      <c r="D13" s="224"/>
      <c r="E13" s="224"/>
      <c r="F13" s="132"/>
      <c r="G13" s="132"/>
      <c r="H13" s="132"/>
      <c r="I13" s="209"/>
      <c r="J13" s="134"/>
    </row>
    <row r="14" spans="2:12" ht="28.5" customHeight="1" x14ac:dyDescent="0.25">
      <c r="B14" s="224" t="s">
        <v>129</v>
      </c>
      <c r="C14" s="224"/>
      <c r="D14" s="224"/>
      <c r="E14" s="224"/>
      <c r="F14" s="229">
        <f>F12</f>
        <v>2.8710211000000001</v>
      </c>
      <c r="G14" s="230"/>
      <c r="H14" s="132">
        <f>H12</f>
        <v>206.77701620000002</v>
      </c>
      <c r="I14" s="209"/>
      <c r="J14" s="134">
        <f>J12</f>
        <v>209.64803730000003</v>
      </c>
    </row>
    <row r="15" spans="2:12" x14ac:dyDescent="0.25">
      <c r="B15" s="182"/>
    </row>
    <row r="19" spans="2:2" x14ac:dyDescent="0.25">
      <c r="B19" s="113" t="s">
        <v>75</v>
      </c>
    </row>
    <row r="20" spans="2:2" x14ac:dyDescent="0.25">
      <c r="B20" s="126" t="s">
        <v>76</v>
      </c>
    </row>
    <row r="22" spans="2:2" x14ac:dyDescent="0.25">
      <c r="B22" s="113" t="s">
        <v>77</v>
      </c>
    </row>
    <row r="23" spans="2:2" x14ac:dyDescent="0.25">
      <c r="B23" s="126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4:K45"/>
  <sheetViews>
    <sheetView view="pageBreakPreview" zoomScale="55" zoomScaleSheetLayoutView="55" workbookViewId="0">
      <selection activeCell="H151" sqref="H151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35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</cols>
  <sheetData>
    <row r="4" spans="1:11" x14ac:dyDescent="0.25">
      <c r="A4" s="217" t="s">
        <v>130</v>
      </c>
      <c r="B4" s="217"/>
      <c r="C4" s="217"/>
      <c r="D4" s="217"/>
      <c r="E4" s="217"/>
      <c r="F4" s="217"/>
      <c r="G4" s="217"/>
      <c r="H4" s="217"/>
    </row>
    <row r="5" spans="1:11" x14ac:dyDescent="0.25">
      <c r="A5" s="218" t="s">
        <v>131</v>
      </c>
      <c r="B5" s="218"/>
      <c r="C5" s="218"/>
      <c r="D5" s="218"/>
      <c r="E5" s="218"/>
      <c r="F5" s="218"/>
      <c r="G5" s="218"/>
      <c r="H5" s="218"/>
    </row>
    <row r="6" spans="1:11" x14ac:dyDescent="0.25">
      <c r="A6" s="182"/>
    </row>
    <row r="7" spans="1:11" x14ac:dyDescent="0.25">
      <c r="A7" s="225" t="s">
        <v>132</v>
      </c>
      <c r="B7" s="225"/>
      <c r="C7" s="225"/>
      <c r="D7" s="225"/>
      <c r="E7" s="225"/>
      <c r="F7" s="225"/>
      <c r="G7" s="225"/>
      <c r="H7" s="225"/>
    </row>
    <row r="8" spans="1:11" x14ac:dyDescent="0.25">
      <c r="A8" s="136"/>
      <c r="B8" s="136"/>
      <c r="C8" s="136"/>
      <c r="D8" s="136"/>
      <c r="E8" s="114"/>
      <c r="F8" s="136"/>
      <c r="G8" s="136"/>
      <c r="H8" s="136"/>
    </row>
    <row r="9" spans="1:11" ht="38.25" customHeight="1" x14ac:dyDescent="0.25">
      <c r="A9" s="226" t="s">
        <v>133</v>
      </c>
      <c r="B9" s="226" t="s">
        <v>134</v>
      </c>
      <c r="C9" s="226" t="s">
        <v>135</v>
      </c>
      <c r="D9" s="226" t="s">
        <v>136</v>
      </c>
      <c r="E9" s="226" t="s">
        <v>137</v>
      </c>
      <c r="F9" s="226" t="s">
        <v>138</v>
      </c>
      <c r="G9" s="226" t="s">
        <v>81</v>
      </c>
      <c r="H9" s="226"/>
    </row>
    <row r="10" spans="1:11" ht="40.5" customHeight="1" x14ac:dyDescent="0.25">
      <c r="A10" s="226"/>
      <c r="B10" s="226"/>
      <c r="C10" s="226"/>
      <c r="D10" s="226"/>
      <c r="E10" s="226"/>
      <c r="F10" s="226"/>
      <c r="G10" s="122" t="s">
        <v>139</v>
      </c>
      <c r="H10" s="122" t="s">
        <v>140</v>
      </c>
    </row>
    <row r="11" spans="1:11" x14ac:dyDescent="0.25">
      <c r="A11" s="137">
        <v>1</v>
      </c>
      <c r="B11" s="137"/>
      <c r="C11" s="137">
        <v>2</v>
      </c>
      <c r="D11" s="137" t="s">
        <v>141</v>
      </c>
      <c r="E11" s="137">
        <v>4</v>
      </c>
      <c r="F11" s="137">
        <v>5</v>
      </c>
      <c r="G11" s="137">
        <v>6</v>
      </c>
      <c r="H11" s="137">
        <v>7</v>
      </c>
    </row>
    <row r="12" spans="1:11" s="139" customFormat="1" x14ac:dyDescent="0.25">
      <c r="A12" s="231" t="s">
        <v>142</v>
      </c>
      <c r="B12" s="232"/>
      <c r="C12" s="233"/>
      <c r="D12" s="233"/>
      <c r="E12" s="232"/>
      <c r="F12" s="138">
        <f>SUM(F13:F14)</f>
        <v>4.1200352347834004</v>
      </c>
      <c r="G12" s="138"/>
      <c r="H12" s="138">
        <f>SUM(H13:H14)</f>
        <v>39.14</v>
      </c>
      <c r="I12" s="113"/>
      <c r="J12" s="113"/>
      <c r="K12" s="113"/>
    </row>
    <row r="13" spans="1:11" x14ac:dyDescent="0.25">
      <c r="A13" s="140">
        <v>1</v>
      </c>
      <c r="B13" s="141" t="s">
        <v>143</v>
      </c>
      <c r="C13" s="142" t="s">
        <v>144</v>
      </c>
      <c r="D13" s="143" t="s">
        <v>145</v>
      </c>
      <c r="E13" s="144" t="s">
        <v>146</v>
      </c>
      <c r="F13" s="140">
        <v>3.6668166916903999</v>
      </c>
      <c r="G13" s="145">
        <v>9.6199999999999992</v>
      </c>
      <c r="H13" s="145">
        <f>ROUND(F13*G13,2)</f>
        <v>35.270000000000003</v>
      </c>
    </row>
    <row r="14" spans="1:11" x14ac:dyDescent="0.25">
      <c r="A14" s="140">
        <v>2</v>
      </c>
      <c r="B14" s="141" t="s">
        <v>143</v>
      </c>
      <c r="C14" s="142" t="s">
        <v>147</v>
      </c>
      <c r="D14" s="143" t="s">
        <v>148</v>
      </c>
      <c r="E14" s="144" t="s">
        <v>146</v>
      </c>
      <c r="F14" s="140">
        <v>0.45321854309294002</v>
      </c>
      <c r="G14" s="145">
        <v>8.5299999999999994</v>
      </c>
      <c r="H14" s="145">
        <f>ROUND(F14*G14,2)</f>
        <v>3.87</v>
      </c>
    </row>
    <row r="15" spans="1:11" x14ac:dyDescent="0.25">
      <c r="A15" s="231" t="s">
        <v>149</v>
      </c>
      <c r="B15" s="232"/>
      <c r="C15" s="233"/>
      <c r="D15" s="233"/>
      <c r="E15" s="232"/>
      <c r="F15" s="183">
        <f>F16</f>
        <v>1.01</v>
      </c>
      <c r="G15" s="138"/>
      <c r="H15" s="138">
        <f>H16</f>
        <v>23.28</v>
      </c>
    </row>
    <row r="16" spans="1:11" x14ac:dyDescent="0.25">
      <c r="A16" s="140">
        <v>3</v>
      </c>
      <c r="B16" s="140" t="s">
        <v>143</v>
      </c>
      <c r="C16" s="143">
        <v>2</v>
      </c>
      <c r="D16" s="143" t="s">
        <v>149</v>
      </c>
      <c r="E16" s="144" t="s">
        <v>146</v>
      </c>
      <c r="F16" s="140">
        <v>1.01</v>
      </c>
      <c r="G16" s="145"/>
      <c r="H16" s="145">
        <v>23.28</v>
      </c>
    </row>
    <row r="17" spans="1:11" s="139" customFormat="1" x14ac:dyDescent="0.25">
      <c r="A17" s="231" t="s">
        <v>150</v>
      </c>
      <c r="B17" s="232"/>
      <c r="C17" s="233"/>
      <c r="D17" s="233"/>
      <c r="E17" s="232"/>
      <c r="F17" s="183"/>
      <c r="G17" s="138"/>
      <c r="H17" s="138">
        <f>SUM(H18:H19)</f>
        <v>67.58</v>
      </c>
      <c r="I17" s="113"/>
      <c r="J17" s="113"/>
      <c r="K17" s="113"/>
    </row>
    <row r="18" spans="1:11" x14ac:dyDescent="0.25">
      <c r="A18" s="140">
        <v>4</v>
      </c>
      <c r="B18" s="140" t="s">
        <v>143</v>
      </c>
      <c r="C18" s="143" t="s">
        <v>151</v>
      </c>
      <c r="D18" s="143" t="s">
        <v>152</v>
      </c>
      <c r="E18" s="144" t="s">
        <v>153</v>
      </c>
      <c r="F18" s="140">
        <v>0.96000100912590003</v>
      </c>
      <c r="G18" s="145">
        <v>65.709999999999994</v>
      </c>
      <c r="H18" s="145">
        <f>ROUND(F18*G18,2)</f>
        <v>63.08</v>
      </c>
    </row>
    <row r="19" spans="1:11" s="139" customFormat="1" x14ac:dyDescent="0.25">
      <c r="A19" s="140">
        <v>5</v>
      </c>
      <c r="B19" s="140" t="s">
        <v>143</v>
      </c>
      <c r="C19" s="143" t="s">
        <v>154</v>
      </c>
      <c r="D19" s="143" t="s">
        <v>155</v>
      </c>
      <c r="E19" s="144" t="s">
        <v>153</v>
      </c>
      <c r="F19" s="140">
        <v>5.0006474175976E-2</v>
      </c>
      <c r="G19" s="145">
        <v>89.99</v>
      </c>
      <c r="H19" s="145">
        <f>ROUND(F19*G19,2)</f>
        <v>4.5</v>
      </c>
      <c r="I19" s="113"/>
      <c r="J19" s="113"/>
      <c r="K19" s="113"/>
    </row>
    <row r="20" spans="1:11" x14ac:dyDescent="0.25">
      <c r="A20" s="231" t="s">
        <v>43</v>
      </c>
      <c r="B20" s="232"/>
      <c r="C20" s="233"/>
      <c r="D20" s="233"/>
      <c r="E20" s="232"/>
      <c r="F20" s="183"/>
      <c r="G20" s="138"/>
      <c r="H20" s="138">
        <f>SUM(H21:H21)</f>
        <v>43258.79</v>
      </c>
    </row>
    <row r="21" spans="1:11" s="139" customFormat="1" ht="94.5" customHeight="1" x14ac:dyDescent="0.25">
      <c r="A21" s="140">
        <v>6</v>
      </c>
      <c r="B21" s="140" t="s">
        <v>143</v>
      </c>
      <c r="C21" s="143" t="str">
        <f>'Прил.5 Расчет СМР и ОБ'!B26</f>
        <v>БЦ.54.24</v>
      </c>
      <c r="D21" s="143" t="s">
        <v>156</v>
      </c>
      <c r="E21" s="144" t="s">
        <v>157</v>
      </c>
      <c r="F21" s="140">
        <v>1</v>
      </c>
      <c r="G21" s="145">
        <v>43258.79</v>
      </c>
      <c r="H21" s="145">
        <f>ROUND(F21*G21,2)</f>
        <v>43258.79</v>
      </c>
      <c r="I21" s="113"/>
      <c r="J21" s="113"/>
      <c r="K21" s="113"/>
    </row>
    <row r="22" spans="1:11" x14ac:dyDescent="0.25">
      <c r="A22" s="231" t="s">
        <v>158</v>
      </c>
      <c r="B22" s="232"/>
      <c r="C22" s="233"/>
      <c r="D22" s="233"/>
      <c r="E22" s="232"/>
      <c r="F22" s="183"/>
      <c r="G22" s="138"/>
      <c r="H22" s="138">
        <f>SUM(H23:H38)</f>
        <v>224.01</v>
      </c>
    </row>
    <row r="23" spans="1:11" ht="31.5" customHeight="1" x14ac:dyDescent="0.25">
      <c r="A23" s="140">
        <v>7</v>
      </c>
      <c r="B23" s="140" t="s">
        <v>143</v>
      </c>
      <c r="C23" s="143" t="s">
        <v>159</v>
      </c>
      <c r="D23" s="143" t="s">
        <v>160</v>
      </c>
      <c r="E23" s="144" t="s">
        <v>161</v>
      </c>
      <c r="F23" s="140">
        <v>6.0000084103221003E-3</v>
      </c>
      <c r="G23" s="145">
        <v>15481</v>
      </c>
      <c r="H23" s="145">
        <f t="shared" ref="H23:H38" si="0">ROUND(F23*G23,2)</f>
        <v>92.89</v>
      </c>
    </row>
    <row r="24" spans="1:11" ht="47.25" customHeight="1" x14ac:dyDescent="0.25">
      <c r="A24" s="140">
        <v>8</v>
      </c>
      <c r="B24" s="140" t="s">
        <v>143</v>
      </c>
      <c r="C24" s="143" t="s">
        <v>162</v>
      </c>
      <c r="D24" s="143" t="s">
        <v>163</v>
      </c>
      <c r="E24" s="144" t="s">
        <v>161</v>
      </c>
      <c r="F24" s="140">
        <v>4.0000598574895001E-4</v>
      </c>
      <c r="G24" s="145">
        <v>75162.289999999994</v>
      </c>
      <c r="H24" s="145">
        <f t="shared" si="0"/>
        <v>30.07</v>
      </c>
    </row>
    <row r="25" spans="1:11" x14ac:dyDescent="0.25">
      <c r="A25" s="140">
        <v>9</v>
      </c>
      <c r="B25" s="140" t="s">
        <v>143</v>
      </c>
      <c r="C25" s="143" t="s">
        <v>164</v>
      </c>
      <c r="D25" s="143" t="s">
        <v>165</v>
      </c>
      <c r="E25" s="144" t="s">
        <v>166</v>
      </c>
      <c r="F25" s="140">
        <v>0.15000182516046001</v>
      </c>
      <c r="G25" s="145">
        <v>155</v>
      </c>
      <c r="H25" s="145">
        <f t="shared" si="0"/>
        <v>23.25</v>
      </c>
    </row>
    <row r="26" spans="1:11" x14ac:dyDescent="0.25">
      <c r="A26" s="140">
        <v>10</v>
      </c>
      <c r="B26" s="140" t="s">
        <v>143</v>
      </c>
      <c r="C26" s="143" t="s">
        <v>167</v>
      </c>
      <c r="D26" s="143" t="s">
        <v>168</v>
      </c>
      <c r="E26" s="144" t="s">
        <v>169</v>
      </c>
      <c r="F26" s="140">
        <v>0.10000121677364</v>
      </c>
      <c r="G26" s="145">
        <v>203</v>
      </c>
      <c r="H26" s="145">
        <f t="shared" si="0"/>
        <v>20.3</v>
      </c>
    </row>
    <row r="27" spans="1:11" ht="31.5" customHeight="1" x14ac:dyDescent="0.25">
      <c r="A27" s="140">
        <v>11</v>
      </c>
      <c r="B27" s="140" t="s">
        <v>143</v>
      </c>
      <c r="C27" s="143" t="s">
        <v>170</v>
      </c>
      <c r="D27" s="143" t="s">
        <v>171</v>
      </c>
      <c r="E27" s="144" t="s">
        <v>161</v>
      </c>
      <c r="F27" s="140">
        <v>9.7018473833224996E-4</v>
      </c>
      <c r="G27" s="145">
        <v>12606</v>
      </c>
      <c r="H27" s="145">
        <f t="shared" si="0"/>
        <v>12.23</v>
      </c>
    </row>
    <row r="28" spans="1:11" ht="31.5" customHeight="1" x14ac:dyDescent="0.25">
      <c r="A28" s="140">
        <v>12</v>
      </c>
      <c r="B28" s="140" t="s">
        <v>143</v>
      </c>
      <c r="C28" s="143" t="s">
        <v>172</v>
      </c>
      <c r="D28" s="143" t="s">
        <v>173</v>
      </c>
      <c r="E28" s="144" t="s">
        <v>174</v>
      </c>
      <c r="F28" s="140">
        <v>10.70013019478</v>
      </c>
      <c r="G28" s="145">
        <v>1</v>
      </c>
      <c r="H28" s="145">
        <f t="shared" si="0"/>
        <v>10.7</v>
      </c>
    </row>
    <row r="29" spans="1:11" ht="31.5" customHeight="1" x14ac:dyDescent="0.25">
      <c r="A29" s="140">
        <v>13</v>
      </c>
      <c r="B29" s="140" t="s">
        <v>143</v>
      </c>
      <c r="C29" s="143" t="s">
        <v>175</v>
      </c>
      <c r="D29" s="143" t="s">
        <v>176</v>
      </c>
      <c r="E29" s="144" t="s">
        <v>161</v>
      </c>
      <c r="F29" s="140">
        <v>2.8000980414401999E-4</v>
      </c>
      <c r="G29" s="145">
        <v>37517</v>
      </c>
      <c r="H29" s="145">
        <f t="shared" si="0"/>
        <v>10.51</v>
      </c>
    </row>
    <row r="30" spans="1:11" x14ac:dyDescent="0.25">
      <c r="A30" s="140">
        <v>14</v>
      </c>
      <c r="B30" s="140" t="s">
        <v>143</v>
      </c>
      <c r="C30" s="143" t="s">
        <v>177</v>
      </c>
      <c r="D30" s="143" t="s">
        <v>178</v>
      </c>
      <c r="E30" s="144" t="s">
        <v>161</v>
      </c>
      <c r="F30" s="140">
        <v>1.7997872876396E-4</v>
      </c>
      <c r="G30" s="145">
        <v>42700.01</v>
      </c>
      <c r="H30" s="145">
        <f t="shared" si="0"/>
        <v>7.69</v>
      </c>
    </row>
    <row r="31" spans="1:11" ht="31.5" customHeight="1" x14ac:dyDescent="0.25">
      <c r="A31" s="140">
        <v>15</v>
      </c>
      <c r="B31" s="140" t="s">
        <v>143</v>
      </c>
      <c r="C31" s="143" t="s">
        <v>179</v>
      </c>
      <c r="D31" s="143" t="s">
        <v>180</v>
      </c>
      <c r="E31" s="144" t="s">
        <v>161</v>
      </c>
      <c r="F31" s="140">
        <v>6.0016489317397001E-5</v>
      </c>
      <c r="G31" s="145">
        <v>114220</v>
      </c>
      <c r="H31" s="145">
        <f t="shared" si="0"/>
        <v>6.86</v>
      </c>
    </row>
    <row r="32" spans="1:11" x14ac:dyDescent="0.25">
      <c r="A32" s="140">
        <v>16</v>
      </c>
      <c r="B32" s="140" t="s">
        <v>143</v>
      </c>
      <c r="C32" s="143" t="s">
        <v>181</v>
      </c>
      <c r="D32" s="143" t="s">
        <v>182</v>
      </c>
      <c r="E32" s="144" t="s">
        <v>166</v>
      </c>
      <c r="F32" s="140">
        <v>0.1199592079528</v>
      </c>
      <c r="G32" s="145">
        <v>28.26</v>
      </c>
      <c r="H32" s="145">
        <f t="shared" si="0"/>
        <v>3.39</v>
      </c>
    </row>
    <row r="33" spans="1:8" x14ac:dyDescent="0.25">
      <c r="A33" s="140">
        <v>17</v>
      </c>
      <c r="B33" s="140" t="s">
        <v>143</v>
      </c>
      <c r="C33" s="143" t="s">
        <v>183</v>
      </c>
      <c r="D33" s="143" t="s">
        <v>184</v>
      </c>
      <c r="E33" s="144" t="s">
        <v>166</v>
      </c>
      <c r="F33" s="140">
        <v>1.8485385773384998E-2</v>
      </c>
      <c r="G33" s="145">
        <v>138.76</v>
      </c>
      <c r="H33" s="145">
        <f t="shared" si="0"/>
        <v>2.57</v>
      </c>
    </row>
    <row r="34" spans="1:8" ht="47.25" customHeight="1" x14ac:dyDescent="0.25">
      <c r="A34" s="140">
        <v>18</v>
      </c>
      <c r="B34" s="140" t="s">
        <v>143</v>
      </c>
      <c r="C34" s="143" t="s">
        <v>185</v>
      </c>
      <c r="D34" s="143" t="s">
        <v>186</v>
      </c>
      <c r="E34" s="144" t="s">
        <v>187</v>
      </c>
      <c r="F34" s="140">
        <v>2.9984066341157E-3</v>
      </c>
      <c r="G34" s="145">
        <v>405.22</v>
      </c>
      <c r="H34" s="145">
        <f t="shared" si="0"/>
        <v>1.22</v>
      </c>
    </row>
    <row r="35" spans="1:8" x14ac:dyDescent="0.25">
      <c r="A35" s="140">
        <v>19</v>
      </c>
      <c r="B35" s="140" t="s">
        <v>143</v>
      </c>
      <c r="C35" s="143" t="s">
        <v>188</v>
      </c>
      <c r="D35" s="143" t="s">
        <v>189</v>
      </c>
      <c r="E35" s="144" t="s">
        <v>166</v>
      </c>
      <c r="F35" s="140">
        <v>2.6012684228068999E-2</v>
      </c>
      <c r="G35" s="145">
        <v>39.020000000000003</v>
      </c>
      <c r="H35" s="145">
        <f t="shared" si="0"/>
        <v>1.02</v>
      </c>
    </row>
    <row r="36" spans="1:8" ht="31.5" customHeight="1" x14ac:dyDescent="0.25">
      <c r="A36" s="140">
        <v>20</v>
      </c>
      <c r="B36" s="140" t="s">
        <v>143</v>
      </c>
      <c r="C36" s="143" t="s">
        <v>190</v>
      </c>
      <c r="D36" s="143" t="s">
        <v>191</v>
      </c>
      <c r="E36" s="144" t="s">
        <v>166</v>
      </c>
      <c r="F36" s="140">
        <v>1.9953527457841E-2</v>
      </c>
      <c r="G36" s="145">
        <v>38.340000000000003</v>
      </c>
      <c r="H36" s="145">
        <f t="shared" si="0"/>
        <v>0.77</v>
      </c>
    </row>
    <row r="37" spans="1:8" ht="31.5" customHeight="1" x14ac:dyDescent="0.25">
      <c r="A37" s="140">
        <v>21</v>
      </c>
      <c r="B37" s="140" t="s">
        <v>143</v>
      </c>
      <c r="C37" s="143" t="s">
        <v>192</v>
      </c>
      <c r="D37" s="143" t="s">
        <v>193</v>
      </c>
      <c r="E37" s="144" t="s">
        <v>161</v>
      </c>
      <c r="F37" s="140">
        <v>2.4087005244553999E-5</v>
      </c>
      <c r="G37" s="145">
        <v>22419</v>
      </c>
      <c r="H37" s="145">
        <f t="shared" si="0"/>
        <v>0.54</v>
      </c>
    </row>
    <row r="38" spans="1:8" x14ac:dyDescent="0.25">
      <c r="A38" s="140">
        <v>22</v>
      </c>
      <c r="B38" s="140" t="s">
        <v>143</v>
      </c>
      <c r="C38" s="143" t="s">
        <v>194</v>
      </c>
      <c r="D38" s="143" t="s">
        <v>195</v>
      </c>
      <c r="E38" s="144" t="s">
        <v>161</v>
      </c>
      <c r="F38" s="140">
        <v>0.17499999999999999</v>
      </c>
      <c r="G38" s="145"/>
      <c r="H38" s="145">
        <f t="shared" si="0"/>
        <v>0</v>
      </c>
    </row>
    <row r="41" spans="1:8" x14ac:dyDescent="0.25">
      <c r="B41" s="113" t="s">
        <v>75</v>
      </c>
    </row>
    <row r="42" spans="1:8" x14ac:dyDescent="0.25">
      <c r="B42" s="126" t="s">
        <v>76</v>
      </c>
    </row>
    <row r="44" spans="1:8" x14ac:dyDescent="0.25">
      <c r="B44" s="113" t="s">
        <v>77</v>
      </c>
    </row>
    <row r="45" spans="1:8" x14ac:dyDescent="0.25">
      <c r="B45" s="126" t="s">
        <v>78</v>
      </c>
    </row>
  </sheetData>
  <mergeCells count="15">
    <mergeCell ref="A15:E15"/>
    <mergeCell ref="A22:E22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0:E2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I50"/>
  <sheetViews>
    <sheetView view="pageBreakPreview" topLeftCell="A16" workbookViewId="0">
      <selection activeCell="E45" sqref="E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8" width="9.140625" customWidth="1"/>
    <col min="9" max="9" width="13.5703125" customWidth="1"/>
    <col min="10" max="10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196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0" t="s">
        <v>79</v>
      </c>
      <c r="C5" s="210"/>
      <c r="D5" s="210"/>
      <c r="E5" s="210"/>
    </row>
    <row r="6" spans="2:5" x14ac:dyDescent="0.25">
      <c r="B6" s="111"/>
      <c r="C6" s="4"/>
      <c r="D6" s="4"/>
      <c r="E6" s="4"/>
    </row>
    <row r="7" spans="2:5" ht="25.5" customHeight="1" x14ac:dyDescent="0.25">
      <c r="B7" s="223" t="s">
        <v>47</v>
      </c>
      <c r="C7" s="223"/>
      <c r="D7" s="223"/>
      <c r="E7" s="223"/>
    </row>
    <row r="8" spans="2:5" x14ac:dyDescent="0.25">
      <c r="B8" s="234" t="s">
        <v>49</v>
      </c>
      <c r="C8" s="234"/>
      <c r="D8" s="234"/>
      <c r="E8" s="234"/>
    </row>
    <row r="9" spans="2:5" x14ac:dyDescent="0.25">
      <c r="B9" s="111"/>
      <c r="C9" s="4"/>
      <c r="D9" s="4"/>
      <c r="E9" s="4"/>
    </row>
    <row r="10" spans="2:5" ht="51" customHeight="1" x14ac:dyDescent="0.25">
      <c r="B10" s="2" t="s">
        <v>80</v>
      </c>
      <c r="C10" s="2" t="s">
        <v>197</v>
      </c>
      <c r="D10" s="2" t="s">
        <v>198</v>
      </c>
      <c r="E10" s="2" t="s">
        <v>199</v>
      </c>
    </row>
    <row r="11" spans="2:5" x14ac:dyDescent="0.25">
      <c r="B11" s="25" t="s">
        <v>84</v>
      </c>
      <c r="C11" s="190">
        <f>'Прил.5 Расчет СМР и ОБ'!J14</f>
        <v>1809.08</v>
      </c>
      <c r="D11" s="27">
        <f t="shared" ref="D11:D18" si="0">C11/$C$24</f>
        <v>0.2087387154540587</v>
      </c>
      <c r="E11" s="27">
        <f t="shared" ref="E11:E18" si="1">C11/$C$40</f>
        <v>5.8209042627470238E-3</v>
      </c>
    </row>
    <row r="12" spans="2:5" x14ac:dyDescent="0.25">
      <c r="B12" s="25" t="s">
        <v>85</v>
      </c>
      <c r="C12" s="190">
        <f>'Прил.5 Расчет СМР и ОБ'!J20</f>
        <v>849.71</v>
      </c>
      <c r="D12" s="27">
        <f t="shared" si="0"/>
        <v>9.8042858197795693E-2</v>
      </c>
      <c r="E12" s="27">
        <f t="shared" si="1"/>
        <v>2.7340308671251544E-3</v>
      </c>
    </row>
    <row r="13" spans="2:5" x14ac:dyDescent="0.25">
      <c r="B13" s="25" t="s">
        <v>86</v>
      </c>
      <c r="C13" s="190">
        <f>'Прил.5 Расчет СМР и ОБ'!J22</f>
        <v>60.62</v>
      </c>
      <c r="D13" s="27">
        <f t="shared" si="0"/>
        <v>6.9945723410932839E-3</v>
      </c>
      <c r="E13" s="27">
        <f t="shared" si="1"/>
        <v>1.9505119530796019E-4</v>
      </c>
    </row>
    <row r="14" spans="2:5" x14ac:dyDescent="0.25">
      <c r="B14" s="25" t="s">
        <v>87</v>
      </c>
      <c r="C14" s="190">
        <f>C13+C12</f>
        <v>910.33</v>
      </c>
      <c r="D14" s="27">
        <f t="shared" si="0"/>
        <v>0.10503743053888898</v>
      </c>
      <c r="E14" s="27">
        <f t="shared" si="1"/>
        <v>2.9290820624331146E-3</v>
      </c>
    </row>
    <row r="15" spans="2:5" x14ac:dyDescent="0.25">
      <c r="B15" s="25" t="s">
        <v>88</v>
      </c>
      <c r="C15" s="190">
        <f>'Прил.5 Расчет СМР и ОБ'!J16</f>
        <v>1031.07</v>
      </c>
      <c r="D15" s="27">
        <f t="shared" si="0"/>
        <v>0.11896888326841064</v>
      </c>
      <c r="E15" s="27">
        <f t="shared" si="1"/>
        <v>3.3175756507122815E-3</v>
      </c>
    </row>
    <row r="16" spans="2:5" x14ac:dyDescent="0.25">
      <c r="B16" s="25" t="s">
        <v>89</v>
      </c>
      <c r="C16" s="190">
        <f>'Прил.5 Расчет СМР и ОБ'!J40</f>
        <v>1607.49</v>
      </c>
      <c r="D16" s="27">
        <f t="shared" si="0"/>
        <v>0.18547847397862163</v>
      </c>
      <c r="E16" s="27">
        <f t="shared" si="1"/>
        <v>5.1722673366148622E-3</v>
      </c>
    </row>
    <row r="17" spans="2:5" x14ac:dyDescent="0.25">
      <c r="B17" s="25" t="s">
        <v>90</v>
      </c>
      <c r="C17" s="190">
        <f>'Прил.5 Расчет СМР и ОБ'!J50</f>
        <v>193.20000000000002</v>
      </c>
      <c r="D17" s="27">
        <f t="shared" si="0"/>
        <v>2.229217050971994E-2</v>
      </c>
      <c r="E17" s="27">
        <f t="shared" si="1"/>
        <v>6.216412229214436E-4</v>
      </c>
    </row>
    <row r="18" spans="2:5" x14ac:dyDescent="0.25">
      <c r="B18" s="25" t="s">
        <v>91</v>
      </c>
      <c r="C18" s="190">
        <f>C17+C16</f>
        <v>1800.69</v>
      </c>
      <c r="D18" s="27">
        <f t="shared" si="0"/>
        <v>0.20777064448834159</v>
      </c>
      <c r="E18" s="27">
        <f t="shared" si="1"/>
        <v>5.7939085595363057E-3</v>
      </c>
    </row>
    <row r="19" spans="2:5" x14ac:dyDescent="0.25">
      <c r="B19" s="25" t="s">
        <v>92</v>
      </c>
      <c r="C19" s="190">
        <f>C18+C14+C11</f>
        <v>4520.1000000000004</v>
      </c>
      <c r="D19" s="27"/>
      <c r="E19" s="25"/>
    </row>
    <row r="20" spans="2:5" x14ac:dyDescent="0.25">
      <c r="B20" s="25" t="s">
        <v>93</v>
      </c>
      <c r="C20" s="190">
        <f>ROUND(C21*(C11+C15),2)</f>
        <v>1476.88</v>
      </c>
      <c r="D20" s="27">
        <f>C20/$C$24</f>
        <v>0.17040818210349473</v>
      </c>
      <c r="E20" s="27">
        <f>C20/$C$40</f>
        <v>4.7520159902081863E-3</v>
      </c>
    </row>
    <row r="21" spans="2:5" x14ac:dyDescent="0.25">
      <c r="B21" s="25" t="s">
        <v>94</v>
      </c>
      <c r="C21" s="29">
        <v>0.52</v>
      </c>
      <c r="D21" s="27"/>
      <c r="E21" s="25"/>
    </row>
    <row r="22" spans="2:5" x14ac:dyDescent="0.25">
      <c r="B22" s="25" t="s">
        <v>95</v>
      </c>
      <c r="C22" s="190">
        <f>ROUND(C23*(C11+C15),2)</f>
        <v>2669.74</v>
      </c>
      <c r="D22" s="27">
        <f>C22/$C$24</f>
        <v>0.30804502741521583</v>
      </c>
      <c r="E22" s="27">
        <f>C22/$C$40</f>
        <v>8.590167901047073E-3</v>
      </c>
    </row>
    <row r="23" spans="2:5" x14ac:dyDescent="0.25">
      <c r="B23" s="25" t="s">
        <v>96</v>
      </c>
      <c r="C23" s="29">
        <v>0.94</v>
      </c>
      <c r="D23" s="27"/>
      <c r="E23" s="25"/>
    </row>
    <row r="24" spans="2:5" x14ac:dyDescent="0.25">
      <c r="B24" s="25" t="s">
        <v>97</v>
      </c>
      <c r="C24" s="190">
        <f>C19+C20+C22</f>
        <v>8666.7200000000012</v>
      </c>
      <c r="D24" s="27">
        <f>C24/$C$24</f>
        <v>1</v>
      </c>
      <c r="E24" s="27">
        <f>C24/$C$40</f>
        <v>2.7886078775971709E-2</v>
      </c>
    </row>
    <row r="25" spans="2:5" ht="25.5" customHeight="1" x14ac:dyDescent="0.25">
      <c r="B25" s="25" t="s">
        <v>98</v>
      </c>
      <c r="C25" s="190">
        <f>'Прил.5 Расчет СМР и ОБ'!J29</f>
        <v>270800</v>
      </c>
      <c r="D25" s="27"/>
      <c r="E25" s="27">
        <f>C25/$C$40</f>
        <v>0.87132734558554303</v>
      </c>
    </row>
    <row r="26" spans="2:5" ht="25.5" customHeight="1" x14ac:dyDescent="0.25">
      <c r="B26" s="25" t="s">
        <v>99</v>
      </c>
      <c r="C26" s="190">
        <f>'Прил.5 Расчет СМР и ОБ'!J30</f>
        <v>270800.03000000003</v>
      </c>
      <c r="D26" s="27"/>
      <c r="E26" s="27">
        <f>C26/$C$40</f>
        <v>0.87132744211368329</v>
      </c>
    </row>
    <row r="27" spans="2:5" x14ac:dyDescent="0.25">
      <c r="B27" s="25" t="s">
        <v>100</v>
      </c>
      <c r="C27" s="26">
        <f>C24+C25</f>
        <v>279466.71999999997</v>
      </c>
      <c r="D27" s="27"/>
      <c r="E27" s="27">
        <f>C27/$C$40</f>
        <v>0.89921342436151463</v>
      </c>
    </row>
    <row r="28" spans="2:5" ht="33" customHeight="1" x14ac:dyDescent="0.25">
      <c r="B28" s="25" t="s">
        <v>101</v>
      </c>
      <c r="C28" s="25"/>
      <c r="D28" s="25"/>
      <c r="E28" s="25"/>
    </row>
    <row r="29" spans="2:5" ht="25.5" customHeight="1" x14ac:dyDescent="0.25">
      <c r="B29" s="25" t="s">
        <v>200</v>
      </c>
      <c r="C29" s="26">
        <f>ROUND(C24*3.9%,2)</f>
        <v>338</v>
      </c>
      <c r="D29" s="25"/>
      <c r="E29" s="27">
        <f t="shared" ref="E29:E38" si="2">C29/$C$40</f>
        <v>1.0875503796451756E-3</v>
      </c>
    </row>
    <row r="30" spans="2:5" ht="38.25" customHeight="1" x14ac:dyDescent="0.25">
      <c r="B30" s="25" t="s">
        <v>201</v>
      </c>
      <c r="C30" s="201">
        <f>ROUND((C24+C29)*2.1%,2)</f>
        <v>189.1</v>
      </c>
      <c r="D30" s="202"/>
      <c r="E30" s="203">
        <f t="shared" si="2"/>
        <v>6.0844904376006713E-4</v>
      </c>
    </row>
    <row r="31" spans="2:5" x14ac:dyDescent="0.25">
      <c r="B31" s="25" t="s">
        <v>202</v>
      </c>
      <c r="C31" s="201">
        <v>16060</v>
      </c>
      <c r="D31" s="202"/>
      <c r="E31" s="203">
        <f t="shared" si="2"/>
        <v>5.1674731056513372E-2</v>
      </c>
    </row>
    <row r="32" spans="2:5" ht="25.5" customHeight="1" x14ac:dyDescent="0.25">
      <c r="B32" s="25" t="s">
        <v>203</v>
      </c>
      <c r="C32" s="201">
        <v>0</v>
      </c>
      <c r="D32" s="202"/>
      <c r="E32" s="203">
        <f t="shared" si="2"/>
        <v>0</v>
      </c>
    </row>
    <row r="33" spans="2:9" ht="25.5" customHeight="1" x14ac:dyDescent="0.25">
      <c r="B33" s="25" t="s">
        <v>204</v>
      </c>
      <c r="C33" s="26">
        <v>0</v>
      </c>
      <c r="D33" s="202"/>
      <c r="E33" s="203">
        <f t="shared" si="2"/>
        <v>0</v>
      </c>
    </row>
    <row r="34" spans="2:9" ht="51" customHeight="1" x14ac:dyDescent="0.25">
      <c r="B34" s="25" t="s">
        <v>205</v>
      </c>
      <c r="C34" s="26">
        <v>0</v>
      </c>
      <c r="D34" s="25"/>
      <c r="E34" s="27">
        <f t="shared" si="2"/>
        <v>0</v>
      </c>
    </row>
    <row r="35" spans="2:9" ht="76.5" customHeight="1" x14ac:dyDescent="0.25">
      <c r="B35" s="25" t="s">
        <v>206</v>
      </c>
      <c r="C35" s="26">
        <v>0</v>
      </c>
      <c r="D35" s="25"/>
      <c r="E35" s="27">
        <f t="shared" si="2"/>
        <v>0</v>
      </c>
    </row>
    <row r="36" spans="2:9" ht="25.5" customHeight="1" x14ac:dyDescent="0.25">
      <c r="B36" s="25" t="s">
        <v>207</v>
      </c>
      <c r="C36" s="26">
        <f>ROUND((C27+C32+C33+C34+C35+C29+C31+C30)*1.72%,2)</f>
        <v>5092.13</v>
      </c>
      <c r="D36" s="25"/>
      <c r="E36" s="27">
        <f t="shared" si="2"/>
        <v>1.6384461286102332E-2</v>
      </c>
      <c r="I36" s="146"/>
    </row>
    <row r="37" spans="2:9" x14ac:dyDescent="0.25">
      <c r="B37" s="25" t="s">
        <v>208</v>
      </c>
      <c r="C37" s="26">
        <f>ROUND((C27+C32+C33+C34+C35+C29+C31+C30)*0.2%,2)</f>
        <v>592.11</v>
      </c>
      <c r="D37" s="25"/>
      <c r="E37" s="27">
        <f t="shared" si="2"/>
        <v>1.9051759032298963E-3</v>
      </c>
      <c r="I37" s="146"/>
    </row>
    <row r="38" spans="2:9" ht="38.25" customHeight="1" x14ac:dyDescent="0.25">
      <c r="B38" s="25" t="s">
        <v>107</v>
      </c>
      <c r="C38" s="190">
        <f>C27+C32+C33+C34+C35+C29+C31+C30+C36+C37</f>
        <v>301738.05999999994</v>
      </c>
      <c r="D38" s="25"/>
      <c r="E38" s="27">
        <f t="shared" si="2"/>
        <v>0.9708737920307654</v>
      </c>
    </row>
    <row r="39" spans="2:9" ht="13.5" customHeight="1" x14ac:dyDescent="0.25">
      <c r="B39" s="25" t="s">
        <v>108</v>
      </c>
      <c r="C39" s="190">
        <f>ROUND(C38*3%,2)</f>
        <v>9052.14</v>
      </c>
      <c r="D39" s="25"/>
      <c r="E39" s="27">
        <f>C39/$C$38</f>
        <v>2.9999994034560974E-2</v>
      </c>
    </row>
    <row r="40" spans="2:9" x14ac:dyDescent="0.25">
      <c r="B40" s="25" t="s">
        <v>109</v>
      </c>
      <c r="C40" s="190">
        <f>C39+C38</f>
        <v>310790.19999999995</v>
      </c>
      <c r="D40" s="25"/>
      <c r="E40" s="27">
        <f>C40/$C$40</f>
        <v>1</v>
      </c>
    </row>
    <row r="41" spans="2:9" x14ac:dyDescent="0.25">
      <c r="B41" s="25" t="s">
        <v>110</v>
      </c>
      <c r="C41" s="190">
        <f>C40/'Прил.5 Расчет СМР и ОБ'!E57</f>
        <v>310790.19999999995</v>
      </c>
      <c r="D41" s="25"/>
      <c r="E41" s="25"/>
    </row>
    <row r="42" spans="2:9" x14ac:dyDescent="0.25">
      <c r="B42" s="112"/>
      <c r="C42" s="4"/>
      <c r="D42" s="4"/>
      <c r="E42" s="4"/>
    </row>
    <row r="43" spans="2:9" x14ac:dyDescent="0.25">
      <c r="B43" s="112" t="s">
        <v>209</v>
      </c>
      <c r="C43" s="4"/>
      <c r="D43" s="4"/>
      <c r="E43" s="4"/>
    </row>
    <row r="44" spans="2:9" x14ac:dyDescent="0.25">
      <c r="B44" s="112" t="s">
        <v>210</v>
      </c>
      <c r="C44" s="4"/>
      <c r="D44" s="4"/>
      <c r="E44" s="4"/>
    </row>
    <row r="45" spans="2:9" x14ac:dyDescent="0.25">
      <c r="B45" s="112"/>
      <c r="C45" s="4"/>
      <c r="D45" s="4"/>
      <c r="E45" s="4"/>
    </row>
    <row r="46" spans="2:9" x14ac:dyDescent="0.25">
      <c r="B46" s="112" t="s">
        <v>211</v>
      </c>
      <c r="C46" s="4"/>
      <c r="D46" s="4"/>
      <c r="E46" s="4"/>
    </row>
    <row r="47" spans="2:9" x14ac:dyDescent="0.25">
      <c r="B47" s="234" t="s">
        <v>212</v>
      </c>
      <c r="C47" s="23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63"/>
  <sheetViews>
    <sheetView tabSelected="1" view="pageBreakPreview" zoomScale="70" zoomScaleSheetLayoutView="70" workbookViewId="0">
      <selection activeCell="V26" sqref="V2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35" t="s">
        <v>213</v>
      </c>
      <c r="I2" s="235"/>
      <c r="J2" s="235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10" t="s">
        <v>214</v>
      </c>
      <c r="B4" s="210"/>
      <c r="C4" s="210"/>
      <c r="D4" s="210"/>
      <c r="E4" s="210"/>
      <c r="F4" s="210"/>
      <c r="G4" s="210"/>
      <c r="H4" s="210"/>
      <c r="I4" s="210"/>
      <c r="J4" s="210"/>
    </row>
    <row r="5" spans="1:12" s="4" customFormat="1" ht="12.75" customHeight="1" x14ac:dyDescent="0.2">
      <c r="A5" s="185"/>
      <c r="B5" s="185"/>
      <c r="C5" s="34"/>
      <c r="D5" s="185"/>
      <c r="E5" s="185"/>
      <c r="F5" s="185"/>
      <c r="G5" s="185"/>
      <c r="H5" s="185"/>
      <c r="I5" s="185"/>
      <c r="J5" s="185"/>
    </row>
    <row r="6" spans="1:12" s="4" customFormat="1" ht="12.75" customHeight="1" x14ac:dyDescent="0.2">
      <c r="A6" s="147" t="s">
        <v>215</v>
      </c>
      <c r="B6" s="148"/>
      <c r="C6" s="148"/>
      <c r="D6" s="241" t="s">
        <v>216</v>
      </c>
      <c r="E6" s="241"/>
      <c r="F6" s="241"/>
      <c r="G6" s="241"/>
      <c r="H6" s="241"/>
      <c r="I6" s="241"/>
      <c r="J6" s="241"/>
    </row>
    <row r="7" spans="1:12" s="4" customFormat="1" ht="12.75" customHeight="1" x14ac:dyDescent="0.2">
      <c r="A7" s="213" t="s">
        <v>49</v>
      </c>
      <c r="B7" s="223"/>
      <c r="C7" s="223"/>
      <c r="D7" s="223"/>
      <c r="E7" s="223"/>
      <c r="F7" s="223"/>
      <c r="G7" s="223"/>
      <c r="H7" s="223"/>
      <c r="I7" s="48"/>
      <c r="J7" s="48"/>
    </row>
    <row r="8" spans="1:12" s="4" customFormat="1" ht="13.5" customHeight="1" x14ac:dyDescent="0.2">
      <c r="A8" s="213"/>
      <c r="B8" s="223"/>
      <c r="C8" s="223"/>
      <c r="D8" s="223"/>
      <c r="E8" s="223"/>
      <c r="F8" s="223"/>
      <c r="G8" s="223"/>
      <c r="H8" s="223"/>
    </row>
    <row r="9" spans="1:12" ht="27" customHeight="1" x14ac:dyDescent="0.25">
      <c r="A9" s="238" t="s">
        <v>13</v>
      </c>
      <c r="B9" s="238" t="s">
        <v>135</v>
      </c>
      <c r="C9" s="238" t="s">
        <v>80</v>
      </c>
      <c r="D9" s="238" t="s">
        <v>137</v>
      </c>
      <c r="E9" s="239" t="s">
        <v>217</v>
      </c>
      <c r="F9" s="236" t="s">
        <v>81</v>
      </c>
      <c r="G9" s="237"/>
      <c r="H9" s="239" t="s">
        <v>218</v>
      </c>
      <c r="I9" s="236" t="s">
        <v>219</v>
      </c>
      <c r="J9" s="237"/>
      <c r="K9" s="12"/>
      <c r="L9" s="12"/>
    </row>
    <row r="10" spans="1:12" ht="28.5" customHeight="1" x14ac:dyDescent="0.25">
      <c r="A10" s="238"/>
      <c r="B10" s="238"/>
      <c r="C10" s="238"/>
      <c r="D10" s="238"/>
      <c r="E10" s="240"/>
      <c r="F10" s="2" t="s">
        <v>220</v>
      </c>
      <c r="G10" s="2" t="s">
        <v>140</v>
      </c>
      <c r="H10" s="240"/>
      <c r="I10" s="2" t="s">
        <v>220</v>
      </c>
      <c r="J10" s="2" t="s">
        <v>140</v>
      </c>
      <c r="K10" s="12"/>
      <c r="L10" s="12"/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4">
        <v>9</v>
      </c>
      <c r="J11" s="184">
        <v>10</v>
      </c>
      <c r="K11" s="12"/>
      <c r="L11" s="12"/>
    </row>
    <row r="12" spans="1:12" x14ac:dyDescent="0.25">
      <c r="A12" s="2"/>
      <c r="B12" s="247" t="s">
        <v>221</v>
      </c>
      <c r="C12" s="248"/>
      <c r="D12" s="238"/>
      <c r="E12" s="249"/>
      <c r="F12" s="250"/>
      <c r="G12" s="250"/>
      <c r="H12" s="251"/>
      <c r="I12" s="149"/>
      <c r="J12" s="149"/>
    </row>
    <row r="13" spans="1:12" ht="25.5" customHeight="1" x14ac:dyDescent="0.25">
      <c r="A13" s="2">
        <v>1</v>
      </c>
      <c r="B13" s="150" t="s">
        <v>222</v>
      </c>
      <c r="C13" s="8" t="s">
        <v>223</v>
      </c>
      <c r="D13" s="2" t="s">
        <v>224</v>
      </c>
      <c r="E13" s="151">
        <v>4.1200352347834004</v>
      </c>
      <c r="F13" s="32">
        <v>9.51</v>
      </c>
      <c r="G13" s="32">
        <f>Прил.3!H12</f>
        <v>39.14</v>
      </c>
      <c r="H13" s="152">
        <f>G13/$G$14</f>
        <v>1</v>
      </c>
      <c r="I13" s="32">
        <f>ФОТр.тек.!E13</f>
        <v>439.09244974661999</v>
      </c>
      <c r="J13" s="32">
        <f>ROUND(I13*E13,2)</f>
        <v>1809.08</v>
      </c>
    </row>
    <row r="14" spans="1:12" s="12" customFormat="1" ht="25.5" customHeight="1" x14ac:dyDescent="0.2">
      <c r="A14" s="2"/>
      <c r="B14" s="2"/>
      <c r="C14" s="159" t="s">
        <v>225</v>
      </c>
      <c r="D14" s="2" t="s">
        <v>224</v>
      </c>
      <c r="E14" s="151">
        <f>SUM(E13:E13)</f>
        <v>4.1200352347834004</v>
      </c>
      <c r="F14" s="32"/>
      <c r="G14" s="32">
        <f>SUM(G13:G13)</f>
        <v>39.14</v>
      </c>
      <c r="H14" s="187">
        <v>1</v>
      </c>
      <c r="I14" s="149"/>
      <c r="J14" s="32">
        <f>SUM(J13:J13)</f>
        <v>1809.08</v>
      </c>
    </row>
    <row r="15" spans="1:12" s="12" customFormat="1" ht="14.25" customHeight="1" x14ac:dyDescent="0.2">
      <c r="A15" s="2"/>
      <c r="B15" s="248" t="s">
        <v>149</v>
      </c>
      <c r="C15" s="248"/>
      <c r="D15" s="238"/>
      <c r="E15" s="249"/>
      <c r="F15" s="250"/>
      <c r="G15" s="250"/>
      <c r="H15" s="251"/>
      <c r="I15" s="149"/>
      <c r="J15" s="149"/>
    </row>
    <row r="16" spans="1:12" s="12" customFormat="1" ht="14.25" customHeight="1" x14ac:dyDescent="0.2">
      <c r="A16" s="2">
        <v>2</v>
      </c>
      <c r="B16" s="2">
        <v>2</v>
      </c>
      <c r="C16" s="8" t="s">
        <v>149</v>
      </c>
      <c r="D16" s="2" t="s">
        <v>224</v>
      </c>
      <c r="E16" s="151">
        <v>1.01</v>
      </c>
      <c r="F16" s="32">
        <f>G16/E16</f>
        <v>23.049504950495049</v>
      </c>
      <c r="G16" s="32">
        <f>Прил.3!H15</f>
        <v>23.28</v>
      </c>
      <c r="H16" s="187">
        <v>1</v>
      </c>
      <c r="I16" s="32">
        <f>ROUND(F16*Прил.10!D11,2)</f>
        <v>1020.86</v>
      </c>
      <c r="J16" s="32">
        <f>ROUND(I16*E16,2)</f>
        <v>1031.07</v>
      </c>
    </row>
    <row r="17" spans="1:10" s="12" customFormat="1" ht="14.25" customHeight="1" x14ac:dyDescent="0.2">
      <c r="A17" s="2"/>
      <c r="B17" s="247" t="s">
        <v>150</v>
      </c>
      <c r="C17" s="248"/>
      <c r="D17" s="238"/>
      <c r="E17" s="249"/>
      <c r="F17" s="250"/>
      <c r="G17" s="250"/>
      <c r="H17" s="251"/>
      <c r="I17" s="149"/>
      <c r="J17" s="149"/>
    </row>
    <row r="18" spans="1:10" s="12" customFormat="1" ht="14.25" customHeight="1" x14ac:dyDescent="0.2">
      <c r="A18" s="2"/>
      <c r="B18" s="248" t="s">
        <v>226</v>
      </c>
      <c r="C18" s="248"/>
      <c r="D18" s="238"/>
      <c r="E18" s="249"/>
      <c r="F18" s="250"/>
      <c r="G18" s="250"/>
      <c r="H18" s="251"/>
      <c r="I18" s="149"/>
      <c r="J18" s="149"/>
    </row>
    <row r="19" spans="1:10" s="12" customFormat="1" ht="25.5" customHeight="1" x14ac:dyDescent="0.2">
      <c r="A19" s="2">
        <v>3</v>
      </c>
      <c r="B19" s="150" t="s">
        <v>151</v>
      </c>
      <c r="C19" s="8" t="s">
        <v>152</v>
      </c>
      <c r="D19" s="2" t="s">
        <v>153</v>
      </c>
      <c r="E19" s="151">
        <v>0.96000100912590003</v>
      </c>
      <c r="F19" s="153">
        <v>65.709999999999994</v>
      </c>
      <c r="G19" s="32">
        <f>ROUND(E19*F19,2)</f>
        <v>63.08</v>
      </c>
      <c r="H19" s="152">
        <f>G19/$G$23</f>
        <v>0.93341225214560519</v>
      </c>
      <c r="I19" s="32">
        <f>ROUND(F19*Прил.10!$D$12,2)</f>
        <v>885.11</v>
      </c>
      <c r="J19" s="32">
        <f>ROUND(I19*E19,2)</f>
        <v>849.71</v>
      </c>
    </row>
    <row r="20" spans="1:10" s="12" customFormat="1" ht="14.25" customHeight="1" x14ac:dyDescent="0.2">
      <c r="A20" s="2"/>
      <c r="B20" s="2"/>
      <c r="C20" s="8" t="s">
        <v>227</v>
      </c>
      <c r="D20" s="2"/>
      <c r="E20" s="151"/>
      <c r="F20" s="32"/>
      <c r="G20" s="32">
        <f>SUM(G19:G19)</f>
        <v>63.08</v>
      </c>
      <c r="H20" s="187">
        <f>G20/G23</f>
        <v>0.93341225214560519</v>
      </c>
      <c r="I20" s="154"/>
      <c r="J20" s="32">
        <f>SUM(J19:J19)</f>
        <v>849.71</v>
      </c>
    </row>
    <row r="21" spans="1:10" s="12" customFormat="1" ht="14.25" customHeight="1" outlineLevel="1" x14ac:dyDescent="0.2">
      <c r="A21" s="2">
        <v>4</v>
      </c>
      <c r="B21" s="150" t="s">
        <v>154</v>
      </c>
      <c r="C21" s="8" t="s">
        <v>155</v>
      </c>
      <c r="D21" s="2" t="s">
        <v>153</v>
      </c>
      <c r="E21" s="151">
        <v>5.0006474175976E-2</v>
      </c>
      <c r="F21" s="153">
        <v>89.99</v>
      </c>
      <c r="G21" s="32">
        <f>ROUND(E21*F21,2)</f>
        <v>4.5</v>
      </c>
      <c r="H21" s="152">
        <f>G21/$G$23</f>
        <v>6.6587747854394794E-2</v>
      </c>
      <c r="I21" s="32">
        <f>ROUND(F21*Прил.10!$D$12,2)</f>
        <v>1212.17</v>
      </c>
      <c r="J21" s="32">
        <f>ROUND(I21*E21,2)</f>
        <v>60.62</v>
      </c>
    </row>
    <row r="22" spans="1:10" s="12" customFormat="1" ht="14.25" customHeight="1" x14ac:dyDescent="0.2">
      <c r="A22" s="2"/>
      <c r="B22" s="2"/>
      <c r="C22" s="8" t="s">
        <v>228</v>
      </c>
      <c r="D22" s="2"/>
      <c r="E22" s="186"/>
      <c r="F22" s="32"/>
      <c r="G22" s="154">
        <f>SUM(G21:G21)</f>
        <v>4.5</v>
      </c>
      <c r="H22" s="152">
        <f>G22/G23</f>
        <v>6.6587747854394794E-2</v>
      </c>
      <c r="I22" s="32"/>
      <c r="J22" s="32">
        <f>SUM(J21:J21)</f>
        <v>60.62</v>
      </c>
    </row>
    <row r="23" spans="1:10" s="12" customFormat="1" ht="25.5" customHeight="1" x14ac:dyDescent="0.2">
      <c r="A23" s="2"/>
      <c r="B23" s="2"/>
      <c r="C23" s="159" t="s">
        <v>229</v>
      </c>
      <c r="D23" s="2"/>
      <c r="E23" s="186"/>
      <c r="F23" s="32"/>
      <c r="G23" s="32">
        <f>G22+G20</f>
        <v>67.58</v>
      </c>
      <c r="H23" s="155">
        <v>1</v>
      </c>
      <c r="I23" s="156"/>
      <c r="J23" s="157">
        <f>J22+J20</f>
        <v>910.33</v>
      </c>
    </row>
    <row r="24" spans="1:10" s="12" customFormat="1" ht="14.25" customHeight="1" x14ac:dyDescent="0.2">
      <c r="A24" s="2"/>
      <c r="B24" s="247" t="s">
        <v>43</v>
      </c>
      <c r="C24" s="247"/>
      <c r="D24" s="252"/>
      <c r="E24" s="253"/>
      <c r="F24" s="254"/>
      <c r="G24" s="254"/>
      <c r="H24" s="255"/>
      <c r="I24" s="149"/>
      <c r="J24" s="149"/>
    </row>
    <row r="25" spans="1:10" x14ac:dyDescent="0.25">
      <c r="A25" s="2"/>
      <c r="B25" s="248" t="s">
        <v>230</v>
      </c>
      <c r="C25" s="248"/>
      <c r="D25" s="238"/>
      <c r="E25" s="249"/>
      <c r="F25" s="250"/>
      <c r="G25" s="250"/>
      <c r="H25" s="251"/>
      <c r="I25" s="149"/>
      <c r="J25" s="149"/>
    </row>
    <row r="26" spans="1:10" s="12" customFormat="1" ht="127.5" customHeight="1" x14ac:dyDescent="0.2">
      <c r="A26" s="2">
        <v>5</v>
      </c>
      <c r="B26" s="191" t="s">
        <v>231</v>
      </c>
      <c r="C26" s="192" t="s">
        <v>232</v>
      </c>
      <c r="D26" s="191" t="s">
        <v>157</v>
      </c>
      <c r="E26" s="193">
        <v>1</v>
      </c>
      <c r="F26" s="194">
        <f>ROUND(I26/Прил.10!$D$14,2)</f>
        <v>43258.79</v>
      </c>
      <c r="G26" s="195">
        <f>ROUND(E26*F26,2)</f>
        <v>43258.79</v>
      </c>
      <c r="H26" s="196">
        <f>G26/$G$29</f>
        <v>1</v>
      </c>
      <c r="I26" s="32">
        <v>270800</v>
      </c>
      <c r="J26" s="32">
        <f>ROUND(I26*E26,2)</f>
        <v>270800</v>
      </c>
    </row>
    <row r="27" spans="1:10" x14ac:dyDescent="0.25">
      <c r="A27" s="2"/>
      <c r="B27" s="191"/>
      <c r="C27" s="192" t="s">
        <v>233</v>
      </c>
      <c r="D27" s="191"/>
      <c r="E27" s="197"/>
      <c r="F27" s="194"/>
      <c r="G27" s="195">
        <f>SUM(G26:G26)</f>
        <v>43258.79</v>
      </c>
      <c r="H27" s="196">
        <f>G27/$G$29</f>
        <v>1</v>
      </c>
      <c r="I27" s="154"/>
      <c r="J27" s="32">
        <f>SUM(J26:J26)</f>
        <v>270800</v>
      </c>
    </row>
    <row r="28" spans="1:10" x14ac:dyDescent="0.25">
      <c r="A28" s="2"/>
      <c r="B28" s="191"/>
      <c r="C28" s="192" t="s">
        <v>234</v>
      </c>
      <c r="D28" s="191"/>
      <c r="E28" s="197"/>
      <c r="F28" s="194"/>
      <c r="G28" s="195">
        <v>0</v>
      </c>
      <c r="H28" s="196">
        <f>G28/$G$29</f>
        <v>0</v>
      </c>
      <c r="I28" s="154"/>
      <c r="J28" s="32">
        <v>0</v>
      </c>
    </row>
    <row r="29" spans="1:10" x14ac:dyDescent="0.25">
      <c r="A29" s="2"/>
      <c r="B29" s="191"/>
      <c r="C29" s="198" t="s">
        <v>235</v>
      </c>
      <c r="D29" s="191"/>
      <c r="E29" s="199"/>
      <c r="F29" s="194"/>
      <c r="G29" s="195">
        <f>G27+G28</f>
        <v>43258.79</v>
      </c>
      <c r="H29" s="196">
        <f>H27+H28</f>
        <v>1</v>
      </c>
      <c r="I29" s="154"/>
      <c r="J29" s="32">
        <f>J28+J27</f>
        <v>270800</v>
      </c>
    </row>
    <row r="30" spans="1:10" ht="25.5" customHeight="1" x14ac:dyDescent="0.25">
      <c r="A30" s="2"/>
      <c r="B30" s="191"/>
      <c r="C30" s="192" t="s">
        <v>236</v>
      </c>
      <c r="D30" s="191"/>
      <c r="E30" s="193"/>
      <c r="F30" s="194"/>
      <c r="G30" s="195">
        <f>'Прил.6 Расчет ОБ'!G13</f>
        <v>43258.79</v>
      </c>
      <c r="H30" s="200"/>
      <c r="I30" s="154"/>
      <c r="J30" s="32">
        <f>ROUND(G30*Прил.10!D14,2)</f>
        <v>270800.03000000003</v>
      </c>
    </row>
    <row r="31" spans="1:10" s="12" customFormat="1" ht="14.25" customHeight="1" x14ac:dyDescent="0.2">
      <c r="A31" s="2"/>
      <c r="B31" s="256" t="s">
        <v>158</v>
      </c>
      <c r="C31" s="256"/>
      <c r="D31" s="257"/>
      <c r="E31" s="258"/>
      <c r="F31" s="259"/>
      <c r="G31" s="259"/>
      <c r="H31" s="260"/>
      <c r="I31" s="149"/>
      <c r="J31" s="149"/>
    </row>
    <row r="32" spans="1:10" s="12" customFormat="1" ht="14.25" customHeight="1" x14ac:dyDescent="0.2">
      <c r="A32" s="184"/>
      <c r="B32" s="242" t="s">
        <v>237</v>
      </c>
      <c r="C32" s="242"/>
      <c r="D32" s="243"/>
      <c r="E32" s="244"/>
      <c r="F32" s="245"/>
      <c r="G32" s="245"/>
      <c r="H32" s="246"/>
      <c r="I32" s="160"/>
      <c r="J32" s="160"/>
    </row>
    <row r="33" spans="1:10" s="12" customFormat="1" ht="25.5" customHeight="1" x14ac:dyDescent="0.2">
      <c r="A33" s="2">
        <v>9</v>
      </c>
      <c r="B33" s="191" t="s">
        <v>159</v>
      </c>
      <c r="C33" s="192" t="s">
        <v>160</v>
      </c>
      <c r="D33" s="191" t="s">
        <v>161</v>
      </c>
      <c r="E33" s="193">
        <v>6.0000084103221003E-3</v>
      </c>
      <c r="F33" s="194">
        <v>15481</v>
      </c>
      <c r="G33" s="195">
        <f t="shared" ref="G33:G39" si="0">ROUND(E33*F33,2)</f>
        <v>92.89</v>
      </c>
      <c r="H33" s="196">
        <f t="shared" ref="H33:H51" si="1">G33/$G$51</f>
        <v>0.41466898799160756</v>
      </c>
      <c r="I33" s="32">
        <f>ROUND(F33*Прил.10!$D$13,2)</f>
        <v>124467.24</v>
      </c>
      <c r="J33" s="32">
        <f t="shared" ref="J33:J39" si="2">ROUND(I33*E33,2)</f>
        <v>746.8</v>
      </c>
    </row>
    <row r="34" spans="1:10" s="12" customFormat="1" ht="38.25" customHeight="1" x14ac:dyDescent="0.2">
      <c r="A34" s="2">
        <v>10</v>
      </c>
      <c r="B34" s="191" t="s">
        <v>162</v>
      </c>
      <c r="C34" s="192" t="s">
        <v>163</v>
      </c>
      <c r="D34" s="191" t="s">
        <v>161</v>
      </c>
      <c r="E34" s="193">
        <v>4.0000598574895001E-4</v>
      </c>
      <c r="F34" s="194">
        <v>75162.289999999994</v>
      </c>
      <c r="G34" s="195">
        <f t="shared" si="0"/>
        <v>30.07</v>
      </c>
      <c r="H34" s="196">
        <f t="shared" si="1"/>
        <v>0.1342350787911254</v>
      </c>
      <c r="I34" s="32">
        <f>ROUND(F34*Прил.10!$D$13,2)</f>
        <v>604304.81000000006</v>
      </c>
      <c r="J34" s="32">
        <f t="shared" si="2"/>
        <v>241.73</v>
      </c>
    </row>
    <row r="35" spans="1:10" s="12" customFormat="1" ht="14.25" customHeight="1" x14ac:dyDescent="0.2">
      <c r="A35" s="2">
        <v>11</v>
      </c>
      <c r="B35" s="2" t="s">
        <v>164</v>
      </c>
      <c r="C35" s="8" t="s">
        <v>165</v>
      </c>
      <c r="D35" s="2" t="s">
        <v>166</v>
      </c>
      <c r="E35" s="158">
        <v>0.15000182516046001</v>
      </c>
      <c r="F35" s="153">
        <v>155</v>
      </c>
      <c r="G35" s="32">
        <f t="shared" si="0"/>
        <v>23.25</v>
      </c>
      <c r="H35" s="152">
        <f t="shared" si="1"/>
        <v>0.10379000937458149</v>
      </c>
      <c r="I35" s="32">
        <f>ROUND(F35*Прил.10!$D$13,2)</f>
        <v>1246.2</v>
      </c>
      <c r="J35" s="32">
        <f t="shared" si="2"/>
        <v>186.93</v>
      </c>
    </row>
    <row r="36" spans="1:10" s="12" customFormat="1" ht="14.25" customHeight="1" x14ac:dyDescent="0.2">
      <c r="A36" s="2">
        <v>12</v>
      </c>
      <c r="B36" s="2" t="s">
        <v>167</v>
      </c>
      <c r="C36" s="8" t="s">
        <v>168</v>
      </c>
      <c r="D36" s="2" t="s">
        <v>169</v>
      </c>
      <c r="E36" s="158">
        <v>0.10000121677364</v>
      </c>
      <c r="F36" s="153">
        <v>203</v>
      </c>
      <c r="G36" s="32">
        <f t="shared" si="0"/>
        <v>20.3</v>
      </c>
      <c r="H36" s="152">
        <f t="shared" si="1"/>
        <v>9.0620954421677613E-2</v>
      </c>
      <c r="I36" s="32">
        <f>ROUND(F36*Прил.10!$D$13,2)</f>
        <v>1632.12</v>
      </c>
      <c r="J36" s="32">
        <f t="shared" si="2"/>
        <v>163.21</v>
      </c>
    </row>
    <row r="37" spans="1:10" s="12" customFormat="1" ht="25.5" customHeight="1" x14ac:dyDescent="0.2">
      <c r="A37" s="2">
        <v>13</v>
      </c>
      <c r="B37" s="2" t="s">
        <v>170</v>
      </c>
      <c r="C37" s="8" t="s">
        <v>171</v>
      </c>
      <c r="D37" s="2" t="s">
        <v>161</v>
      </c>
      <c r="E37" s="158">
        <v>9.7018473833224996E-4</v>
      </c>
      <c r="F37" s="153">
        <v>12606</v>
      </c>
      <c r="G37" s="32">
        <f t="shared" si="0"/>
        <v>12.23</v>
      </c>
      <c r="H37" s="152">
        <f t="shared" si="1"/>
        <v>5.4595776974242227E-2</v>
      </c>
      <c r="I37" s="32">
        <f>ROUND(F37*Прил.10!$D$13,2)</f>
        <v>101352.24</v>
      </c>
      <c r="J37" s="32">
        <f t="shared" si="2"/>
        <v>98.33</v>
      </c>
    </row>
    <row r="38" spans="1:10" s="12" customFormat="1" ht="25.5" customHeight="1" x14ac:dyDescent="0.2">
      <c r="A38" s="2">
        <v>14</v>
      </c>
      <c r="B38" s="2" t="s">
        <v>172</v>
      </c>
      <c r="C38" s="8" t="s">
        <v>173</v>
      </c>
      <c r="D38" s="2" t="s">
        <v>174</v>
      </c>
      <c r="E38" s="158">
        <v>10.70013019478</v>
      </c>
      <c r="F38" s="153">
        <v>1</v>
      </c>
      <c r="G38" s="32">
        <f t="shared" si="0"/>
        <v>10.7</v>
      </c>
      <c r="H38" s="152">
        <f t="shared" si="1"/>
        <v>4.7765724744431054E-2</v>
      </c>
      <c r="I38" s="32">
        <f>ROUND(F38*Прил.10!$D$13,2)</f>
        <v>8.0399999999999991</v>
      </c>
      <c r="J38" s="32">
        <f t="shared" si="2"/>
        <v>86.03</v>
      </c>
    </row>
    <row r="39" spans="1:10" s="12" customFormat="1" ht="38.25" customHeight="1" x14ac:dyDescent="0.2">
      <c r="A39" s="2">
        <v>15</v>
      </c>
      <c r="B39" s="2" t="s">
        <v>175</v>
      </c>
      <c r="C39" s="8" t="s">
        <v>176</v>
      </c>
      <c r="D39" s="2" t="s">
        <v>161</v>
      </c>
      <c r="E39" s="158">
        <v>2.8000980414401999E-4</v>
      </c>
      <c r="F39" s="153">
        <v>37517</v>
      </c>
      <c r="G39" s="32">
        <f t="shared" si="0"/>
        <v>10.51</v>
      </c>
      <c r="H39" s="152">
        <f t="shared" si="1"/>
        <v>4.6917548323735549E-2</v>
      </c>
      <c r="I39" s="32">
        <f>ROUND(F39*Прил.10!$D$13,2)</f>
        <v>301636.68</v>
      </c>
      <c r="J39" s="32">
        <f t="shared" si="2"/>
        <v>84.46</v>
      </c>
    </row>
    <row r="40" spans="1:10" s="12" customFormat="1" ht="14.25" customHeight="1" x14ac:dyDescent="0.2">
      <c r="A40" s="161"/>
      <c r="B40" s="162"/>
      <c r="C40" s="163" t="s">
        <v>238</v>
      </c>
      <c r="D40" s="161"/>
      <c r="E40" s="164"/>
      <c r="F40" s="157"/>
      <c r="G40" s="157">
        <f>SUM(G33:G39)</f>
        <v>199.95</v>
      </c>
      <c r="H40" s="152">
        <f t="shared" si="1"/>
        <v>0.89259408062140078</v>
      </c>
      <c r="I40" s="32"/>
      <c r="J40" s="157">
        <f>SUM(J33:J39)</f>
        <v>1607.49</v>
      </c>
    </row>
    <row r="41" spans="1:10" s="12" customFormat="1" ht="14.25" hidden="1" customHeight="1" outlineLevel="1" x14ac:dyDescent="0.2">
      <c r="A41" s="2">
        <v>16</v>
      </c>
      <c r="B41" s="2" t="s">
        <v>177</v>
      </c>
      <c r="C41" s="8" t="s">
        <v>178</v>
      </c>
      <c r="D41" s="2" t="s">
        <v>161</v>
      </c>
      <c r="E41" s="158">
        <v>1.7997872876396E-4</v>
      </c>
      <c r="F41" s="153">
        <v>42700.01</v>
      </c>
      <c r="G41" s="32">
        <f t="shared" ref="G41:G49" si="3">ROUND(E41*F41,2)</f>
        <v>7.69</v>
      </c>
      <c r="H41" s="152">
        <f t="shared" si="1"/>
        <v>3.4328824606044375E-2</v>
      </c>
      <c r="I41" s="32">
        <f>ROUND(F41*Прил.10!$D$13,2)</f>
        <v>343308.08</v>
      </c>
      <c r="J41" s="32">
        <f t="shared" ref="J41:J49" si="4">ROUND(I41*E41,2)</f>
        <v>61.79</v>
      </c>
    </row>
    <row r="42" spans="1:10" s="12" customFormat="1" ht="25.5" hidden="1" customHeight="1" outlineLevel="1" x14ac:dyDescent="0.2">
      <c r="A42" s="2">
        <v>17</v>
      </c>
      <c r="B42" s="2" t="s">
        <v>179</v>
      </c>
      <c r="C42" s="8" t="s">
        <v>180</v>
      </c>
      <c r="D42" s="2" t="s">
        <v>161</v>
      </c>
      <c r="E42" s="158">
        <v>6.0016489317397001E-5</v>
      </c>
      <c r="F42" s="153">
        <v>114220</v>
      </c>
      <c r="G42" s="32">
        <f t="shared" si="3"/>
        <v>6.86</v>
      </c>
      <c r="H42" s="152">
        <f t="shared" si="1"/>
        <v>3.0623632873532435E-2</v>
      </c>
      <c r="I42" s="32">
        <f>ROUND(F42*Прил.10!$D$13,2)</f>
        <v>918328.8</v>
      </c>
      <c r="J42" s="32">
        <f t="shared" si="4"/>
        <v>55.11</v>
      </c>
    </row>
    <row r="43" spans="1:10" s="12" customFormat="1" ht="14.25" hidden="1" customHeight="1" outlineLevel="1" x14ac:dyDescent="0.2">
      <c r="A43" s="2">
        <v>18</v>
      </c>
      <c r="B43" s="2" t="s">
        <v>181</v>
      </c>
      <c r="C43" s="8" t="s">
        <v>182</v>
      </c>
      <c r="D43" s="2" t="s">
        <v>166</v>
      </c>
      <c r="E43" s="158">
        <v>0.1199592079528</v>
      </c>
      <c r="F43" s="153">
        <v>28.26</v>
      </c>
      <c r="G43" s="32">
        <f t="shared" si="3"/>
        <v>3.39</v>
      </c>
      <c r="H43" s="152">
        <f t="shared" si="1"/>
        <v>1.5133252979777689E-2</v>
      </c>
      <c r="I43" s="32">
        <f>ROUND(F43*Прил.10!$D$13,2)</f>
        <v>227.21</v>
      </c>
      <c r="J43" s="32">
        <f t="shared" si="4"/>
        <v>27.26</v>
      </c>
    </row>
    <row r="44" spans="1:10" s="12" customFormat="1" ht="14.25" hidden="1" customHeight="1" outlineLevel="1" x14ac:dyDescent="0.2">
      <c r="A44" s="2">
        <v>19</v>
      </c>
      <c r="B44" s="2" t="s">
        <v>183</v>
      </c>
      <c r="C44" s="8" t="s">
        <v>184</v>
      </c>
      <c r="D44" s="2" t="s">
        <v>166</v>
      </c>
      <c r="E44" s="158">
        <v>1.8485385773384998E-2</v>
      </c>
      <c r="F44" s="153">
        <v>138.76</v>
      </c>
      <c r="G44" s="32">
        <f t="shared" si="3"/>
        <v>2.57</v>
      </c>
      <c r="H44" s="152">
        <f t="shared" si="1"/>
        <v>1.1472702111512878E-2</v>
      </c>
      <c r="I44" s="32">
        <f>ROUND(F44*Прил.10!$D$13,2)</f>
        <v>1115.6300000000001</v>
      </c>
      <c r="J44" s="32">
        <f t="shared" si="4"/>
        <v>20.62</v>
      </c>
    </row>
    <row r="45" spans="1:10" s="12" customFormat="1" ht="38.25" hidden="1" customHeight="1" outlineLevel="1" x14ac:dyDescent="0.2">
      <c r="A45" s="2">
        <v>20</v>
      </c>
      <c r="B45" s="2" t="s">
        <v>185</v>
      </c>
      <c r="C45" s="8" t="s">
        <v>186</v>
      </c>
      <c r="D45" s="2" t="s">
        <v>187</v>
      </c>
      <c r="E45" s="158">
        <v>2.9984066341157E-3</v>
      </c>
      <c r="F45" s="153">
        <v>405.22</v>
      </c>
      <c r="G45" s="32">
        <f t="shared" si="3"/>
        <v>1.22</v>
      </c>
      <c r="H45" s="152">
        <f t="shared" si="1"/>
        <v>5.4461854381500823E-3</v>
      </c>
      <c r="I45" s="32">
        <f>ROUND(F45*Прил.10!$D$13,2)</f>
        <v>3257.97</v>
      </c>
      <c r="J45" s="32">
        <f t="shared" si="4"/>
        <v>9.77</v>
      </c>
    </row>
    <row r="46" spans="1:10" s="12" customFormat="1" ht="25.5" hidden="1" customHeight="1" outlineLevel="1" x14ac:dyDescent="0.2">
      <c r="A46" s="2">
        <v>21</v>
      </c>
      <c r="B46" s="2" t="s">
        <v>188</v>
      </c>
      <c r="C46" s="8" t="s">
        <v>189</v>
      </c>
      <c r="D46" s="2" t="s">
        <v>166</v>
      </c>
      <c r="E46" s="158">
        <v>2.6012684228068999E-2</v>
      </c>
      <c r="F46" s="153">
        <v>39.020000000000003</v>
      </c>
      <c r="G46" s="32">
        <f t="shared" si="3"/>
        <v>1.02</v>
      </c>
      <c r="H46" s="152">
        <f t="shared" si="1"/>
        <v>4.5533681532074462E-3</v>
      </c>
      <c r="I46" s="32">
        <f>ROUND(F46*Прил.10!$D$13,2)</f>
        <v>313.72000000000003</v>
      </c>
      <c r="J46" s="32">
        <f t="shared" si="4"/>
        <v>8.16</v>
      </c>
    </row>
    <row r="47" spans="1:10" s="12" customFormat="1" ht="25.5" hidden="1" customHeight="1" outlineLevel="1" x14ac:dyDescent="0.2">
      <c r="A47" s="2">
        <v>22</v>
      </c>
      <c r="B47" s="2" t="s">
        <v>190</v>
      </c>
      <c r="C47" s="8" t="s">
        <v>191</v>
      </c>
      <c r="D47" s="2" t="s">
        <v>166</v>
      </c>
      <c r="E47" s="158">
        <v>1.9953527457841E-2</v>
      </c>
      <c r="F47" s="153">
        <v>38.340000000000003</v>
      </c>
      <c r="G47" s="32">
        <f t="shared" si="3"/>
        <v>0.77</v>
      </c>
      <c r="H47" s="152">
        <f t="shared" si="1"/>
        <v>3.4373465470291507E-3</v>
      </c>
      <c r="I47" s="32">
        <f>ROUND(F47*Прил.10!$D$13,2)</f>
        <v>308.25</v>
      </c>
      <c r="J47" s="32">
        <f t="shared" si="4"/>
        <v>6.15</v>
      </c>
    </row>
    <row r="48" spans="1:10" s="12" customFormat="1" ht="25.5" hidden="1" customHeight="1" outlineLevel="1" x14ac:dyDescent="0.2">
      <c r="A48" s="2">
        <v>23</v>
      </c>
      <c r="B48" s="2" t="s">
        <v>192</v>
      </c>
      <c r="C48" s="8" t="s">
        <v>193</v>
      </c>
      <c r="D48" s="2" t="s">
        <v>161</v>
      </c>
      <c r="E48" s="158">
        <v>2.4087005244553999E-5</v>
      </c>
      <c r="F48" s="153">
        <v>22419</v>
      </c>
      <c r="G48" s="32">
        <f t="shared" si="3"/>
        <v>0.54</v>
      </c>
      <c r="H48" s="152">
        <f t="shared" si="1"/>
        <v>2.4106066693451189E-3</v>
      </c>
      <c r="I48" s="32">
        <f>ROUND(F48*Прил.10!$D$13,2)</f>
        <v>180248.76</v>
      </c>
      <c r="J48" s="32">
        <f t="shared" si="4"/>
        <v>4.34</v>
      </c>
    </row>
    <row r="49" spans="1:10" s="12" customFormat="1" ht="14.25" hidden="1" customHeight="1" outlineLevel="1" x14ac:dyDescent="0.2">
      <c r="A49" s="2">
        <v>24</v>
      </c>
      <c r="B49" s="2" t="s">
        <v>194</v>
      </c>
      <c r="C49" s="8" t="s">
        <v>195</v>
      </c>
      <c r="D49" s="2" t="s">
        <v>161</v>
      </c>
      <c r="E49" s="158">
        <v>0.17499999999999999</v>
      </c>
      <c r="F49" s="153"/>
      <c r="G49" s="32">
        <f t="shared" si="3"/>
        <v>0</v>
      </c>
      <c r="H49" s="152">
        <f t="shared" si="1"/>
        <v>0</v>
      </c>
      <c r="I49" s="32">
        <f>ROUND(F49*Прил.10!$D$13,2)</f>
        <v>0</v>
      </c>
      <c r="J49" s="32">
        <f t="shared" si="4"/>
        <v>0</v>
      </c>
    </row>
    <row r="50" spans="1:10" s="12" customFormat="1" ht="14.25" customHeight="1" collapsed="1" x14ac:dyDescent="0.2">
      <c r="A50" s="2"/>
      <c r="B50" s="2"/>
      <c r="C50" s="8" t="s">
        <v>239</v>
      </c>
      <c r="D50" s="2"/>
      <c r="E50" s="186"/>
      <c r="F50" s="153"/>
      <c r="G50" s="32">
        <f>SUM(G41:G49)</f>
        <v>24.06</v>
      </c>
      <c r="H50" s="152">
        <f t="shared" si="1"/>
        <v>0.10740591937859917</v>
      </c>
      <c r="I50" s="32"/>
      <c r="J50" s="32">
        <f>SUM(J41:J49)</f>
        <v>193.20000000000002</v>
      </c>
    </row>
    <row r="51" spans="1:10" s="12" customFormat="1" ht="14.25" customHeight="1" x14ac:dyDescent="0.2">
      <c r="A51" s="2"/>
      <c r="B51" s="2"/>
      <c r="C51" s="159" t="s">
        <v>240</v>
      </c>
      <c r="D51" s="2"/>
      <c r="E51" s="186"/>
      <c r="F51" s="153"/>
      <c r="G51" s="32">
        <f>G40+G50</f>
        <v>224.01</v>
      </c>
      <c r="H51" s="187">
        <f t="shared" si="1"/>
        <v>1</v>
      </c>
      <c r="I51" s="32"/>
      <c r="J51" s="32">
        <f>J40+J50</f>
        <v>1800.69</v>
      </c>
    </row>
    <row r="52" spans="1:10" s="12" customFormat="1" ht="14.25" customHeight="1" x14ac:dyDescent="0.2">
      <c r="A52" s="2"/>
      <c r="B52" s="2"/>
      <c r="C52" s="8" t="s">
        <v>241</v>
      </c>
      <c r="D52" s="2"/>
      <c r="E52" s="186"/>
      <c r="F52" s="153"/>
      <c r="G52" s="32">
        <f>G14+G23+G51</f>
        <v>330.73</v>
      </c>
      <c r="H52" s="187"/>
      <c r="I52" s="32"/>
      <c r="J52" s="32">
        <f>J14+J23+J51</f>
        <v>4520.1000000000004</v>
      </c>
    </row>
    <row r="53" spans="1:10" s="12" customFormat="1" ht="14.25" customHeight="1" x14ac:dyDescent="0.2">
      <c r="A53" s="2"/>
      <c r="B53" s="2"/>
      <c r="C53" s="8" t="s">
        <v>242</v>
      </c>
      <c r="D53" s="165">
        <f>ROUND(G53/(G$16+$G$14),2)</f>
        <v>16.5</v>
      </c>
      <c r="E53" s="186"/>
      <c r="F53" s="153"/>
      <c r="G53" s="32">
        <v>1029.8699999999999</v>
      </c>
      <c r="H53" s="187"/>
      <c r="I53" s="32"/>
      <c r="J53" s="32">
        <f>ROUND(D53*(J14+J16),2)</f>
        <v>46862.48</v>
      </c>
    </row>
    <row r="54" spans="1:10" s="12" customFormat="1" ht="14.25" customHeight="1" x14ac:dyDescent="0.2">
      <c r="A54" s="2"/>
      <c r="B54" s="2"/>
      <c r="C54" s="8" t="s">
        <v>243</v>
      </c>
      <c r="D54" s="165">
        <f>ROUND(G54/(G$14+G$16),2)</f>
        <v>9.1199999999999992</v>
      </c>
      <c r="E54" s="186"/>
      <c r="F54" s="153"/>
      <c r="G54" s="32">
        <v>569.17999999999995</v>
      </c>
      <c r="H54" s="187"/>
      <c r="I54" s="32"/>
      <c r="J54" s="32">
        <f>ROUND(D54*(J14+J16),2)</f>
        <v>25902.17</v>
      </c>
    </row>
    <row r="55" spans="1:10" s="12" customFormat="1" ht="14.25" customHeight="1" x14ac:dyDescent="0.2">
      <c r="A55" s="2"/>
      <c r="B55" s="2"/>
      <c r="C55" s="8" t="s">
        <v>244</v>
      </c>
      <c r="D55" s="2"/>
      <c r="E55" s="186"/>
      <c r="F55" s="153"/>
      <c r="G55" s="32">
        <f>G14+G23+G51+G53+G54</f>
        <v>1929.7799999999997</v>
      </c>
      <c r="H55" s="187"/>
      <c r="I55" s="32"/>
      <c r="J55" s="32">
        <f>J14+J23+J51+J53+J54</f>
        <v>77284.75</v>
      </c>
    </row>
    <row r="56" spans="1:10" s="12" customFormat="1" ht="14.25" customHeight="1" x14ac:dyDescent="0.2">
      <c r="A56" s="2"/>
      <c r="B56" s="2"/>
      <c r="C56" s="8" t="s">
        <v>245</v>
      </c>
      <c r="D56" s="2"/>
      <c r="E56" s="186"/>
      <c r="F56" s="153"/>
      <c r="G56" s="32">
        <f>G55+G29</f>
        <v>45188.57</v>
      </c>
      <c r="H56" s="187"/>
      <c r="I56" s="32"/>
      <c r="J56" s="32">
        <f>J55+J29</f>
        <v>348084.75</v>
      </c>
    </row>
    <row r="57" spans="1:10" s="12" customFormat="1" ht="34.5" customHeight="1" x14ac:dyDescent="0.2">
      <c r="A57" s="2"/>
      <c r="B57" s="2"/>
      <c r="C57" s="8" t="s">
        <v>110</v>
      </c>
      <c r="D57" s="2" t="s">
        <v>246</v>
      </c>
      <c r="E57" s="189">
        <v>1</v>
      </c>
      <c r="F57" s="153"/>
      <c r="G57" s="32">
        <f>G56/E57</f>
        <v>45188.57</v>
      </c>
      <c r="H57" s="187"/>
      <c r="I57" s="32"/>
      <c r="J57" s="32">
        <f>J56/E57</f>
        <v>348084.75</v>
      </c>
    </row>
    <row r="59" spans="1:10" s="12" customFormat="1" ht="14.25" customHeight="1" x14ac:dyDescent="0.2">
      <c r="A59" s="4" t="s">
        <v>247</v>
      </c>
    </row>
    <row r="60" spans="1:10" s="12" customFormat="1" ht="14.25" customHeight="1" x14ac:dyDescent="0.2">
      <c r="A60" s="166" t="s">
        <v>76</v>
      </c>
    </row>
    <row r="61" spans="1:10" s="12" customFormat="1" ht="14.25" customHeight="1" x14ac:dyDescent="0.2">
      <c r="A61" s="4"/>
    </row>
    <row r="62" spans="1:10" s="12" customFormat="1" ht="14.25" customHeight="1" x14ac:dyDescent="0.2">
      <c r="A62" s="4" t="s">
        <v>248</v>
      </c>
    </row>
    <row r="63" spans="1:10" s="12" customFormat="1" ht="14.25" customHeight="1" x14ac:dyDescent="0.2">
      <c r="A63" s="16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2:H32"/>
    <mergeCell ref="B12:H12"/>
    <mergeCell ref="B15:H15"/>
    <mergeCell ref="B17:H17"/>
    <mergeCell ref="B18:H18"/>
    <mergeCell ref="B25:H25"/>
    <mergeCell ref="B24:H24"/>
    <mergeCell ref="B31:H3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2023-11-26T06:50:31Z</cp:lastPrinted>
  <dcterms:created xsi:type="dcterms:W3CDTF">2020-09-30T08:50:27Z</dcterms:created>
  <dcterms:modified xsi:type="dcterms:W3CDTF">2023-11-26T06:50:46Z</dcterms:modified>
  <cp:category/>
</cp:coreProperties>
</file>