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7354AD76-A13F-444F-88BE-A1872B41BD35}" xr6:coauthVersionLast="40" xr6:coauthVersionMax="40" xr10:uidLastSave="{00000000-0000-0000-0000-000000000000}"/>
  <bookViews>
    <workbookView xWindow="0" yWindow="0" windowWidth="28800" windowHeight="12225" tabRatio="924" firstSheet="3" activeTab="8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3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vtnf" localSheetId="3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3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>#REF!</definedName>
    <definedName name="htvjyn" localSheetId="3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3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3">#REF!</definedName>
    <definedName name="Print_Area" localSheetId="5">#REF!</definedName>
    <definedName name="Print_Area" localSheetId="6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3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3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3">#REF!</definedName>
    <definedName name="rybuf" localSheetId="5">#REF!</definedName>
    <definedName name="rybuf">#REF!</definedName>
    <definedName name="rybuf3" localSheetId="3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3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3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3">#REF!</definedName>
    <definedName name="аморт" localSheetId="5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3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3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3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3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>#REF!</definedName>
    <definedName name="ИиНИ" localSheetId="3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3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3">#REF!</definedName>
    <definedName name="ИОСост" localSheetId="5">#REF!</definedName>
    <definedName name="ИОСост">#REF!</definedName>
    <definedName name="ИОСпс" localSheetId="3">#REF!</definedName>
    <definedName name="ИОСпс" localSheetId="5">#REF!</definedName>
    <definedName name="ИОСпс">#REF!</definedName>
    <definedName name="ИОСсг" localSheetId="3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3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3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3">#REF!</definedName>
    <definedName name="Иуе" localSheetId="5">#REF!</definedName>
    <definedName name="Иуе">#REF!</definedName>
    <definedName name="ИуеРЭО" localSheetId="3">#REF!</definedName>
    <definedName name="ИуеРЭО" localSheetId="5">#REF!</definedName>
    <definedName name="ИуеРЭО">#REF!</definedName>
    <definedName name="Ицпп" localSheetId="3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>#REF!</definedName>
    <definedName name="КЗ_ИП" localSheetId="3">#REF!</definedName>
    <definedName name="КЗ_ИП" localSheetId="5">#REF!</definedName>
    <definedName name="КЗ_ИП">#REF!</definedName>
    <definedName name="КЗ_НИОКР" localSheetId="3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>#REF!</definedName>
    <definedName name="комплект" localSheetId="3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3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>#REF!</definedName>
    <definedName name="матер." localSheetId="3">#REF!</definedName>
    <definedName name="матер." localSheetId="5">#REF!</definedName>
    <definedName name="матер.">#REF!</definedName>
    <definedName name="матер.рем" localSheetId="3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3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>#REF!</definedName>
    <definedName name="НДСИП" localSheetId="3">#REF!</definedName>
    <definedName name="НДСИП" localSheetId="5">#REF!</definedName>
    <definedName name="НДСИП">#REF!</definedName>
    <definedName name="НДСНИОКР" localSheetId="3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3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3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3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3">'Прил.1 Сравнит табл'!$A$1:$D$32</definedName>
    <definedName name="_xlnm.Print_Area" localSheetId="5">'Прил.2 Расч стоим'!$A$1:$J$22</definedName>
    <definedName name="_xlnm.Print_Area" localSheetId="6">Прил.3!$A$1:$H$48</definedName>
    <definedName name="_xlnm.Print_Area" localSheetId="7">'Прил.4 РМ'!$A$1:$E$48</definedName>
    <definedName name="_xlnm.Print_Area" localSheetId="8">'Прил.5 Расчет СМР и ОБ'!$A$1:$J$66</definedName>
    <definedName name="_xlnm.Print_Area" localSheetId="9">'Прил.6 Расчет ОБ'!$A$1:$G$20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3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3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3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3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3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3">#REF!</definedName>
    <definedName name="пп" localSheetId="5">#REF!</definedName>
    <definedName name="пп" localSheetId="6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3">#REF!</definedName>
    <definedName name="приоб" localSheetId="5">#REF!</definedName>
    <definedName name="приоб">#REF!</definedName>
    <definedName name="приобр" localSheetId="3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3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3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3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3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3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3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>#REF!</definedName>
    <definedName name="УслугиТОиР_ГС" localSheetId="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3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3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3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F12" i="10"/>
  <c r="E12" i="10"/>
  <c r="G12" i="10" s="1"/>
  <c r="G13" i="10" s="1"/>
  <c r="D12" i="10"/>
  <c r="C12" i="10"/>
  <c r="B12" i="10"/>
  <c r="I49" i="9"/>
  <c r="J49" i="9" s="1"/>
  <c r="G49" i="9"/>
  <c r="I48" i="9"/>
  <c r="J48" i="9" s="1"/>
  <c r="G48" i="9"/>
  <c r="I47" i="9"/>
  <c r="J47" i="9" s="1"/>
  <c r="G47" i="9"/>
  <c r="J46" i="9"/>
  <c r="I46" i="9"/>
  <c r="G46" i="9"/>
  <c r="I45" i="9"/>
  <c r="J45" i="9" s="1"/>
  <c r="G45" i="9"/>
  <c r="I44" i="9"/>
  <c r="J44" i="9" s="1"/>
  <c r="G44" i="9"/>
  <c r="I43" i="9"/>
  <c r="J43" i="9" s="1"/>
  <c r="G43" i="9"/>
  <c r="I42" i="9"/>
  <c r="J42" i="9" s="1"/>
  <c r="G42" i="9"/>
  <c r="I41" i="9"/>
  <c r="J41" i="9" s="1"/>
  <c r="G41" i="9"/>
  <c r="J39" i="9"/>
  <c r="I39" i="9"/>
  <c r="G39" i="9"/>
  <c r="I38" i="9"/>
  <c r="J38" i="9" s="1"/>
  <c r="G38" i="9"/>
  <c r="I37" i="9"/>
  <c r="J37" i="9" s="1"/>
  <c r="G37" i="9"/>
  <c r="J36" i="9"/>
  <c r="I36" i="9"/>
  <c r="G36" i="9"/>
  <c r="I35" i="9"/>
  <c r="J35" i="9" s="1"/>
  <c r="G35" i="9"/>
  <c r="I34" i="9"/>
  <c r="J34" i="9" s="1"/>
  <c r="G34" i="9"/>
  <c r="J33" i="9"/>
  <c r="I33" i="9"/>
  <c r="G33" i="9"/>
  <c r="G40" i="9" s="1"/>
  <c r="J26" i="9"/>
  <c r="J27" i="9" s="1"/>
  <c r="J29" i="9" s="1"/>
  <c r="C25" i="8" s="1"/>
  <c r="G26" i="9"/>
  <c r="G27" i="9" s="1"/>
  <c r="F26" i="9"/>
  <c r="G22" i="9"/>
  <c r="G23" i="9" s="1"/>
  <c r="I21" i="9"/>
  <c r="J21" i="9" s="1"/>
  <c r="J22" i="9" s="1"/>
  <c r="G21" i="9"/>
  <c r="I19" i="9"/>
  <c r="J19" i="9" s="1"/>
  <c r="J20" i="9" s="1"/>
  <c r="C12" i="8" s="1"/>
  <c r="G19" i="9"/>
  <c r="G20" i="9" s="1"/>
  <c r="G16" i="9"/>
  <c r="B12" i="5" s="1"/>
  <c r="E16" i="9"/>
  <c r="G14" i="9"/>
  <c r="E14" i="9"/>
  <c r="I13" i="9"/>
  <c r="J13" i="9" s="1"/>
  <c r="J14" i="9" s="1"/>
  <c r="G13" i="9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5" i="7"/>
  <c r="F15" i="7"/>
  <c r="H14" i="7"/>
  <c r="H13" i="7"/>
  <c r="H12" i="7"/>
  <c r="F12" i="7"/>
  <c r="J14" i="6"/>
  <c r="H14" i="6"/>
  <c r="F14" i="6"/>
  <c r="J13" i="6"/>
  <c r="H13" i="6"/>
  <c r="F13" i="6"/>
  <c r="J12" i="6"/>
  <c r="B32" i="5"/>
  <c r="B30" i="5"/>
  <c r="B28" i="5"/>
  <c r="B27" i="5"/>
  <c r="B26" i="5"/>
  <c r="B19" i="5"/>
  <c r="B17" i="5"/>
  <c r="B10" i="5"/>
  <c r="A4" i="5"/>
  <c r="A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J50" i="9" l="1"/>
  <c r="C17" i="8" s="1"/>
  <c r="J23" i="9"/>
  <c r="C13" i="8"/>
  <c r="C14" i="8" s="1"/>
  <c r="H21" i="9"/>
  <c r="H19" i="9"/>
  <c r="B13" i="5"/>
  <c r="B9" i="5"/>
  <c r="B11" i="5" s="1"/>
  <c r="H20" i="9"/>
  <c r="G29" i="9"/>
  <c r="H28" i="9" s="1"/>
  <c r="J40" i="9"/>
  <c r="C11" i="8"/>
  <c r="G30" i="9"/>
  <c r="J30" i="9" s="1"/>
  <c r="C26" i="8" s="1"/>
  <c r="G14" i="10"/>
  <c r="B22" i="5" s="1"/>
  <c r="B23" i="5"/>
  <c r="C12" i="2" s="1"/>
  <c r="D18" i="2" s="1"/>
  <c r="H22" i="9"/>
  <c r="H26" i="9"/>
  <c r="G50" i="9"/>
  <c r="G51" i="9" s="1"/>
  <c r="D53" i="9"/>
  <c r="C23" i="8" s="1"/>
  <c r="C22" i="8" s="1"/>
  <c r="D54" i="9"/>
  <c r="H13" i="9"/>
  <c r="F16" i="9"/>
  <c r="I16" i="9" s="1"/>
  <c r="J16" i="9" s="1"/>
  <c r="C15" i="8" s="1"/>
  <c r="C21" i="8"/>
  <c r="B8" i="5"/>
  <c r="H51" i="9" l="1"/>
  <c r="H42" i="9"/>
  <c r="H38" i="9"/>
  <c r="H35" i="9"/>
  <c r="H48" i="9"/>
  <c r="H45" i="9"/>
  <c r="H49" i="9"/>
  <c r="H39" i="9"/>
  <c r="H33" i="9"/>
  <c r="H36" i="9"/>
  <c r="H37" i="9"/>
  <c r="G55" i="9"/>
  <c r="G56" i="9" s="1"/>
  <c r="G57" i="9" s="1"/>
  <c r="H34" i="9"/>
  <c r="H46" i="9"/>
  <c r="H43" i="9"/>
  <c r="H47" i="9"/>
  <c r="H41" i="9"/>
  <c r="H44" i="9"/>
  <c r="G52" i="9"/>
  <c r="H40" i="9"/>
  <c r="H27" i="9"/>
  <c r="H29" i="9" s="1"/>
  <c r="B14" i="5"/>
  <c r="H50" i="9"/>
  <c r="J54" i="9"/>
  <c r="C20" i="8"/>
  <c r="C16" i="8"/>
  <c r="C18" i="8" s="1"/>
  <c r="C19" i="8" s="1"/>
  <c r="J51" i="9"/>
  <c r="J52" i="9" s="1"/>
  <c r="B15" i="5"/>
  <c r="J53" i="9"/>
  <c r="J55" i="9" s="1"/>
  <c r="J56" i="9" s="1"/>
  <c r="J57" i="9" s="1"/>
  <c r="B18" i="5"/>
  <c r="B20" i="5"/>
  <c r="B16" i="5"/>
  <c r="B21" i="5" s="1"/>
  <c r="C24" i="8"/>
  <c r="D22" i="8" s="1"/>
  <c r="B24" i="5" l="1"/>
  <c r="D20" i="8"/>
  <c r="C21" i="5"/>
  <c r="C15" i="5"/>
  <c r="C13" i="5"/>
  <c r="C11" i="5"/>
  <c r="C9" i="5"/>
  <c r="C17" i="5"/>
  <c r="C14" i="5"/>
  <c r="C10" i="5"/>
  <c r="C19" i="5"/>
  <c r="C12" i="5"/>
  <c r="C8" i="5"/>
  <c r="B33" i="5"/>
  <c r="C29" i="8"/>
  <c r="C30" i="8" s="1"/>
  <c r="C27" i="8"/>
  <c r="D24" i="8"/>
  <c r="D18" i="8"/>
  <c r="D16" i="8"/>
  <c r="D14" i="8"/>
  <c r="D12" i="8"/>
  <c r="D17" i="8"/>
  <c r="D13" i="8"/>
  <c r="D11" i="8"/>
  <c r="D15" i="8"/>
  <c r="C37" i="8" l="1"/>
  <c r="C36" i="8"/>
  <c r="B34" i="5"/>
  <c r="C38" i="8" l="1"/>
  <c r="B35" i="5"/>
  <c r="B36" i="5" l="1"/>
  <c r="D35" i="5"/>
  <c r="D32" i="5"/>
  <c r="D27" i="5"/>
  <c r="D23" i="5"/>
  <c r="D14" i="5"/>
  <c r="D10" i="5"/>
  <c r="D30" i="5"/>
  <c r="D22" i="5"/>
  <c r="D19" i="5"/>
  <c r="D28" i="5"/>
  <c r="D15" i="5"/>
  <c r="D13" i="5"/>
  <c r="D11" i="5"/>
  <c r="D9" i="5"/>
  <c r="D17" i="5"/>
  <c r="D26" i="5"/>
  <c r="D12" i="5"/>
  <c r="D8" i="5"/>
  <c r="D24" i="5"/>
  <c r="D21" i="5"/>
  <c r="D33" i="5"/>
  <c r="D34" i="5"/>
  <c r="C39" i="8"/>
  <c r="C40" i="8" l="1"/>
  <c r="E39" i="8"/>
  <c r="C9" i="2"/>
  <c r="B18" i="2" s="1"/>
  <c r="C13" i="2"/>
  <c r="C10" i="1"/>
  <c r="E40" i="8" l="1"/>
  <c r="E33" i="8"/>
  <c r="E32" i="8"/>
  <c r="E18" i="8"/>
  <c r="E16" i="8"/>
  <c r="E14" i="8"/>
  <c r="E12" i="8"/>
  <c r="E31" i="8"/>
  <c r="E26" i="8"/>
  <c r="E35" i="8"/>
  <c r="E17" i="8"/>
  <c r="E13" i="8"/>
  <c r="E11" i="8"/>
  <c r="C41" i="8"/>
  <c r="D11" i="11" s="1"/>
  <c r="E34" i="8"/>
  <c r="E25" i="8"/>
  <c r="E15" i="8"/>
  <c r="E22" i="8"/>
  <c r="E20" i="8"/>
  <c r="E24" i="8"/>
  <c r="E30" i="8"/>
  <c r="E29" i="8"/>
  <c r="E27" i="8"/>
  <c r="E36" i="8"/>
  <c r="E37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<sst xmlns="http://schemas.openxmlformats.org/spreadsheetml/2006/main" count="670" uniqueCount="413">
  <si>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</si>
  <si>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</si>
  <si>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</si>
  <si>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</si>
  <si>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</si>
  <si>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</si>
  <si>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</si>
  <si>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</si>
  <si>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</si>
  <si>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</si>
  <si>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</si>
  <si>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</si>
  <si>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</si>
  <si>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</si>
  <si>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</si>
  <si>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</si>
  <si>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</si>
  <si>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</si>
  <si>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</si>
  <si>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</si>
  <si>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</si>
  <si>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</si>
  <si>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</si>
  <si>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</si>
  <si>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</si>
  <si>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</si>
  <si>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</si>
  <si>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</si>
  <si>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</si>
  <si>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</si>
  <si>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</si>
  <si>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</si>
  <si>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</si>
  <si>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</si>
  <si>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</si>
  <si>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</si>
  <si>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</si>
  <si>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</si>
  <si>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</si>
  <si>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</si>
  <si>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</si>
  <si>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</si>
  <si>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</si>
  <si>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</si>
  <si>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</si>
  <si>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</si>
  <si>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</si>
  <si>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АРМ ЗПС 330 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</si>
  <si>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</si>
  <si>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</si>
  <si>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</si>
  <si>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</si>
  <si>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</si>
  <si>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</si>
  <si>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</si>
  <si>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</si>
  <si>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</si>
  <si>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</si>
  <si>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</si>
  <si>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</si>
  <si>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</si>
  <si>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</si>
  <si>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</si>
  <si>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</si>
  <si>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</si>
  <si>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</si>
  <si>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</si>
  <si>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</si>
  <si>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</si>
  <si>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</si>
  <si>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</si>
  <si>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</si>
  <si>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</si>
  <si>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</si>
  <si>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</si>
  <si>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</si>
  <si>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</si>
  <si>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</si>
  <si>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</si>
  <si>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</si>
  <si>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</si>
  <si>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</si>
  <si>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</si>
  <si>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</si>
  <si>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</si>
  <si>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</si>
  <si>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</si>
  <si>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</si>
  <si>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</si>
  <si>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</si>
  <si>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</si>
  <si>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</si>
  <si>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</si>
  <si>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</si>
  <si>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</si>
  <si>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</si>
  <si>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</si>
  <si>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</si>
  <si>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</si>
  <si>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</si>
  <si>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</si>
  <si>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</si>
  <si>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</si>
  <si>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</si>
  <si>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</si>
  <si>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</si>
  <si>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</si>
  <si>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</si>
  <si>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</si>
  <si>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</si>
  <si>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</si>
  <si>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</si>
  <si>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</si>
  <si>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</si>
  <si>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</si>
  <si>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</si>
  <si>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</si>
  <si>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АРМ ЗПС 330 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</si>
  <si>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</si>
  <si>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</si>
  <si>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</si>
  <si>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</si>
  <si>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</si>
  <si>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</si>
  <si>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</si>
  <si>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</si>
  <si>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АРМ</t>
  </si>
  <si>
    <t>КСТСБ. Система охранного телевидения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</si>
  <si>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</si>
  <si>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</si>
  <si>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</si>
  <si>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</si>
  <si>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АРМ ЗПС 330 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</si>
  <si>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</si>
  <si>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</si>
  <si>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</si>
  <si>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</si>
  <si>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</si>
  <si>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</si>
  <si>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</si>
  <si>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</si>
  <si>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</si>
  <si>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</si>
  <si>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</si>
  <si>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</si>
  <si>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</si>
  <si>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</si>
  <si>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</si>
  <si>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</si>
  <si>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</si>
  <si>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</si>
  <si>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</si>
  <si>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</si>
  <si>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</si>
  <si>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</si>
  <si>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</si>
  <si>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Прайс из СД ОП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</si>
  <si>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</si>
  <si>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</si>
  <si>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</si>
  <si>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</si>
  <si>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</si>
  <si>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</si>
  <si>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</si>
  <si>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</si>
  <si>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</si>
  <si>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</si>
  <si>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</si>
  <si>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</si>
  <si>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</si>
  <si>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</si>
  <si>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</si>
  <si>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</si>
  <si>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</si>
  <si>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</si>
  <si>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</si>
  <si>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</si>
  <si>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</si>
  <si>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</si>
  <si>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</si>
  <si>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</si>
  <si>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</si>
  <si>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</si>
  <si>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</si>
  <si>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</si>
  <si>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</si>
  <si>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</si>
  <si>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</si>
  <si>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</si>
  <si>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</si>
  <si>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</si>
  <si>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</si>
  <si>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</si>
  <si>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</si>
  <si>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</si>
  <si>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</si>
  <si>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</si>
  <si>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</si>
  <si>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</si>
  <si>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</si>
  <si>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</si>
  <si>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</si>
  <si>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</si>
  <si>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</si>
  <si>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</si>
  <si>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</si>
  <si>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</si>
  <si>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</si>
  <si>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</si>
  <si>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</si>
  <si>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</si>
  <si>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</si>
  <si>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</si>
  <si>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</si>
  <si>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</si>
  <si>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</si>
  <si>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</si>
  <si>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АРМ ЗПС 330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</si>
  <si>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</si>
  <si>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</si>
  <si>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</si>
  <si>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</si>
  <si>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</si>
  <si>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</si>
  <si>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</si>
  <si>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</si>
  <si>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</si>
  <si>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</si>
  <si>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</si>
  <si>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</si>
  <si>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</si>
  <si>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</si>
  <si>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</si>
  <si>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</si>
  <si>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</si>
  <si>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</si>
  <si>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</si>
  <si>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</si>
  <si>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</si>
  <si>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</si>
  <si>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</si>
  <si>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</si>
  <si>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</si>
  <si>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</si>
  <si>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</si>
  <si>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</si>
  <si>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</si>
  <si>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</si>
  <si>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</si>
  <si>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</si>
  <si>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</si>
  <si>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</si>
  <si>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</si>
  <si>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</si>
  <si>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</si>
  <si>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</si>
  <si>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</si>
  <si>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</si>
  <si>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</si>
  <si>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</si>
  <si>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ПС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</si>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</sst>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2" fontId="19" fillId="0" borderId="1" xfId="0" applyNumberFormat="1" applyFont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7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222250</xdr:colOff>
      <xdr:row>28</xdr:row>
      <xdr:rowOff>43089</xdr:rowOff>
    </xdr:from>
    <xdr:to>
      <xdr:col>2</xdr:col>
      <xdr:colOff>1167052</xdr:colOff>
      <xdr:row>30</xdr:row>
      <xdr:rowOff>159087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E23CEE4-BF21-4C77-B990-CB91F0AD8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893" y="13731875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298451</xdr:colOff>
      <xdr:row>26</xdr:row>
      <xdr:rowOff>218621</xdr:rowOff>
    </xdr:from>
    <xdr:to>
      <xdr:col>2</xdr:col>
      <xdr:colOff>1136650</xdr:colOff>
      <xdr:row>27</xdr:row>
      <xdr:rowOff>197831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8FFE0DB-0CFA-4CB9-A396-840AD5EFE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094" y="13227050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18</xdr:row>
      <xdr:rowOff>94795</xdr:rowOff>
    </xdr:from>
    <xdr:to>
      <xdr:col>2</xdr:col>
      <xdr:colOff>1468677</xdr:colOff>
      <xdr:row>21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CD489B-FB9F-484C-AD7D-8AAB90C0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589" y="4340224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600076</xdr:colOff>
      <xdr:row>15</xdr:row>
      <xdr:rowOff>202293</xdr:rowOff>
    </xdr:from>
    <xdr:to>
      <xdr:col>2</xdr:col>
      <xdr:colOff>1438275</xdr:colOff>
      <xdr:row>18</xdr:row>
      <xdr:rowOff>45430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5FD050D-F519-430E-A4AD-251962ADE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790" y="3835400"/>
          <a:ext cx="838199" cy="4554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41</xdr:row>
      <xdr:rowOff>66675</xdr:rowOff>
    </xdr:from>
    <xdr:to>
      <xdr:col>2</xdr:col>
      <xdr:colOff>1249602</xdr:colOff>
      <xdr:row>43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999005A-DF99-43B3-AB8D-680443D6A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2220575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381001</xdr:colOff>
      <xdr:row>38</xdr:row>
      <xdr:rowOff>152400</xdr:rowOff>
    </xdr:from>
    <xdr:to>
      <xdr:col>2</xdr:col>
      <xdr:colOff>1219200</xdr:colOff>
      <xdr:row>41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683E842-3014-4A4F-8C25-68C492D51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11734800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C631426-F34C-4012-A09A-AADBC44BD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02B5F0C-768C-4E90-947B-F28E6D0E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487456</xdr:colOff>
      <xdr:row>59</xdr:row>
      <xdr:rowOff>78201</xdr:rowOff>
    </xdr:from>
    <xdr:to>
      <xdr:col>1</xdr:col>
      <xdr:colOff>1437701</xdr:colOff>
      <xdr:row>62</xdr:row>
      <xdr:rowOff>30914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2301663-EBBB-4CF5-8B21-D7C58B5B8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56" y="15399844"/>
          <a:ext cx="950245" cy="48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563657</xdr:colOff>
      <xdr:row>56</xdr:row>
      <xdr:rowOff>430626</xdr:rowOff>
    </xdr:from>
    <xdr:to>
      <xdr:col>1</xdr:col>
      <xdr:colOff>1388249</xdr:colOff>
      <xdr:row>59</xdr:row>
      <xdr:rowOff>28836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109FC87-BD82-45E5-AF3D-30B37BD21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57" y="14949447"/>
          <a:ext cx="824592" cy="4010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16</xdr:row>
      <xdr:rowOff>66675</xdr:rowOff>
    </xdr:from>
    <xdr:to>
      <xdr:col>2</xdr:col>
      <xdr:colOff>316152</xdr:colOff>
      <xdr:row>19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D9E9AA6-A10F-4FAC-A290-283503669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4810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619126</xdr:colOff>
      <xdr:row>13</xdr:row>
      <xdr:rowOff>190500</xdr:rowOff>
    </xdr:from>
    <xdr:to>
      <xdr:col>2</xdr:col>
      <xdr:colOff>285750</xdr:colOff>
      <xdr:row>16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76CBBCA-3ADE-4C19-B8D8-BBDDE5F60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43053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1F6282B-8266-4712-964C-0EB71E6A6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019882A-C44C-47FB-A8F7-8BAAA547E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777875</xdr:colOff>
      <xdr:row>27</xdr:row>
      <xdr:rowOff>60325</xdr:rowOff>
    </xdr:from>
    <xdr:to>
      <xdr:col>1</xdr:col>
      <xdr:colOff>1722677</xdr:colOff>
      <xdr:row>30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FFA7B36-DDC7-42CD-9D53-CBC5B39DC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9363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854076</xdr:colOff>
      <xdr:row>24</xdr:row>
      <xdr:rowOff>127000</xdr:rowOff>
    </xdr:from>
    <xdr:to>
      <xdr:col>1</xdr:col>
      <xdr:colOff>1692275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D705735-91E5-4A71-981B-ABA13251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6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32" t="s">
        <v>0</v>
      </c>
      <c r="B2" s="332"/>
      <c r="C2" s="332"/>
    </row>
    <row r="3" spans="1:3" x14ac:dyDescent="0.25">
      <c r="A3" s="1"/>
      <c r="B3" s="1"/>
      <c r="C3" s="1"/>
    </row>
    <row r="4" spans="1:3" x14ac:dyDescent="0.25">
      <c r="A4" s="333" t="s">
        <v>1</v>
      </c>
      <c r="B4" s="333"/>
      <c r="C4" s="33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8" t="s">
        <v>2</v>
      </c>
      <c r="B6" s="334" t="s">
        <v>3</v>
      </c>
      <c r="C6" s="334"/>
    </row>
    <row r="7" spans="1:3" x14ac:dyDescent="0.25">
      <c r="A7" s="149" t="s">
        <v>4</v>
      </c>
      <c r="B7" s="1"/>
      <c r="C7" s="1"/>
    </row>
    <row r="8" spans="1:3" x14ac:dyDescent="0.25">
      <c r="A8" s="149"/>
      <c r="B8" s="1"/>
      <c r="C8" s="1"/>
    </row>
    <row r="9" spans="1:3" ht="39.6" customHeight="1" x14ac:dyDescent="0.25">
      <c r="A9" s="2" t="s">
        <v>5</v>
      </c>
      <c r="B9" s="2" t="s">
        <v>6</v>
      </c>
      <c r="C9" s="150" t="s">
        <v>7</v>
      </c>
    </row>
    <row r="10" spans="1:3" ht="86.45" customHeight="1" x14ac:dyDescent="0.25">
      <c r="A10" s="151" t="s">
        <v>8</v>
      </c>
      <c r="B10" s="152" t="s">
        <v>9</v>
      </c>
      <c r="C10" s="3">
        <f>'4.5 РМ'!B36/1000</f>
        <v>100.84066229860582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0"/>
  <sheetViews>
    <sheetView view="pageBreakPreview" workbookViewId="0">
      <selection activeCell="J30" sqref="J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83" t="s">
        <v>250</v>
      </c>
      <c r="B1" s="383"/>
      <c r="C1" s="383"/>
      <c r="D1" s="383"/>
      <c r="E1" s="383"/>
      <c r="F1" s="383"/>
      <c r="G1" s="383"/>
    </row>
    <row r="2" spans="1:7" ht="21.75" customHeight="1" x14ac:dyDescent="0.25">
      <c r="A2" s="285"/>
      <c r="B2" s="285"/>
      <c r="C2" s="285"/>
      <c r="D2" s="285"/>
      <c r="E2" s="285"/>
      <c r="F2" s="285"/>
      <c r="G2" s="285"/>
    </row>
    <row r="3" spans="1:7" x14ac:dyDescent="0.25">
      <c r="A3" s="332" t="s">
        <v>251</v>
      </c>
      <c r="B3" s="332"/>
      <c r="C3" s="332"/>
      <c r="D3" s="332"/>
      <c r="E3" s="332"/>
      <c r="F3" s="332"/>
      <c r="G3" s="332"/>
    </row>
    <row r="4" spans="1:7" ht="25.5" customHeight="1" x14ac:dyDescent="0.25">
      <c r="A4" s="335" t="s">
        <v>47</v>
      </c>
      <c r="B4" s="335"/>
      <c r="C4" s="335"/>
      <c r="D4" s="335"/>
      <c r="E4" s="335"/>
      <c r="F4" s="335"/>
      <c r="G4" s="335"/>
    </row>
    <row r="5" spans="1:7" x14ac:dyDescent="0.25">
      <c r="A5" s="243"/>
      <c r="B5" s="243"/>
      <c r="C5" s="243"/>
      <c r="D5" s="243"/>
      <c r="E5" s="243"/>
      <c r="F5" s="243"/>
      <c r="G5" s="243"/>
    </row>
    <row r="6" spans="1:7" ht="30" customHeight="1" x14ac:dyDescent="0.25">
      <c r="A6" s="388" t="s">
        <v>13</v>
      </c>
      <c r="B6" s="388" t="s">
        <v>135</v>
      </c>
      <c r="C6" s="388" t="s">
        <v>80</v>
      </c>
      <c r="D6" s="388" t="s">
        <v>137</v>
      </c>
      <c r="E6" s="380" t="s">
        <v>218</v>
      </c>
      <c r="F6" s="388" t="s">
        <v>81</v>
      </c>
      <c r="G6" s="388"/>
    </row>
    <row r="7" spans="1:7" x14ac:dyDescent="0.25">
      <c r="A7" s="388"/>
      <c r="B7" s="388"/>
      <c r="C7" s="388"/>
      <c r="D7" s="388"/>
      <c r="E7" s="381"/>
      <c r="F7" s="283" t="s">
        <v>221</v>
      </c>
      <c r="G7" s="283" t="s">
        <v>140</v>
      </c>
    </row>
    <row r="8" spans="1:7" x14ac:dyDescent="0.25">
      <c r="A8" s="283">
        <v>1</v>
      </c>
      <c r="B8" s="283">
        <v>2</v>
      </c>
      <c r="C8" s="283">
        <v>3</v>
      </c>
      <c r="D8" s="283">
        <v>4</v>
      </c>
      <c r="E8" s="283">
        <v>5</v>
      </c>
      <c r="F8" s="283">
        <v>6</v>
      </c>
      <c r="G8" s="283">
        <v>7</v>
      </c>
    </row>
    <row r="9" spans="1:7" ht="15" customHeight="1" x14ac:dyDescent="0.25">
      <c r="A9" s="244"/>
      <c r="B9" s="384" t="s">
        <v>252</v>
      </c>
      <c r="C9" s="385"/>
      <c r="D9" s="385"/>
      <c r="E9" s="385"/>
      <c r="F9" s="385"/>
      <c r="G9" s="386"/>
    </row>
    <row r="10" spans="1:7" ht="27" customHeight="1" x14ac:dyDescent="0.25">
      <c r="A10" s="283"/>
      <c r="B10" s="232"/>
      <c r="C10" s="141" t="s">
        <v>253</v>
      </c>
      <c r="D10" s="232"/>
      <c r="E10" s="245"/>
      <c r="F10" s="284"/>
      <c r="G10" s="230">
        <v>0</v>
      </c>
    </row>
    <row r="11" spans="1:7" x14ac:dyDescent="0.25">
      <c r="A11" s="283"/>
      <c r="B11" s="363" t="s">
        <v>254</v>
      </c>
      <c r="C11" s="363"/>
      <c r="D11" s="363"/>
      <c r="E11" s="387"/>
      <c r="F11" s="366"/>
      <c r="G11" s="366"/>
    </row>
    <row r="12" spans="1:7" s="166" customFormat="1" ht="89.25" customHeight="1" x14ac:dyDescent="0.25">
      <c r="A12" s="283">
        <v>1</v>
      </c>
      <c r="B12" s="141" t="str">
        <f>'Прил.5 Расчет СМР и ОБ'!B26</f>
        <v>БЦ.54.24</v>
      </c>
      <c r="C12" s="246" t="str">
        <f>'Прил.5 Расчет СМР и ОБ'!C26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47" t="str">
        <f>'Прил.5 Расчет СМР и ОБ'!D26</f>
        <v>шт</v>
      </c>
      <c r="E12" s="248">
        <f>'Прил.5 Расчет СМР и ОБ'!E26</f>
        <v>2</v>
      </c>
      <c r="F12" s="216">
        <f>'Прил.5 Расчет СМР и ОБ'!F26</f>
        <v>43258.79</v>
      </c>
      <c r="G12" s="230">
        <f>ROUND(E12*F12,2)</f>
        <v>86517.58</v>
      </c>
    </row>
    <row r="13" spans="1:7" ht="25.5" customHeight="1" x14ac:dyDescent="0.25">
      <c r="A13" s="283"/>
      <c r="B13" s="141"/>
      <c r="C13" s="141" t="s">
        <v>255</v>
      </c>
      <c r="D13" s="141"/>
      <c r="E13" s="286"/>
      <c r="F13" s="284"/>
      <c r="G13" s="230">
        <f>SUM(G12:G12)</f>
        <v>86517.58</v>
      </c>
    </row>
    <row r="14" spans="1:7" ht="19.5" customHeight="1" x14ac:dyDescent="0.25">
      <c r="A14" s="283"/>
      <c r="B14" s="141"/>
      <c r="C14" s="141" t="s">
        <v>256</v>
      </c>
      <c r="D14" s="141"/>
      <c r="E14" s="286"/>
      <c r="F14" s="284"/>
      <c r="G14" s="230">
        <f>G10+G13</f>
        <v>86517.58</v>
      </c>
    </row>
    <row r="15" spans="1:7" x14ac:dyDescent="0.25">
      <c r="A15" s="249"/>
      <c r="B15" s="250"/>
      <c r="C15" s="249"/>
      <c r="D15" s="249"/>
      <c r="E15" s="249"/>
      <c r="F15" s="249"/>
      <c r="G15" s="249"/>
    </row>
    <row r="16" spans="1:7" x14ac:dyDescent="0.25">
      <c r="A16" s="4" t="s">
        <v>248</v>
      </c>
      <c r="B16" s="14"/>
      <c r="C16" s="14"/>
      <c r="D16" s="249"/>
      <c r="E16" s="249"/>
      <c r="F16" s="249"/>
      <c r="G16" s="249"/>
    </row>
    <row r="17" spans="1:7" x14ac:dyDescent="0.25">
      <c r="A17" s="242" t="s">
        <v>76</v>
      </c>
      <c r="B17" s="14"/>
      <c r="C17" s="14"/>
      <c r="D17" s="249"/>
      <c r="E17" s="249"/>
      <c r="F17" s="249"/>
      <c r="G17" s="249"/>
    </row>
    <row r="18" spans="1:7" x14ac:dyDescent="0.25">
      <c r="A18" s="4"/>
      <c r="B18" s="14"/>
      <c r="C18" s="14"/>
      <c r="D18" s="249"/>
      <c r="E18" s="249"/>
      <c r="F18" s="249"/>
      <c r="G18" s="249"/>
    </row>
    <row r="19" spans="1:7" x14ac:dyDescent="0.25">
      <c r="A19" s="4" t="s">
        <v>249</v>
      </c>
      <c r="B19" s="14"/>
      <c r="C19" s="14"/>
      <c r="D19" s="249"/>
      <c r="E19" s="249"/>
      <c r="F19" s="249"/>
      <c r="G19" s="249"/>
    </row>
    <row r="20" spans="1:7" x14ac:dyDescent="0.25">
      <c r="A20" s="242" t="s">
        <v>78</v>
      </c>
      <c r="B20" s="14"/>
      <c r="C20" s="14"/>
      <c r="D20" s="249"/>
      <c r="E20" s="249"/>
      <c r="F20" s="249"/>
      <c r="G20" s="24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D19" sqref="D19"/>
    </sheetView>
  </sheetViews>
  <sheetFormatPr defaultRowHeight="15" x14ac:dyDescent="0.25"/>
  <cols>
    <col min="1" max="1" width="12.7109375" style="312" customWidth="1"/>
    <col min="2" max="2" width="16.42578125" style="312" customWidth="1"/>
    <col min="3" max="3" width="37.140625" style="312" customWidth="1"/>
    <col min="4" max="4" width="49" style="312" customWidth="1"/>
    <col min="5" max="5" width="9.140625" style="312" customWidth="1"/>
  </cols>
  <sheetData>
    <row r="1" spans="1:4" ht="15.75" customHeight="1" x14ac:dyDescent="0.25">
      <c r="A1" s="311"/>
      <c r="B1" s="311"/>
      <c r="C1" s="311"/>
      <c r="D1" s="311" t="s">
        <v>257</v>
      </c>
    </row>
    <row r="2" spans="1:4" ht="15.75" customHeight="1" x14ac:dyDescent="0.25">
      <c r="A2" s="311"/>
      <c r="B2" s="311"/>
      <c r="C2" s="311"/>
      <c r="D2" s="311"/>
    </row>
    <row r="3" spans="1:4" ht="15.75" customHeight="1" x14ac:dyDescent="0.25">
      <c r="A3" s="311"/>
      <c r="B3" s="313" t="s">
        <v>258</v>
      </c>
      <c r="C3" s="311"/>
      <c r="D3" s="311"/>
    </row>
    <row r="4" spans="1:4" ht="15.75" customHeight="1" x14ac:dyDescent="0.25">
      <c r="A4" s="311"/>
      <c r="B4" s="311"/>
      <c r="C4" s="311"/>
      <c r="D4" s="311"/>
    </row>
    <row r="5" spans="1:4" ht="31.5" customHeight="1" x14ac:dyDescent="0.25">
      <c r="A5" s="389" t="s">
        <v>259</v>
      </c>
      <c r="B5" s="389"/>
      <c r="C5" s="389"/>
      <c r="D5" s="314" t="str">
        <f>'Прил.5 Расчет СМР и ОБ'!D6:J6</f>
        <v>Постоянная часть ПС, АРМ ЗПС 330 кВ</v>
      </c>
    </row>
    <row r="6" spans="1:4" ht="15.75" customHeight="1" x14ac:dyDescent="0.25">
      <c r="A6" s="311" t="s">
        <v>260</v>
      </c>
      <c r="B6" s="311"/>
      <c r="C6" s="311"/>
      <c r="D6" s="311"/>
    </row>
    <row r="7" spans="1:4" ht="15.75" customHeight="1" x14ac:dyDescent="0.25">
      <c r="A7" s="311"/>
      <c r="B7" s="311"/>
      <c r="C7" s="311"/>
      <c r="D7" s="311"/>
    </row>
    <row r="8" spans="1:4" x14ac:dyDescent="0.25">
      <c r="A8" s="348" t="s">
        <v>5</v>
      </c>
      <c r="B8" s="348" t="s">
        <v>6</v>
      </c>
      <c r="C8" s="348" t="s">
        <v>261</v>
      </c>
      <c r="D8" s="348" t="s">
        <v>262</v>
      </c>
    </row>
    <row r="9" spans="1:4" x14ac:dyDescent="0.25">
      <c r="A9" s="348"/>
      <c r="B9" s="348"/>
      <c r="C9" s="348"/>
      <c r="D9" s="348"/>
    </row>
    <row r="10" spans="1:4" ht="15.75" customHeight="1" x14ac:dyDescent="0.25">
      <c r="A10" s="315">
        <v>1</v>
      </c>
      <c r="B10" s="315">
        <v>2</v>
      </c>
      <c r="C10" s="315">
        <v>3</v>
      </c>
      <c r="D10" s="315">
        <v>4</v>
      </c>
    </row>
    <row r="11" spans="1:4" ht="63" customHeight="1" x14ac:dyDescent="0.25">
      <c r="A11" s="315" t="s">
        <v>263</v>
      </c>
      <c r="B11" s="315" t="s">
        <v>264</v>
      </c>
      <c r="C11" s="316" t="str">
        <f>D5</f>
        <v>Постоянная часть ПС, АРМ ЗПС 330 кВ</v>
      </c>
      <c r="D11" s="317">
        <f>'Прил.4 РМ'!C41/1000</f>
        <v>619.90382999999997</v>
      </c>
    </row>
    <row r="13" spans="1:4" x14ac:dyDescent="0.25">
      <c r="A13" s="318" t="s">
        <v>265</v>
      </c>
      <c r="B13" s="319"/>
      <c r="C13" s="319"/>
      <c r="D13" s="320"/>
    </row>
    <row r="14" spans="1:4" x14ac:dyDescent="0.25">
      <c r="A14" s="321" t="s">
        <v>76</v>
      </c>
      <c r="B14" s="319"/>
      <c r="C14" s="319"/>
      <c r="D14" s="320"/>
    </row>
    <row r="15" spans="1:4" x14ac:dyDescent="0.25">
      <c r="A15" s="318"/>
      <c r="B15" s="319"/>
      <c r="C15" s="319"/>
      <c r="D15" s="320"/>
    </row>
    <row r="16" spans="1:4" x14ac:dyDescent="0.25">
      <c r="A16" s="318" t="s">
        <v>77</v>
      </c>
      <c r="B16" s="319"/>
      <c r="C16" s="319"/>
      <c r="D16" s="320"/>
    </row>
    <row r="17" spans="1:4" x14ac:dyDescent="0.25">
      <c r="A17" s="321" t="s">
        <v>78</v>
      </c>
      <c r="B17" s="319"/>
      <c r="C17" s="319"/>
      <c r="D17" s="32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4:E31"/>
  <sheetViews>
    <sheetView view="pageBreakPreview" zoomScale="60" zoomScaleNormal="85" workbookViewId="0">
      <selection activeCell="C25" sqref="C25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9" t="s">
        <v>266</v>
      </c>
      <c r="C4" s="339"/>
      <c r="D4" s="339"/>
    </row>
    <row r="5" spans="2:5" ht="18.75" customHeight="1" x14ac:dyDescent="0.25">
      <c r="B5" s="251"/>
    </row>
    <row r="6" spans="2:5" ht="15.75" customHeight="1" x14ac:dyDescent="0.25">
      <c r="B6" s="340" t="s">
        <v>267</v>
      </c>
      <c r="C6" s="340"/>
      <c r="D6" s="340"/>
    </row>
    <row r="7" spans="2:5" x14ac:dyDescent="0.25">
      <c r="B7" s="390"/>
      <c r="C7" s="390"/>
      <c r="D7" s="390"/>
      <c r="E7" s="390"/>
    </row>
    <row r="8" spans="2:5" x14ac:dyDescent="0.25">
      <c r="B8" s="287"/>
      <c r="C8" s="287"/>
      <c r="D8" s="287"/>
      <c r="E8" s="287"/>
    </row>
    <row r="9" spans="2:5" ht="47.25" customHeight="1" x14ac:dyDescent="0.25">
      <c r="B9" s="273" t="s">
        <v>268</v>
      </c>
      <c r="C9" s="273" t="s">
        <v>269</v>
      </c>
      <c r="D9" s="273" t="s">
        <v>270</v>
      </c>
    </row>
    <row r="10" spans="2:5" ht="15.75" customHeight="1" x14ac:dyDescent="0.25">
      <c r="B10" s="273">
        <v>1</v>
      </c>
      <c r="C10" s="273">
        <v>2</v>
      </c>
      <c r="D10" s="273">
        <v>3</v>
      </c>
    </row>
    <row r="11" spans="2:5" ht="45" customHeight="1" x14ac:dyDescent="0.25">
      <c r="B11" s="273" t="s">
        <v>271</v>
      </c>
      <c r="C11" s="273" t="s">
        <v>272</v>
      </c>
      <c r="D11" s="273">
        <v>44.29</v>
      </c>
    </row>
    <row r="12" spans="2:5" ht="29.25" customHeight="1" x14ac:dyDescent="0.25">
      <c r="B12" s="273" t="s">
        <v>273</v>
      </c>
      <c r="C12" s="273" t="s">
        <v>272</v>
      </c>
      <c r="D12" s="273">
        <v>13.47</v>
      </c>
    </row>
    <row r="13" spans="2:5" ht="29.25" customHeight="1" x14ac:dyDescent="0.25">
      <c r="B13" s="273" t="s">
        <v>274</v>
      </c>
      <c r="C13" s="273" t="s">
        <v>272</v>
      </c>
      <c r="D13" s="273">
        <v>8.0399999999999991</v>
      </c>
    </row>
    <row r="14" spans="2:5" ht="30.75" customHeight="1" x14ac:dyDescent="0.25">
      <c r="B14" s="273" t="s">
        <v>275</v>
      </c>
      <c r="C14" s="170" t="s">
        <v>276</v>
      </c>
      <c r="D14" s="273">
        <v>6.26</v>
      </c>
    </row>
    <row r="15" spans="2:5" ht="89.25" customHeight="1" x14ac:dyDescent="0.25">
      <c r="B15" s="273" t="s">
        <v>277</v>
      </c>
      <c r="C15" s="273" t="s">
        <v>278</v>
      </c>
      <c r="D15" s="252">
        <v>3.9E-2</v>
      </c>
    </row>
    <row r="16" spans="2:5" ht="78.75" customHeight="1" x14ac:dyDescent="0.25">
      <c r="B16" s="273" t="s">
        <v>279</v>
      </c>
      <c r="C16" s="273" t="s">
        <v>280</v>
      </c>
      <c r="D16" s="252">
        <v>2.1000000000000001E-2</v>
      </c>
    </row>
    <row r="17" spans="2:4" ht="34.5" customHeight="1" x14ac:dyDescent="0.25">
      <c r="B17" s="273"/>
      <c r="C17" s="273"/>
      <c r="D17" s="273"/>
    </row>
    <row r="18" spans="2:4" ht="31.5" customHeight="1" x14ac:dyDescent="0.25">
      <c r="B18" s="273" t="s">
        <v>105</v>
      </c>
      <c r="C18" s="273" t="s">
        <v>281</v>
      </c>
      <c r="D18" s="252">
        <v>2.1399999999999999E-2</v>
      </c>
    </row>
    <row r="19" spans="2:4" ht="31.5" customHeight="1" x14ac:dyDescent="0.25">
      <c r="B19" s="273" t="s">
        <v>209</v>
      </c>
      <c r="C19" s="273" t="s">
        <v>282</v>
      </c>
      <c r="D19" s="252">
        <v>2E-3</v>
      </c>
    </row>
    <row r="20" spans="2:4" ht="24" customHeight="1" x14ac:dyDescent="0.25">
      <c r="B20" s="273" t="s">
        <v>108</v>
      </c>
      <c r="C20" s="273" t="s">
        <v>283</v>
      </c>
      <c r="D20" s="252">
        <v>0.03</v>
      </c>
    </row>
    <row r="21" spans="2:4" ht="18.75" customHeight="1" x14ac:dyDescent="0.25">
      <c r="B21" s="253"/>
    </row>
    <row r="22" spans="2:4" ht="18.75" customHeight="1" x14ac:dyDescent="0.25">
      <c r="B22" s="253"/>
    </row>
    <row r="23" spans="2:4" ht="18.75" customHeight="1" x14ac:dyDescent="0.25">
      <c r="B23" s="253"/>
    </row>
    <row r="24" spans="2:4" ht="18.75" customHeight="1" x14ac:dyDescent="0.25">
      <c r="B24" s="253"/>
    </row>
    <row r="27" spans="2:4" x14ac:dyDescent="0.25">
      <c r="B27" s="4" t="s">
        <v>284</v>
      </c>
      <c r="C27" s="14"/>
    </row>
    <row r="28" spans="2:4" x14ac:dyDescent="0.25">
      <c r="B28" s="242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249</v>
      </c>
      <c r="C30" s="14"/>
    </row>
    <row r="31" spans="2:4" x14ac:dyDescent="0.25">
      <c r="B31" s="242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254" customWidth="1"/>
    <col min="2" max="2" width="44.85546875" style="254" customWidth="1"/>
    <col min="3" max="3" width="13" style="254" customWidth="1"/>
    <col min="4" max="4" width="22.85546875" style="254" customWidth="1"/>
    <col min="5" max="5" width="21.5703125" style="254" customWidth="1"/>
    <col min="6" max="6" width="43.85546875" style="254" customWidth="1"/>
    <col min="7" max="7" width="9.140625" style="254" customWidth="1"/>
  </cols>
  <sheetData>
    <row r="2" spans="1:7" ht="17.25" customHeight="1" x14ac:dyDescent="0.25">
      <c r="A2" s="340" t="s">
        <v>285</v>
      </c>
      <c r="B2" s="340"/>
      <c r="C2" s="340"/>
      <c r="D2" s="340"/>
      <c r="E2" s="340"/>
      <c r="F2" s="340"/>
    </row>
    <row r="4" spans="1:7" ht="18" customHeight="1" x14ac:dyDescent="0.25">
      <c r="A4" s="255" t="s">
        <v>286</v>
      </c>
      <c r="B4" s="256"/>
      <c r="C4" s="256"/>
      <c r="D4" s="256"/>
      <c r="E4" s="256"/>
      <c r="F4" s="256"/>
      <c r="G4" s="256"/>
    </row>
    <row r="5" spans="1:7" ht="15.75" customHeight="1" x14ac:dyDescent="0.25">
      <c r="A5" s="257" t="s">
        <v>13</v>
      </c>
      <c r="B5" s="257" t="s">
        <v>287</v>
      </c>
      <c r="C5" s="257" t="s">
        <v>288</v>
      </c>
      <c r="D5" s="257" t="s">
        <v>289</v>
      </c>
      <c r="E5" s="257" t="s">
        <v>290</v>
      </c>
      <c r="F5" s="257" t="s">
        <v>291</v>
      </c>
      <c r="G5" s="256"/>
    </row>
    <row r="6" spans="1:7" ht="15.75" customHeight="1" x14ac:dyDescent="0.25">
      <c r="A6" s="257">
        <v>1</v>
      </c>
      <c r="B6" s="257">
        <v>2</v>
      </c>
      <c r="C6" s="257">
        <v>3</v>
      </c>
      <c r="D6" s="257">
        <v>4</v>
      </c>
      <c r="E6" s="257">
        <v>5</v>
      </c>
      <c r="F6" s="257">
        <v>6</v>
      </c>
      <c r="G6" s="256"/>
    </row>
    <row r="7" spans="1:7" ht="110.25" customHeight="1" x14ac:dyDescent="0.25">
      <c r="A7" s="258" t="s">
        <v>292</v>
      </c>
      <c r="B7" s="259" t="s">
        <v>293</v>
      </c>
      <c r="C7" s="260" t="s">
        <v>294</v>
      </c>
      <c r="D7" s="260" t="s">
        <v>295</v>
      </c>
      <c r="E7" s="261">
        <v>47872.94</v>
      </c>
      <c r="F7" s="259" t="s">
        <v>296</v>
      </c>
      <c r="G7" s="256"/>
    </row>
    <row r="8" spans="1:7" ht="31.5" customHeight="1" x14ac:dyDescent="0.25">
      <c r="A8" s="258" t="s">
        <v>297</v>
      </c>
      <c r="B8" s="259" t="s">
        <v>298</v>
      </c>
      <c r="C8" s="260" t="s">
        <v>299</v>
      </c>
      <c r="D8" s="260" t="s">
        <v>300</v>
      </c>
      <c r="E8" s="261">
        <f>1973/12</f>
        <v>164.41666666667001</v>
      </c>
      <c r="F8" s="262" t="s">
        <v>301</v>
      </c>
      <c r="G8" s="263"/>
    </row>
    <row r="9" spans="1:7" ht="15.75" customHeight="1" x14ac:dyDescent="0.25">
      <c r="A9" s="258" t="s">
        <v>302</v>
      </c>
      <c r="B9" s="259" t="s">
        <v>303</v>
      </c>
      <c r="C9" s="260" t="s">
        <v>304</v>
      </c>
      <c r="D9" s="260" t="s">
        <v>295</v>
      </c>
      <c r="E9" s="261">
        <v>1</v>
      </c>
      <c r="F9" s="262"/>
      <c r="G9" s="264"/>
    </row>
    <row r="10" spans="1:7" ht="15.75" customHeight="1" x14ac:dyDescent="0.25">
      <c r="A10" s="258" t="s">
        <v>305</v>
      </c>
      <c r="B10" s="259" t="s">
        <v>306</v>
      </c>
      <c r="C10" s="260"/>
      <c r="D10" s="260"/>
      <c r="E10" s="265">
        <v>3.9</v>
      </c>
      <c r="F10" s="262" t="s">
        <v>307</v>
      </c>
      <c r="G10" s="264"/>
    </row>
    <row r="11" spans="1:7" ht="78.75" customHeight="1" x14ac:dyDescent="0.25">
      <c r="A11" s="258" t="s">
        <v>308</v>
      </c>
      <c r="B11" s="259" t="s">
        <v>309</v>
      </c>
      <c r="C11" s="260" t="s">
        <v>310</v>
      </c>
      <c r="D11" s="260" t="s">
        <v>295</v>
      </c>
      <c r="E11" s="266">
        <v>1.3240000000000001</v>
      </c>
      <c r="F11" s="259" t="s">
        <v>311</v>
      </c>
      <c r="G11" s="256"/>
    </row>
    <row r="12" spans="1:7" ht="78.75" customHeight="1" x14ac:dyDescent="0.25">
      <c r="A12" s="258" t="s">
        <v>312</v>
      </c>
      <c r="B12" s="267" t="s">
        <v>313</v>
      </c>
      <c r="C12" s="260" t="s">
        <v>314</v>
      </c>
      <c r="D12" s="260" t="s">
        <v>295</v>
      </c>
      <c r="E12" s="268">
        <v>1.139</v>
      </c>
      <c r="F12" s="269" t="s">
        <v>315</v>
      </c>
      <c r="G12" s="264"/>
    </row>
    <row r="13" spans="1:7" ht="63" customHeight="1" x14ac:dyDescent="0.25">
      <c r="A13" s="258" t="s">
        <v>316</v>
      </c>
      <c r="B13" s="270" t="s">
        <v>317</v>
      </c>
      <c r="C13" s="260" t="s">
        <v>318</v>
      </c>
      <c r="D13" s="260" t="s">
        <v>319</v>
      </c>
      <c r="E13" s="271">
        <f>((E7*E9/E8)*E11)*E12</f>
        <v>439.09244974661999</v>
      </c>
      <c r="F13" s="259" t="s">
        <v>320</v>
      </c>
      <c r="G13" s="256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5" customFormat="1" ht="29.45" customHeight="1" x14ac:dyDescent="0.2">
      <c r="A1" s="391" t="s">
        <v>321</v>
      </c>
      <c r="B1" s="391"/>
      <c r="C1" s="391"/>
      <c r="D1" s="391"/>
      <c r="E1" s="391"/>
      <c r="F1" s="391"/>
      <c r="G1" s="391"/>
      <c r="H1" s="391"/>
      <c r="I1" s="391"/>
    </row>
    <row r="2" spans="1:13" s="35" customFormat="1" ht="13.5" customHeight="1" x14ac:dyDescent="0.2">
      <c r="A2" s="36"/>
      <c r="B2" s="36"/>
      <c r="C2" s="36"/>
      <c r="D2" s="36"/>
      <c r="E2" s="36"/>
      <c r="F2" s="36"/>
      <c r="G2" s="36"/>
      <c r="H2" s="36"/>
      <c r="I2" s="36"/>
    </row>
    <row r="3" spans="1:13" s="35" customFormat="1" ht="34.5" customHeight="1" x14ac:dyDescent="0.2">
      <c r="A3" s="335" t="e">
        <f>#REF!</f>
        <v>#REF!</v>
      </c>
      <c r="B3" s="335"/>
      <c r="C3" s="335"/>
      <c r="D3" s="335"/>
      <c r="E3" s="335"/>
      <c r="F3" s="335"/>
      <c r="G3" s="335"/>
      <c r="H3" s="335"/>
      <c r="I3" s="335"/>
    </row>
    <row r="4" spans="1:13" s="4" customFormat="1" ht="15.75" customHeight="1" x14ac:dyDescent="0.2">
      <c r="A4" s="343"/>
      <c r="B4" s="343"/>
      <c r="C4" s="343"/>
      <c r="D4" s="343"/>
      <c r="E4" s="343"/>
      <c r="F4" s="343"/>
      <c r="G4" s="343"/>
      <c r="H4" s="343"/>
      <c r="I4" s="343"/>
    </row>
    <row r="5" spans="1:13" s="37" customFormat="1" ht="36.6" customHeight="1" x14ac:dyDescent="0.35">
      <c r="A5" s="392" t="s">
        <v>13</v>
      </c>
      <c r="B5" s="392" t="s">
        <v>322</v>
      </c>
      <c r="C5" s="392" t="s">
        <v>323</v>
      </c>
      <c r="D5" s="392" t="s">
        <v>324</v>
      </c>
      <c r="E5" s="388" t="s">
        <v>325</v>
      </c>
      <c r="F5" s="388"/>
      <c r="G5" s="388"/>
      <c r="H5" s="388"/>
      <c r="I5" s="388"/>
    </row>
    <row r="6" spans="1:13" s="32" customFormat="1" ht="31.5" customHeight="1" x14ac:dyDescent="0.2">
      <c r="A6" s="392"/>
      <c r="B6" s="392"/>
      <c r="C6" s="392"/>
      <c r="D6" s="392"/>
      <c r="E6" s="38" t="s">
        <v>122</v>
      </c>
      <c r="F6" s="38" t="s">
        <v>123</v>
      </c>
      <c r="G6" s="38" t="s">
        <v>43</v>
      </c>
      <c r="H6" s="38" t="s">
        <v>326</v>
      </c>
      <c r="I6" s="38" t="s">
        <v>327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39">
        <v>1</v>
      </c>
      <c r="B8" s="40"/>
      <c r="C8" s="9" t="s">
        <v>100</v>
      </c>
      <c r="D8" s="41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2"/>
      <c r="L8" s="42"/>
      <c r="M8" s="42"/>
    </row>
    <row r="9" spans="1:13" s="32" customFormat="1" ht="38.25" customHeight="1" x14ac:dyDescent="0.2">
      <c r="A9" s="39">
        <v>2</v>
      </c>
      <c r="B9" s="9" t="s">
        <v>328</v>
      </c>
      <c r="C9" s="9" t="s">
        <v>329</v>
      </c>
      <c r="D9" s="158">
        <v>3.9E-2</v>
      </c>
      <c r="E9" s="34">
        <f>E8*D9</f>
        <v>0.15541851000000001</v>
      </c>
      <c r="F9" s="34">
        <f>F8*D9</f>
        <v>0.12299156999999999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39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39">
        <v>3</v>
      </c>
      <c r="B11" s="9" t="s">
        <v>330</v>
      </c>
      <c r="C11" s="9" t="s">
        <v>279</v>
      </c>
      <c r="D11" s="158">
        <v>2.1000000000000001E-2</v>
      </c>
      <c r="E11" s="34">
        <f>(E8+E9)*D11</f>
        <v>8.6950678710000007E-2</v>
      </c>
      <c r="F11" s="34"/>
      <c r="G11" s="34"/>
      <c r="H11" s="34" t="s">
        <v>143</v>
      </c>
      <c r="I11" s="34">
        <f>E11</f>
        <v>8.6950678710000007E-2</v>
      </c>
    </row>
    <row r="12" spans="1:13" s="32" customFormat="1" ht="45" customHeight="1" x14ac:dyDescent="0.2">
      <c r="A12" s="39">
        <v>4</v>
      </c>
      <c r="B12" s="9" t="s">
        <v>331</v>
      </c>
      <c r="C12" s="9" t="s">
        <v>332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3" t="s">
        <v>333</v>
      </c>
    </row>
    <row r="13" spans="1:13" s="32" customFormat="1" ht="13.15" customHeight="1" x14ac:dyDescent="0.2">
      <c r="A13" s="39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39">
        <v>5</v>
      </c>
      <c r="B14" s="9" t="s">
        <v>281</v>
      </c>
      <c r="C14" s="9" t="s">
        <v>334</v>
      </c>
      <c r="D14" s="158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2.3006417510044002</v>
      </c>
      <c r="I14" s="34">
        <f>H14</f>
        <v>2.3006417510044002</v>
      </c>
      <c r="J14" s="44">
        <f>(I8+I9+I11+I12)/1000</f>
        <v>0.10750662387871</v>
      </c>
    </row>
    <row r="15" spans="1:13" s="32" customFormat="1" ht="13.15" customHeight="1" x14ac:dyDescent="0.2">
      <c r="A15" s="39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39">
        <v>6</v>
      </c>
      <c r="B16" s="9" t="s">
        <v>335</v>
      </c>
      <c r="C16" s="9" t="s">
        <v>336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3" t="s">
        <v>337</v>
      </c>
    </row>
    <row r="17" spans="1:10" s="32" customFormat="1" ht="81.75" customHeight="1" x14ac:dyDescent="0.2">
      <c r="A17" s="39">
        <v>7</v>
      </c>
      <c r="B17" s="9" t="s">
        <v>335</v>
      </c>
      <c r="C17" s="142" t="s">
        <v>338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3"/>
    </row>
    <row r="18" spans="1:10" s="32" customFormat="1" ht="13.15" customHeight="1" x14ac:dyDescent="0.2">
      <c r="A18" s="39"/>
      <c r="B18" s="9"/>
      <c r="C18" s="9"/>
      <c r="D18" s="18"/>
      <c r="E18" s="34"/>
      <c r="F18" s="34"/>
      <c r="G18" s="34"/>
      <c r="H18" s="34"/>
      <c r="I18" s="34"/>
    </row>
    <row r="19" spans="1:10" s="46" customFormat="1" ht="13.15" customHeight="1" x14ac:dyDescent="0.2">
      <c r="A19" s="39">
        <v>8</v>
      </c>
      <c r="B19" s="9"/>
      <c r="C19" s="9" t="s">
        <v>339</v>
      </c>
      <c r="D19" s="45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7.7710448710044</v>
      </c>
      <c r="I19" s="34">
        <f>SUM(I8:I18)</f>
        <v>109.80726562971</v>
      </c>
    </row>
    <row r="20" spans="1:10" s="32" customFormat="1" ht="51" customHeight="1" x14ac:dyDescent="0.2">
      <c r="A20" s="39">
        <v>9</v>
      </c>
      <c r="B20" s="141" t="s">
        <v>340</v>
      </c>
      <c r="C20" s="9" t="s">
        <v>108</v>
      </c>
      <c r="D20" s="47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0.23313134613013001</v>
      </c>
      <c r="I20" s="34">
        <f>I19*3%</f>
        <v>3.2942179688914002</v>
      </c>
    </row>
    <row r="21" spans="1:10" s="35" customFormat="1" ht="13.15" customHeight="1" x14ac:dyDescent="0.2">
      <c r="A21" s="39">
        <v>10</v>
      </c>
      <c r="B21" s="9"/>
      <c r="C21" s="9" t="s">
        <v>341</v>
      </c>
      <c r="D21" s="48"/>
      <c r="E21" s="34"/>
      <c r="F21" s="34"/>
      <c r="G21" s="34"/>
      <c r="H21" s="34"/>
      <c r="I21" s="34">
        <f>I19+I20</f>
        <v>113.10148359861</v>
      </c>
    </row>
    <row r="22" spans="1:10" s="35" customFormat="1" ht="13.15" customHeight="1" x14ac:dyDescent="0.2">
      <c r="A22" s="49"/>
      <c r="B22" s="50"/>
      <c r="C22" s="50"/>
      <c r="D22" s="51"/>
      <c r="E22" s="52"/>
      <c r="F22" s="52"/>
      <c r="G22" s="52"/>
      <c r="H22" s="52"/>
      <c r="I22" s="52"/>
    </row>
    <row r="23" spans="1:10" x14ac:dyDescent="0.25">
      <c r="A23" s="4" t="s">
        <v>111</v>
      </c>
      <c r="B23" s="53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112</v>
      </c>
      <c r="B24" s="53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3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113</v>
      </c>
      <c r="B26" s="53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114</v>
      </c>
      <c r="B27" s="53"/>
      <c r="C27" s="4"/>
      <c r="D27" s="32"/>
      <c r="E27" s="32"/>
      <c r="F27" s="32"/>
      <c r="G27" s="32"/>
      <c r="H27" s="32"/>
      <c r="I27" s="32"/>
    </row>
    <row r="28" spans="1:10" x14ac:dyDescent="0.25">
      <c r="B28" s="54"/>
    </row>
    <row r="29" spans="1:10" x14ac:dyDescent="0.25">
      <c r="B29" s="54"/>
    </row>
    <row r="30" spans="1:10" x14ac:dyDescent="0.25">
      <c r="B30" s="54"/>
    </row>
    <row r="31" spans="1:10" x14ac:dyDescent="0.25">
      <c r="B31" s="54"/>
    </row>
    <row r="32" spans="1:10" x14ac:dyDescent="0.25">
      <c r="B32" s="54"/>
    </row>
    <row r="33" spans="2:2" x14ac:dyDescent="0.25">
      <c r="B33" s="54"/>
    </row>
    <row r="34" spans="2:2" x14ac:dyDescent="0.25">
      <c r="B34" s="54"/>
    </row>
    <row r="35" spans="2:2" x14ac:dyDescent="0.25">
      <c r="B35" s="54"/>
    </row>
    <row r="36" spans="2:2" x14ac:dyDescent="0.25">
      <c r="B36" s="54"/>
    </row>
    <row r="37" spans="2:2" x14ac:dyDescent="0.25">
      <c r="B37" s="54"/>
    </row>
    <row r="38" spans="2:2" x14ac:dyDescent="0.25">
      <c r="B38" s="54"/>
    </row>
    <row r="39" spans="2:2" x14ac:dyDescent="0.25">
      <c r="B39" s="54"/>
    </row>
    <row r="40" spans="2:2" x14ac:dyDescent="0.25">
      <c r="B40" s="54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5" customWidth="1"/>
    <col min="3" max="3" width="66.42578125" style="55" customWidth="1"/>
    <col min="4" max="4" width="12.7109375" style="55" customWidth="1" outlineLevel="1"/>
    <col min="5" max="5" width="13.7109375" style="55" customWidth="1" outlineLevel="1"/>
    <col min="6" max="6" width="12.28515625" style="55" customWidth="1" outlineLevel="1"/>
    <col min="7" max="7" width="14.42578125" style="56" customWidth="1" outlineLevel="1"/>
    <col min="8" max="8" width="12.7109375" style="56" customWidth="1" outlineLevel="1"/>
    <col min="9" max="9" width="17.42578125" style="56" customWidth="1"/>
    <col min="10" max="10" width="12.7109375" style="55" customWidth="1"/>
    <col min="11" max="11" width="14.28515625" style="55" customWidth="1"/>
    <col min="12" max="12" width="14.5703125" style="55" customWidth="1"/>
    <col min="13" max="13" width="14.28515625" style="55" customWidth="1"/>
    <col min="14" max="14" width="12.7109375" style="55" customWidth="1"/>
    <col min="15" max="15" width="26.140625" style="55" customWidth="1"/>
    <col min="16" max="16" width="15.7109375" style="57" customWidth="1"/>
    <col min="17" max="17" width="9.28515625" style="57"/>
  </cols>
  <sheetData>
    <row r="2" spans="1:16" x14ac:dyDescent="0.25">
      <c r="N2" s="394" t="s">
        <v>342</v>
      </c>
      <c r="O2" s="394"/>
    </row>
    <row r="3" spans="1:16" x14ac:dyDescent="0.25">
      <c r="A3" s="395" t="s">
        <v>343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</row>
    <row r="5" spans="1:16" s="55" customFormat="1" ht="37.5" customHeight="1" x14ac:dyDescent="0.25">
      <c r="A5" s="396" t="s">
        <v>344</v>
      </c>
      <c r="B5" s="399" t="s">
        <v>345</v>
      </c>
      <c r="C5" s="402" t="s">
        <v>346</v>
      </c>
      <c r="D5" s="405" t="s">
        <v>347</v>
      </c>
      <c r="E5" s="406"/>
      <c r="F5" s="406"/>
      <c r="G5" s="406"/>
      <c r="H5" s="406"/>
      <c r="I5" s="405" t="s">
        <v>348</v>
      </c>
      <c r="J5" s="406"/>
      <c r="K5" s="406"/>
      <c r="L5" s="406"/>
      <c r="M5" s="406"/>
      <c r="N5" s="406"/>
      <c r="O5" s="58" t="s">
        <v>349</v>
      </c>
    </row>
    <row r="6" spans="1:16" s="61" customFormat="1" ht="150" customHeight="1" x14ac:dyDescent="0.25">
      <c r="A6" s="397"/>
      <c r="B6" s="400"/>
      <c r="C6" s="403"/>
      <c r="D6" s="402" t="s">
        <v>350</v>
      </c>
      <c r="E6" s="407" t="s">
        <v>351</v>
      </c>
      <c r="F6" s="408"/>
      <c r="G6" s="409"/>
      <c r="H6" s="59" t="s">
        <v>352</v>
      </c>
      <c r="I6" s="410" t="s">
        <v>353</v>
      </c>
      <c r="J6" s="410" t="s">
        <v>350</v>
      </c>
      <c r="K6" s="411" t="s">
        <v>351</v>
      </c>
      <c r="L6" s="411"/>
      <c r="M6" s="411"/>
      <c r="N6" s="59" t="s">
        <v>352</v>
      </c>
      <c r="O6" s="60" t="s">
        <v>354</v>
      </c>
    </row>
    <row r="7" spans="1:16" s="61" customFormat="1" ht="30.75" customHeight="1" x14ac:dyDescent="0.25">
      <c r="A7" s="398"/>
      <c r="B7" s="401"/>
      <c r="C7" s="404"/>
      <c r="D7" s="404"/>
      <c r="E7" s="58" t="s">
        <v>122</v>
      </c>
      <c r="F7" s="58" t="s">
        <v>123</v>
      </c>
      <c r="G7" s="58" t="s">
        <v>43</v>
      </c>
      <c r="H7" s="62" t="s">
        <v>355</v>
      </c>
      <c r="I7" s="410"/>
      <c r="J7" s="410"/>
      <c r="K7" s="58" t="s">
        <v>122</v>
      </c>
      <c r="L7" s="58" t="s">
        <v>123</v>
      </c>
      <c r="M7" s="58" t="s">
        <v>43</v>
      </c>
      <c r="N7" s="62" t="s">
        <v>355</v>
      </c>
      <c r="O7" s="58" t="s">
        <v>356</v>
      </c>
    </row>
    <row r="8" spans="1:16" s="61" customFormat="1" x14ac:dyDescent="0.25">
      <c r="A8" s="63">
        <v>1</v>
      </c>
      <c r="B8" s="63">
        <v>2</v>
      </c>
      <c r="C8" s="63">
        <v>3</v>
      </c>
      <c r="D8" s="63">
        <v>4</v>
      </c>
      <c r="E8" s="63">
        <v>5</v>
      </c>
      <c r="F8" s="63">
        <v>6</v>
      </c>
      <c r="G8" s="63">
        <v>7</v>
      </c>
      <c r="H8" s="63">
        <v>8</v>
      </c>
      <c r="I8" s="63">
        <v>9</v>
      </c>
      <c r="J8" s="63">
        <v>10</v>
      </c>
      <c r="K8" s="63">
        <v>11</v>
      </c>
      <c r="L8" s="63">
        <v>12</v>
      </c>
      <c r="M8" s="63">
        <v>13</v>
      </c>
      <c r="N8" s="63">
        <v>14</v>
      </c>
      <c r="O8" s="63">
        <v>15</v>
      </c>
    </row>
    <row r="9" spans="1:16" s="61" customFormat="1" ht="102.75" customHeight="1" x14ac:dyDescent="0.25">
      <c r="A9" s="63">
        <v>1</v>
      </c>
      <c r="B9" s="396" t="s">
        <v>357</v>
      </c>
      <c r="C9" s="64" t="s">
        <v>358</v>
      </c>
      <c r="D9" s="65">
        <f t="shared" ref="D9:D15" si="0">SUM(E9:G9)</f>
        <v>583.41863000000001</v>
      </c>
      <c r="E9" s="66">
        <f>340656.93/1000</f>
        <v>340.65692999999999</v>
      </c>
      <c r="F9" s="66">
        <f>242761.7/1000</f>
        <v>242.76169999999999</v>
      </c>
      <c r="G9" s="66">
        <v>0</v>
      </c>
      <c r="H9" s="65">
        <f>(713.49*0.8)/1000</f>
        <v>0.57079199999999997</v>
      </c>
      <c r="I9" s="65">
        <v>11656.266250000001</v>
      </c>
      <c r="J9" s="65">
        <f t="shared" ref="J9:J15" si="1">K9+L9+M9</f>
        <v>3553.0194566999999</v>
      </c>
      <c r="K9" s="66">
        <f>E9*H22</f>
        <v>2074.6007036999999</v>
      </c>
      <c r="L9" s="66">
        <f>F9*H22</f>
        <v>1478.4187529999999</v>
      </c>
      <c r="M9" s="66">
        <f>G9*H24</f>
        <v>0</v>
      </c>
      <c r="N9" s="65">
        <f>H9*H25</f>
        <v>6.48990504</v>
      </c>
      <c r="O9" s="67">
        <f t="shared" ref="O9:O15" si="2">N9/(L9+M9)</f>
        <v>4.389761038157E-3</v>
      </c>
    </row>
    <row r="10" spans="1:16" s="61" customFormat="1" ht="54.75" customHeight="1" x14ac:dyDescent="0.25">
      <c r="A10" s="62">
        <v>2</v>
      </c>
      <c r="B10" s="398"/>
      <c r="C10" s="68" t="s">
        <v>359</v>
      </c>
      <c r="D10" s="65">
        <f t="shared" si="0"/>
        <v>2228.558</v>
      </c>
      <c r="E10" s="65">
        <f>430700/1000</f>
        <v>430.7</v>
      </c>
      <c r="F10" s="65">
        <f>1797858/1000</f>
        <v>1797.8579999999999</v>
      </c>
      <c r="G10" s="65">
        <v>0</v>
      </c>
      <c r="H10" s="65">
        <f>1685/1000</f>
        <v>1.6850000000000001</v>
      </c>
      <c r="I10" s="65">
        <f>15834377.63/1000</f>
        <v>15834.377630000001</v>
      </c>
      <c r="J10" s="65">
        <f t="shared" si="1"/>
        <v>14351.91352</v>
      </c>
      <c r="K10" s="66">
        <f>E10*I22</f>
        <v>2773.7080000000001</v>
      </c>
      <c r="L10" s="66">
        <f>F10*I22</f>
        <v>11578.20552</v>
      </c>
      <c r="M10" s="66">
        <f>G10*I24</f>
        <v>0</v>
      </c>
      <c r="N10" s="65">
        <f>H10*I25</f>
        <v>14.1877</v>
      </c>
      <c r="O10" s="67">
        <f t="shared" si="2"/>
        <v>1.2253798721652001E-3</v>
      </c>
      <c r="P10" s="69"/>
    </row>
    <row r="11" spans="1:16" s="61" customFormat="1" ht="24.6" customHeight="1" x14ac:dyDescent="0.25">
      <c r="A11" s="63">
        <v>3</v>
      </c>
      <c r="B11" s="396" t="s">
        <v>360</v>
      </c>
      <c r="C11" s="68" t="s">
        <v>361</v>
      </c>
      <c r="D11" s="65">
        <f t="shared" si="0"/>
        <v>22378.080000000002</v>
      </c>
      <c r="E11" s="66">
        <v>15858.44</v>
      </c>
      <c r="F11" s="66">
        <v>6519.64</v>
      </c>
      <c r="G11" s="66">
        <v>0</v>
      </c>
      <c r="H11" s="65">
        <v>9.7100000000000009</v>
      </c>
      <c r="I11" s="65">
        <v>170961.79</v>
      </c>
      <c r="J11" s="65">
        <f t="shared" si="1"/>
        <v>129121.52159999999</v>
      </c>
      <c r="K11" s="65">
        <f>E11*J22</f>
        <v>91503.198799999998</v>
      </c>
      <c r="L11" s="65">
        <f>F11*J22</f>
        <v>37618.322800000002</v>
      </c>
      <c r="M11" s="65">
        <f>G11*J24</f>
        <v>0</v>
      </c>
      <c r="N11" s="65">
        <f>H11*J25</f>
        <v>154.48609999999999</v>
      </c>
      <c r="O11" s="67">
        <f t="shared" si="2"/>
        <v>4.1066716562919003E-3</v>
      </c>
    </row>
    <row r="12" spans="1:16" s="61" customFormat="1" ht="31.9" customHeight="1" x14ac:dyDescent="0.25">
      <c r="A12" s="62">
        <v>4</v>
      </c>
      <c r="B12" s="398"/>
      <c r="C12" s="68" t="s">
        <v>362</v>
      </c>
      <c r="D12" s="65">
        <f t="shared" si="0"/>
        <v>93405.18</v>
      </c>
      <c r="E12" s="66">
        <v>53163.12</v>
      </c>
      <c r="F12" s="66">
        <v>40153.81</v>
      </c>
      <c r="G12" s="66">
        <v>88.25</v>
      </c>
      <c r="H12" s="65">
        <v>33.76</v>
      </c>
      <c r="I12" s="65">
        <v>725870.83</v>
      </c>
      <c r="J12" s="65">
        <f t="shared" si="1"/>
        <v>538845.47</v>
      </c>
      <c r="K12" s="65">
        <v>306751.18</v>
      </c>
      <c r="L12" s="65">
        <v>231687.44</v>
      </c>
      <c r="M12" s="65">
        <v>406.85</v>
      </c>
      <c r="N12" s="65">
        <v>537.07000000000005</v>
      </c>
      <c r="O12" s="67">
        <f t="shared" si="2"/>
        <v>2.3140164284093001E-3</v>
      </c>
    </row>
    <row r="13" spans="1:16" s="61" customFormat="1" ht="60" customHeight="1" x14ac:dyDescent="0.25">
      <c r="A13" s="63">
        <v>5</v>
      </c>
      <c r="B13" s="396" t="s">
        <v>363</v>
      </c>
      <c r="C13" s="64" t="s">
        <v>364</v>
      </c>
      <c r="D13" s="65">
        <f t="shared" si="0"/>
        <v>52119.83</v>
      </c>
      <c r="E13" s="66">
        <v>15198.48</v>
      </c>
      <c r="F13" s="66">
        <v>31977.3</v>
      </c>
      <c r="G13" s="66">
        <v>4944.05</v>
      </c>
      <c r="H13" s="65">
        <v>16.13</v>
      </c>
      <c r="I13" s="65">
        <v>2024759.04</v>
      </c>
      <c r="J13" s="65">
        <f t="shared" si="1"/>
        <v>267889.86339999997</v>
      </c>
      <c r="K13" s="66">
        <f>E13*L22</f>
        <v>79488.050399999993</v>
      </c>
      <c r="L13" s="66">
        <f>F13*L22</f>
        <v>167241.27900000001</v>
      </c>
      <c r="M13" s="66">
        <f>G13*L24</f>
        <v>21160.534</v>
      </c>
      <c r="N13" s="65">
        <f>H13*L25</f>
        <v>231.46549999999999</v>
      </c>
      <c r="O13" s="67">
        <f t="shared" si="2"/>
        <v>1.2285736337367E-3</v>
      </c>
    </row>
    <row r="14" spans="1:16" s="61" customFormat="1" ht="39.6" customHeight="1" x14ac:dyDescent="0.25">
      <c r="A14" s="62">
        <v>6</v>
      </c>
      <c r="B14" s="398"/>
      <c r="C14" s="68" t="s">
        <v>365</v>
      </c>
      <c r="D14" s="65">
        <f t="shared" si="0"/>
        <v>89613.6</v>
      </c>
      <c r="E14" s="65">
        <v>44598.73</v>
      </c>
      <c r="F14" s="65">
        <v>40017</v>
      </c>
      <c r="G14" s="65">
        <v>4997.87</v>
      </c>
      <c r="H14" s="65">
        <f>7.69+81.8</f>
        <v>89.49</v>
      </c>
      <c r="I14" s="65">
        <v>738823.57</v>
      </c>
      <c r="J14" s="65">
        <f t="shared" si="1"/>
        <v>511472.85759999999</v>
      </c>
      <c r="K14" s="66">
        <f>E14*M22</f>
        <v>257334.6721</v>
      </c>
      <c r="L14" s="66">
        <f>F14*M22</f>
        <v>230898.09</v>
      </c>
      <c r="M14" s="66">
        <f>G14*M24</f>
        <v>23240.095499999999</v>
      </c>
      <c r="N14" s="65">
        <f>H14*M25</f>
        <v>1423.7859000000001</v>
      </c>
      <c r="O14" s="67">
        <f t="shared" si="2"/>
        <v>5.6024083795152002E-3</v>
      </c>
    </row>
    <row r="15" spans="1:16" s="61" customFormat="1" ht="46.15" customHeight="1" x14ac:dyDescent="0.25">
      <c r="A15" s="63">
        <v>7</v>
      </c>
      <c r="B15" s="70" t="s">
        <v>366</v>
      </c>
      <c r="C15" s="68" t="s">
        <v>367</v>
      </c>
      <c r="D15" s="65">
        <f t="shared" si="0"/>
        <v>981651.63</v>
      </c>
      <c r="E15" s="66">
        <v>448398.51</v>
      </c>
      <c r="F15" s="66">
        <v>486091.33</v>
      </c>
      <c r="G15" s="66">
        <v>47161.79</v>
      </c>
      <c r="H15" s="65">
        <v>143.03</v>
      </c>
      <c r="I15" s="65">
        <v>16001185.93</v>
      </c>
      <c r="J15" s="65">
        <f t="shared" si="1"/>
        <v>6269109.2307000002</v>
      </c>
      <c r="K15" s="65">
        <f>123094.59*N22+325303.92*N23</f>
        <v>2908258.6863000002</v>
      </c>
      <c r="L15" s="65">
        <f>110226.08*N22+375865.25*N23</f>
        <v>3158998.0832000002</v>
      </c>
      <c r="M15" s="65">
        <f>G15*N24</f>
        <v>201852.46119999999</v>
      </c>
      <c r="N15" s="65">
        <f>H15*N25</f>
        <v>1185.7186999999999</v>
      </c>
      <c r="O15" s="67">
        <f t="shared" si="2"/>
        <v>3.5280316227560002E-4</v>
      </c>
    </row>
    <row r="16" spans="1:16" s="61" customFormat="1" ht="24" customHeight="1" x14ac:dyDescent="0.25">
      <c r="A16" s="71"/>
      <c r="B16" s="71"/>
      <c r="C16" s="72" t="s">
        <v>368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>
        <f>(O9+O10+O11+O12+O13+O14+O15)/7</f>
        <v>2.7456591672216E-3</v>
      </c>
    </row>
    <row r="17" spans="1:15" s="61" customFormat="1" ht="18.75" customHeight="1" x14ac:dyDescent="0.25">
      <c r="A17" s="75"/>
      <c r="B17" s="75"/>
      <c r="C17" s="76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</row>
    <row r="18" spans="1:15" ht="21" customHeight="1" x14ac:dyDescent="0.25">
      <c r="C18" s="79" t="s">
        <v>369</v>
      </c>
    </row>
    <row r="19" spans="1:15" ht="30.75" customHeight="1" x14ac:dyDescent="0.25">
      <c r="L19" s="80"/>
    </row>
    <row r="20" spans="1:15" ht="15" customHeight="1" outlineLevel="1" x14ac:dyDescent="0.25">
      <c r="G20" s="393" t="s">
        <v>370</v>
      </c>
      <c r="H20" s="393"/>
      <c r="I20" s="393"/>
      <c r="J20" s="393"/>
      <c r="K20" s="393"/>
      <c r="L20" s="393"/>
      <c r="M20" s="393"/>
      <c r="N20" s="393"/>
      <c r="O20" s="57"/>
    </row>
    <row r="21" spans="1:15" ht="15.75" customHeight="1" outlineLevel="1" x14ac:dyDescent="0.25">
      <c r="G21" s="81"/>
      <c r="H21" s="81" t="s">
        <v>371</v>
      </c>
      <c r="I21" s="81" t="s">
        <v>372</v>
      </c>
      <c r="J21" s="82" t="s">
        <v>373</v>
      </c>
      <c r="K21" s="83" t="s">
        <v>374</v>
      </c>
      <c r="L21" s="81" t="s">
        <v>375</v>
      </c>
      <c r="M21" s="81" t="s">
        <v>376</v>
      </c>
      <c r="N21" s="82" t="s">
        <v>377</v>
      </c>
      <c r="O21" s="84"/>
    </row>
    <row r="22" spans="1:15" ht="15.75" customHeight="1" outlineLevel="1" x14ac:dyDescent="0.25">
      <c r="G22" s="413" t="s">
        <v>378</v>
      </c>
      <c r="H22" s="412">
        <v>6.09</v>
      </c>
      <c r="I22" s="414">
        <v>6.44</v>
      </c>
      <c r="J22" s="412">
        <v>5.77</v>
      </c>
      <c r="K22" s="414">
        <v>5.77</v>
      </c>
      <c r="L22" s="412">
        <v>5.23</v>
      </c>
      <c r="M22" s="412">
        <v>5.77</v>
      </c>
      <c r="N22" s="85">
        <v>6.29</v>
      </c>
      <c r="O22" s="56" t="s">
        <v>379</v>
      </c>
    </row>
    <row r="23" spans="1:15" ht="15.75" customHeight="1" outlineLevel="1" x14ac:dyDescent="0.25">
      <c r="G23" s="413"/>
      <c r="H23" s="412"/>
      <c r="I23" s="414"/>
      <c r="J23" s="412"/>
      <c r="K23" s="414"/>
      <c r="L23" s="412"/>
      <c r="M23" s="412"/>
      <c r="N23" s="85">
        <v>6.56</v>
      </c>
      <c r="O23" s="56" t="s">
        <v>380</v>
      </c>
    </row>
    <row r="24" spans="1:15" ht="15.75" customHeight="1" outlineLevel="1" x14ac:dyDescent="0.25">
      <c r="G24" s="86" t="s">
        <v>381</v>
      </c>
      <c r="H24" s="87">
        <v>4.46</v>
      </c>
      <c r="I24" s="88">
        <v>4.28</v>
      </c>
      <c r="J24" s="89">
        <v>4.6500000000000004</v>
      </c>
      <c r="K24" s="83">
        <v>4.6100000000000003</v>
      </c>
      <c r="L24" s="87">
        <v>4.28</v>
      </c>
      <c r="M24" s="85">
        <v>4.6500000000000004</v>
      </c>
      <c r="N24" s="85">
        <v>4.28</v>
      </c>
      <c r="O24" s="84"/>
    </row>
    <row r="25" spans="1:15" ht="15.75" customHeight="1" outlineLevel="1" x14ac:dyDescent="0.25">
      <c r="G25" s="86" t="s">
        <v>355</v>
      </c>
      <c r="H25" s="87">
        <v>11.37</v>
      </c>
      <c r="I25" s="90">
        <v>8.42</v>
      </c>
      <c r="J25" s="89">
        <v>15.91</v>
      </c>
      <c r="K25" s="83">
        <v>15.91</v>
      </c>
      <c r="L25" s="87">
        <v>14.35</v>
      </c>
      <c r="M25" s="85">
        <v>15.91</v>
      </c>
      <c r="N25" s="85">
        <v>8.2899999999999991</v>
      </c>
      <c r="O25" s="84"/>
    </row>
    <row r="26" spans="1:15" s="55" customFormat="1" ht="31.5" customHeight="1" outlineLevel="1" x14ac:dyDescent="0.25">
      <c r="G26" s="86" t="s">
        <v>382</v>
      </c>
      <c r="H26" s="87">
        <v>3.83</v>
      </c>
      <c r="I26" s="88">
        <v>3.95</v>
      </c>
      <c r="J26" s="89">
        <v>4.1500000000000004</v>
      </c>
      <c r="K26" s="83">
        <v>3.83</v>
      </c>
      <c r="L26" s="83">
        <v>3.95</v>
      </c>
      <c r="M26" s="85">
        <v>4.09</v>
      </c>
      <c r="N26" s="85">
        <v>3.95</v>
      </c>
      <c r="O26" s="84"/>
    </row>
    <row r="27" spans="1:15" s="55" customFormat="1" ht="31.5" customHeight="1" outlineLevel="1" x14ac:dyDescent="0.25">
      <c r="G27" s="86" t="s">
        <v>383</v>
      </c>
      <c r="H27" s="87">
        <v>3.91</v>
      </c>
      <c r="I27" s="88">
        <v>3.99</v>
      </c>
      <c r="J27" s="89">
        <v>4.2300000000000004</v>
      </c>
      <c r="K27" s="83">
        <v>3.91</v>
      </c>
      <c r="L27" s="83">
        <v>3.99</v>
      </c>
      <c r="M27" s="85">
        <v>4.17</v>
      </c>
      <c r="N27" s="85">
        <v>3.99</v>
      </c>
      <c r="O27" s="84"/>
    </row>
    <row r="28" spans="1:15" s="55" customFormat="1" ht="15.75" customHeight="1" outlineLevel="1" x14ac:dyDescent="0.25">
      <c r="G28" s="86" t="s">
        <v>326</v>
      </c>
      <c r="H28" s="87">
        <v>8.7899999999999991</v>
      </c>
      <c r="I28" s="87">
        <v>8.7899999999999991</v>
      </c>
      <c r="J28" s="89">
        <v>9.19</v>
      </c>
      <c r="K28" s="83">
        <v>9.1</v>
      </c>
      <c r="L28" s="87">
        <v>8.42</v>
      </c>
      <c r="M28" s="85">
        <v>9.19</v>
      </c>
      <c r="N28" s="85">
        <v>8.42</v>
      </c>
      <c r="O28" s="84"/>
    </row>
    <row r="29" spans="1:15" s="55" customFormat="1" x14ac:dyDescent="0.25">
      <c r="G29" s="56"/>
      <c r="H29" s="56"/>
      <c r="I29" s="56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92" customWidth="1"/>
    <col min="2" max="2" width="9.85546875" style="92" customWidth="1"/>
    <col min="3" max="3" width="65.140625" style="92" customWidth="1"/>
    <col min="4" max="4" width="18.7109375" style="92" customWidth="1"/>
    <col min="5" max="5" width="17.7109375" style="92" customWidth="1"/>
    <col min="6" max="6" width="12.7109375" style="92" customWidth="1"/>
    <col min="7" max="7" width="14.28515625" style="92" customWidth="1"/>
    <col min="8" max="8" width="13.85546875" style="92" customWidth="1"/>
    <col min="9" max="9" width="17.140625" style="92" customWidth="1"/>
    <col min="10" max="10" width="14.42578125" style="92" customWidth="1"/>
    <col min="11" max="12" width="12.7109375" style="92" customWidth="1"/>
    <col min="13" max="13" width="15.7109375" style="92" customWidth="1"/>
    <col min="14" max="14" width="18.42578125" style="92" customWidth="1"/>
    <col min="15" max="15" width="18.7109375" style="92" customWidth="1"/>
    <col min="16" max="16" width="18" style="92" customWidth="1"/>
    <col min="17" max="17" width="17" style="92" customWidth="1"/>
    <col min="18" max="18" width="16.5703125" style="93" customWidth="1"/>
    <col min="19" max="19" width="9.28515625" style="57"/>
  </cols>
  <sheetData>
    <row r="2" spans="1:18" ht="18.75" customHeight="1" x14ac:dyDescent="0.25">
      <c r="A2" s="430" t="s">
        <v>384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</row>
    <row r="4" spans="1:18" ht="36.75" customHeight="1" x14ac:dyDescent="0.25">
      <c r="A4" s="396" t="s">
        <v>344</v>
      </c>
      <c r="B4" s="399" t="s">
        <v>345</v>
      </c>
      <c r="C4" s="402" t="s">
        <v>385</v>
      </c>
      <c r="D4" s="402" t="s">
        <v>386</v>
      </c>
      <c r="E4" s="405" t="s">
        <v>387</v>
      </c>
      <c r="F4" s="406"/>
      <c r="G4" s="406"/>
      <c r="H4" s="406"/>
      <c r="I4" s="406"/>
      <c r="J4" s="406"/>
      <c r="K4" s="406"/>
      <c r="L4" s="406"/>
      <c r="M4" s="406"/>
      <c r="N4" s="431" t="s">
        <v>388</v>
      </c>
      <c r="O4" s="432"/>
      <c r="P4" s="432"/>
      <c r="Q4" s="432"/>
      <c r="R4" s="433"/>
    </row>
    <row r="5" spans="1:18" ht="60" customHeight="1" x14ac:dyDescent="0.25">
      <c r="A5" s="397"/>
      <c r="B5" s="400"/>
      <c r="C5" s="403"/>
      <c r="D5" s="403"/>
      <c r="E5" s="410" t="s">
        <v>389</v>
      </c>
      <c r="F5" s="410" t="s">
        <v>390</v>
      </c>
      <c r="G5" s="407" t="s">
        <v>351</v>
      </c>
      <c r="H5" s="408"/>
      <c r="I5" s="408"/>
      <c r="J5" s="409"/>
      <c r="K5" s="410" t="s">
        <v>391</v>
      </c>
      <c r="L5" s="410"/>
      <c r="M5" s="410"/>
      <c r="N5" s="94" t="s">
        <v>392</v>
      </c>
      <c r="O5" s="94" t="s">
        <v>393</v>
      </c>
      <c r="P5" s="95" t="s">
        <v>394</v>
      </c>
      <c r="Q5" s="96" t="s">
        <v>395</v>
      </c>
      <c r="R5" s="95" t="s">
        <v>396</v>
      </c>
    </row>
    <row r="6" spans="1:18" ht="49.5" customHeight="1" x14ac:dyDescent="0.25">
      <c r="A6" s="398"/>
      <c r="B6" s="401"/>
      <c r="C6" s="404"/>
      <c r="D6" s="404"/>
      <c r="E6" s="410"/>
      <c r="F6" s="410"/>
      <c r="G6" s="58" t="s">
        <v>122</v>
      </c>
      <c r="H6" s="58" t="s">
        <v>123</v>
      </c>
      <c r="I6" s="97" t="s">
        <v>43</v>
      </c>
      <c r="J6" s="97" t="s">
        <v>326</v>
      </c>
      <c r="K6" s="58" t="s">
        <v>392</v>
      </c>
      <c r="L6" s="58" t="s">
        <v>393</v>
      </c>
      <c r="M6" s="58" t="s">
        <v>394</v>
      </c>
      <c r="N6" s="97" t="s">
        <v>397</v>
      </c>
      <c r="O6" s="97" t="s">
        <v>398</v>
      </c>
      <c r="P6" s="97" t="s">
        <v>399</v>
      </c>
      <c r="Q6" s="98" t="s">
        <v>400</v>
      </c>
      <c r="R6" s="99" t="s">
        <v>401</v>
      </c>
    </row>
    <row r="7" spans="1:18" ht="16.5" customHeight="1" x14ac:dyDescent="0.25">
      <c r="A7" s="100"/>
      <c r="B7" s="101"/>
      <c r="C7" s="102"/>
      <c r="D7" s="102"/>
      <c r="E7" s="91"/>
      <c r="F7" s="91"/>
      <c r="G7" s="91"/>
      <c r="H7" s="91"/>
      <c r="I7" s="102"/>
      <c r="J7" s="102"/>
      <c r="K7" s="91"/>
      <c r="L7" s="91"/>
      <c r="M7" s="91"/>
      <c r="N7" s="102"/>
      <c r="O7" s="102"/>
      <c r="P7" s="102"/>
      <c r="Q7" s="98"/>
      <c r="R7" s="103"/>
    </row>
    <row r="8" spans="1:18" x14ac:dyDescent="0.25">
      <c r="A8" s="100">
        <v>1</v>
      </c>
      <c r="B8" s="100"/>
      <c r="C8" s="100">
        <v>2</v>
      </c>
      <c r="D8" s="100">
        <v>3</v>
      </c>
      <c r="E8" s="100">
        <v>4</v>
      </c>
      <c r="F8" s="100">
        <v>5</v>
      </c>
      <c r="G8" s="100">
        <v>6</v>
      </c>
      <c r="H8" s="100">
        <v>7</v>
      </c>
      <c r="I8" s="100">
        <v>8</v>
      </c>
      <c r="J8" s="100">
        <v>9</v>
      </c>
      <c r="K8" s="100">
        <v>10</v>
      </c>
      <c r="L8" s="100">
        <v>11</v>
      </c>
      <c r="M8" s="100">
        <v>12</v>
      </c>
      <c r="N8" s="100">
        <v>13</v>
      </c>
      <c r="O8" s="100">
        <v>14</v>
      </c>
      <c r="P8" s="100">
        <v>15</v>
      </c>
      <c r="Q8" s="100">
        <v>16</v>
      </c>
      <c r="R8" s="100">
        <v>17</v>
      </c>
    </row>
    <row r="9" spans="1:18" ht="102.6" customHeight="1" x14ac:dyDescent="0.25">
      <c r="A9" s="396">
        <v>1</v>
      </c>
      <c r="B9" s="396" t="s">
        <v>402</v>
      </c>
      <c r="C9" s="423" t="s">
        <v>358</v>
      </c>
      <c r="D9" s="104" t="s">
        <v>403</v>
      </c>
      <c r="E9" s="105">
        <v>11656.266250000001</v>
      </c>
      <c r="F9" s="105">
        <f t="shared" ref="F9:F14" si="0">G9+H9+I9</f>
        <v>9442.6878704999999</v>
      </c>
      <c r="G9" s="105">
        <f>G10*E28</f>
        <v>2331.6699567000001</v>
      </c>
      <c r="H9" s="105">
        <f>H10*E28</f>
        <v>1695.3600216</v>
      </c>
      <c r="I9" s="105">
        <f>I10*E30</f>
        <v>5415.6578921999999</v>
      </c>
      <c r="J9" s="105"/>
      <c r="K9" s="105">
        <f>K10*1.19*E33</f>
        <v>136.37044035299999</v>
      </c>
      <c r="L9" s="105">
        <v>0</v>
      </c>
      <c r="M9" s="105">
        <f>M10*1.266*E34</f>
        <v>66.539350027799998</v>
      </c>
      <c r="N9" s="106">
        <f t="shared" ref="N9:N22" si="1">K9/(G9+H9)</f>
        <v>3.3863775806946002E-2</v>
      </c>
      <c r="O9" s="106">
        <f t="shared" ref="O9:O22" si="2">L9/(G9+H9)</f>
        <v>0</v>
      </c>
      <c r="P9" s="106">
        <f t="shared" ref="P9:P22" si="3">M9/(G9+H9)</f>
        <v>1.652318219292E-2</v>
      </c>
      <c r="Q9" s="107">
        <v>0</v>
      </c>
      <c r="R9" s="108">
        <f>N9+O9+P9+Q9</f>
        <v>5.0386957999864999E-2</v>
      </c>
    </row>
    <row r="10" spans="1:18" ht="72.599999999999994" hidden="1" customHeight="1" x14ac:dyDescent="0.25">
      <c r="A10" s="398"/>
      <c r="B10" s="397"/>
      <c r="C10" s="424"/>
      <c r="D10" s="104" t="s">
        <v>404</v>
      </c>
      <c r="E10" s="105">
        <v>2179.8248199999998</v>
      </c>
      <c r="F10" s="105">
        <f t="shared" si="0"/>
        <v>1875.52594</v>
      </c>
      <c r="G10" s="105">
        <f>382868.63/1000</f>
        <v>382.86863</v>
      </c>
      <c r="H10" s="105">
        <f>278384.24/1000</f>
        <v>278.38423999999998</v>
      </c>
      <c r="I10" s="105">
        <f>1214273.07/1000</f>
        <v>1214.27307</v>
      </c>
      <c r="J10" s="105"/>
      <c r="K10" s="105">
        <f>29920.89/1000</f>
        <v>29.92089</v>
      </c>
      <c r="L10" s="105">
        <v>0</v>
      </c>
      <c r="M10" s="105">
        <f>13442.13/1000</f>
        <v>13.442130000000001</v>
      </c>
      <c r="N10" s="106">
        <f t="shared" si="1"/>
        <v>4.5248786595059001E-2</v>
      </c>
      <c r="O10" s="106">
        <f t="shared" si="2"/>
        <v>0</v>
      </c>
      <c r="P10" s="106">
        <f t="shared" si="3"/>
        <v>2.0328274718868E-2</v>
      </c>
      <c r="Q10" s="107">
        <v>0</v>
      </c>
      <c r="R10" s="108"/>
    </row>
    <row r="11" spans="1:18" ht="192.75" customHeight="1" x14ac:dyDescent="0.25">
      <c r="A11" s="396">
        <v>2</v>
      </c>
      <c r="B11" s="397"/>
      <c r="C11" s="423" t="s">
        <v>405</v>
      </c>
      <c r="D11" s="109" t="s">
        <v>403</v>
      </c>
      <c r="E11" s="105">
        <v>688044.21</v>
      </c>
      <c r="F11" s="105">
        <f t="shared" si="0"/>
        <v>521424.06839999999</v>
      </c>
      <c r="G11" s="105">
        <f>G12*F28</f>
        <v>99804.705000000002</v>
      </c>
      <c r="H11" s="105">
        <f>H12*F28</f>
        <v>246917.90760000001</v>
      </c>
      <c r="I11" s="105">
        <f>I12*F30</f>
        <v>174701.4558</v>
      </c>
      <c r="J11" s="105"/>
      <c r="K11" s="105">
        <f>K12*1.19*F33</f>
        <v>8486.4829769999997</v>
      </c>
      <c r="L11" s="105">
        <f>L12*1.19*F33</f>
        <v>11572.501646999999</v>
      </c>
      <c r="M11" s="105">
        <f>M12*1.266*F34</f>
        <v>3883.6190735999999</v>
      </c>
      <c r="N11" s="106">
        <f t="shared" si="1"/>
        <v>2.4476289311970999E-2</v>
      </c>
      <c r="O11" s="106">
        <f t="shared" si="2"/>
        <v>3.3376829853179003E-2</v>
      </c>
      <c r="P11" s="106">
        <f t="shared" si="3"/>
        <v>1.1200939692042E-2</v>
      </c>
      <c r="Q11" s="107">
        <v>0</v>
      </c>
      <c r="R11" s="108">
        <f>N11+O11+P11+Q11</f>
        <v>6.9054058857192999E-2</v>
      </c>
    </row>
    <row r="12" spans="1:18" ht="100.9" hidden="1" customHeight="1" x14ac:dyDescent="0.25">
      <c r="A12" s="398"/>
      <c r="B12" s="398"/>
      <c r="C12" s="424"/>
      <c r="D12" s="109" t="s">
        <v>404</v>
      </c>
      <c r="E12" s="105">
        <v>116471.93</v>
      </c>
      <c r="F12" s="105">
        <f t="shared" si="0"/>
        <v>91466.75</v>
      </c>
      <c r="G12" s="105">
        <v>15053.5</v>
      </c>
      <c r="H12" s="105">
        <v>37242.519999999997</v>
      </c>
      <c r="I12" s="105">
        <v>39170.730000000003</v>
      </c>
      <c r="J12" s="105"/>
      <c r="K12" s="105">
        <v>1862.01</v>
      </c>
      <c r="L12" s="105">
        <v>2539.11</v>
      </c>
      <c r="M12" s="105">
        <v>784.56</v>
      </c>
      <c r="N12" s="106">
        <f t="shared" si="1"/>
        <v>3.5605195194586998E-2</v>
      </c>
      <c r="O12" s="106">
        <f t="shared" si="2"/>
        <v>4.8552643203058E-2</v>
      </c>
      <c r="P12" s="106">
        <f t="shared" si="3"/>
        <v>1.5002288893112999E-2</v>
      </c>
      <c r="Q12" s="107">
        <v>0</v>
      </c>
      <c r="R12" s="108"/>
    </row>
    <row r="13" spans="1:18" ht="49.15" customHeight="1" x14ac:dyDescent="0.25">
      <c r="A13" s="396">
        <v>3</v>
      </c>
      <c r="B13" s="396" t="s">
        <v>360</v>
      </c>
      <c r="C13" s="426" t="s">
        <v>361</v>
      </c>
      <c r="D13" s="104" t="s">
        <v>406</v>
      </c>
      <c r="E13" s="105">
        <v>170961.79</v>
      </c>
      <c r="F13" s="105">
        <f t="shared" si="0"/>
        <v>129121.52159999999</v>
      </c>
      <c r="G13" s="105">
        <f>G14*G28</f>
        <v>91503.198799999998</v>
      </c>
      <c r="H13" s="105">
        <f>H14*G28</f>
        <v>37618.322800000002</v>
      </c>
      <c r="I13" s="105">
        <f>I14*G30</f>
        <v>0</v>
      </c>
      <c r="J13" s="105"/>
      <c r="K13" s="65">
        <f>K14*1.19*G33</f>
        <v>1996.481088</v>
      </c>
      <c r="L13" s="65">
        <f>L14*1.19*G33</f>
        <v>2500.7293079999999</v>
      </c>
      <c r="M13" s="65">
        <f>M14*1.266*G34</f>
        <v>200.53819799999999</v>
      </c>
      <c r="N13" s="106">
        <f t="shared" si="1"/>
        <v>1.5462031915832E-2</v>
      </c>
      <c r="O13" s="106">
        <f t="shared" si="2"/>
        <v>1.9367254017862E-2</v>
      </c>
      <c r="P13" s="106">
        <f t="shared" si="3"/>
        <v>1.5530966140659E-3</v>
      </c>
      <c r="Q13" s="107">
        <v>4.5614105389631997E-3</v>
      </c>
      <c r="R13" s="108">
        <f>N13+O13+P13+Q13</f>
        <v>4.0943793086723003E-2</v>
      </c>
    </row>
    <row r="14" spans="1:18" ht="57" hidden="1" customHeight="1" x14ac:dyDescent="0.25">
      <c r="A14" s="398"/>
      <c r="B14" s="397"/>
      <c r="C14" s="427"/>
      <c r="D14" s="104" t="s">
        <v>404</v>
      </c>
      <c r="E14" s="105">
        <v>29033.31</v>
      </c>
      <c r="F14" s="105">
        <f t="shared" si="0"/>
        <v>22378.080000000002</v>
      </c>
      <c r="G14" s="105">
        <v>15858.44</v>
      </c>
      <c r="H14" s="105">
        <v>6519.64</v>
      </c>
      <c r="I14" s="105">
        <v>0</v>
      </c>
      <c r="J14" s="105"/>
      <c r="K14" s="65">
        <v>420.48</v>
      </c>
      <c r="L14" s="65">
        <v>526.67999999999995</v>
      </c>
      <c r="M14" s="65">
        <v>39.700000000000003</v>
      </c>
      <c r="N14" s="106">
        <f t="shared" si="1"/>
        <v>1.8789815748268001E-2</v>
      </c>
      <c r="O14" s="106">
        <f t="shared" si="2"/>
        <v>2.3535531198387E-2</v>
      </c>
      <c r="P14" s="106">
        <f t="shared" si="3"/>
        <v>1.7740574705247E-3</v>
      </c>
      <c r="Q14" s="107">
        <v>4.9753003421204997E-3</v>
      </c>
      <c r="R14" s="108"/>
    </row>
    <row r="15" spans="1:18" ht="67.900000000000006" customHeight="1" x14ac:dyDescent="0.25">
      <c r="A15" s="396">
        <v>4</v>
      </c>
      <c r="B15" s="397"/>
      <c r="C15" s="428" t="s">
        <v>362</v>
      </c>
      <c r="D15" s="110" t="s">
        <v>406</v>
      </c>
      <c r="E15" s="105">
        <v>725870.83</v>
      </c>
      <c r="F15" s="105">
        <v>551588.679</v>
      </c>
      <c r="G15" s="105">
        <v>319494.33</v>
      </c>
      <c r="H15" s="105">
        <v>231687.44</v>
      </c>
      <c r="I15" s="105">
        <v>406.85</v>
      </c>
      <c r="J15" s="105"/>
      <c r="K15" s="105">
        <v>12415.71</v>
      </c>
      <c r="L15" s="105">
        <v>14808.286339</v>
      </c>
      <c r="M15" s="105">
        <v>3822.96</v>
      </c>
      <c r="N15" s="106">
        <f t="shared" si="1"/>
        <v>2.2525618000755001E-2</v>
      </c>
      <c r="O15" s="106">
        <f t="shared" si="2"/>
        <v>2.6866429814977E-2</v>
      </c>
      <c r="P15" s="106">
        <f t="shared" si="3"/>
        <v>6.9359333128888E-3</v>
      </c>
      <c r="Q15" s="107">
        <v>3.5515340532281999E-3</v>
      </c>
      <c r="R15" s="108">
        <f>N15+O15+P15+Q15</f>
        <v>5.9879515181849002E-2</v>
      </c>
    </row>
    <row r="16" spans="1:18" ht="67.900000000000006" hidden="1" customHeight="1" x14ac:dyDescent="0.25">
      <c r="A16" s="398"/>
      <c r="B16" s="398"/>
      <c r="C16" s="429"/>
      <c r="D16" s="110" t="s">
        <v>404</v>
      </c>
      <c r="E16" s="105">
        <v>125177.97</v>
      </c>
      <c r="F16" s="105">
        <v>95613.7</v>
      </c>
      <c r="G16" s="105">
        <v>55371.64</v>
      </c>
      <c r="H16" s="105">
        <v>40153.81</v>
      </c>
      <c r="I16" s="105">
        <v>88.25</v>
      </c>
      <c r="J16" s="105"/>
      <c r="K16" s="105">
        <v>2724.12</v>
      </c>
      <c r="L16" s="105">
        <v>3249.07</v>
      </c>
      <c r="M16" s="105">
        <v>772.31</v>
      </c>
      <c r="N16" s="106">
        <f t="shared" si="1"/>
        <v>2.8517217139516E-2</v>
      </c>
      <c r="O16" s="106">
        <f t="shared" si="2"/>
        <v>3.4012611298874E-2</v>
      </c>
      <c r="P16" s="106">
        <f t="shared" si="3"/>
        <v>8.0848611548021993E-3</v>
      </c>
      <c r="Q16" s="107">
        <v>3.8737899135989E-3</v>
      </c>
      <c r="R16" s="108"/>
    </row>
    <row r="17" spans="1:18" ht="67.900000000000006" customHeight="1" x14ac:dyDescent="0.25">
      <c r="A17" s="396">
        <v>5</v>
      </c>
      <c r="B17" s="411" t="s">
        <v>363</v>
      </c>
      <c r="C17" s="423" t="s">
        <v>407</v>
      </c>
      <c r="D17" s="104" t="s">
        <v>408</v>
      </c>
      <c r="E17" s="105">
        <v>561932.85</v>
      </c>
      <c r="F17" s="105">
        <f>G17+H17+I17</f>
        <v>399667.21620000002</v>
      </c>
      <c r="G17" s="105">
        <f>G18*I28</f>
        <v>163785.296</v>
      </c>
      <c r="H17" s="105">
        <f>H18*I28</f>
        <v>147763.611</v>
      </c>
      <c r="I17" s="105">
        <f>I18*I30</f>
        <v>88118.309200000003</v>
      </c>
      <c r="J17" s="105"/>
      <c r="K17" s="105">
        <f>K18*1.19*I33</f>
        <v>19215.596995</v>
      </c>
      <c r="L17" s="105">
        <f>L18*1.19*I33</f>
        <v>0</v>
      </c>
      <c r="M17" s="105">
        <f>M18*1.266*I34</f>
        <v>1734.8322095999999</v>
      </c>
      <c r="N17" s="106">
        <f t="shared" si="1"/>
        <v>6.1677626090981999E-2</v>
      </c>
      <c r="O17" s="106">
        <f t="shared" si="2"/>
        <v>0</v>
      </c>
      <c r="P17" s="106">
        <f t="shared" si="3"/>
        <v>5.5684105147574998E-3</v>
      </c>
      <c r="Q17" s="107">
        <v>5.5643872525604002E-3</v>
      </c>
      <c r="R17" s="108">
        <f>N17+O17+P17+Q17</f>
        <v>7.2810423858299E-2</v>
      </c>
    </row>
    <row r="18" spans="1:18" ht="67.900000000000006" hidden="1" customHeight="1" x14ac:dyDescent="0.25">
      <c r="A18" s="398"/>
      <c r="B18" s="411"/>
      <c r="C18" s="424"/>
      <c r="D18" s="104" t="s">
        <v>404</v>
      </c>
      <c r="E18" s="105">
        <v>94393.09</v>
      </c>
      <c r="F18" s="105">
        <f>G18+H18+I18</f>
        <v>69651.210000000006</v>
      </c>
      <c r="G18" s="105">
        <v>25792.959999999999</v>
      </c>
      <c r="H18" s="105">
        <v>23269.86</v>
      </c>
      <c r="I18" s="105">
        <v>20588.39</v>
      </c>
      <c r="J18" s="105"/>
      <c r="K18" s="105">
        <v>4087.99</v>
      </c>
      <c r="L18" s="105">
        <v>0</v>
      </c>
      <c r="M18" s="105">
        <v>343.44</v>
      </c>
      <c r="N18" s="106">
        <f t="shared" si="1"/>
        <v>8.3321545724441004E-2</v>
      </c>
      <c r="O18" s="106">
        <f t="shared" si="2"/>
        <v>0</v>
      </c>
      <c r="P18" s="106">
        <f t="shared" si="3"/>
        <v>7.0000052993284996E-3</v>
      </c>
      <c r="Q18" s="107">
        <v>9.4728844648146997E-3</v>
      </c>
      <c r="R18" s="108"/>
    </row>
    <row r="19" spans="1:18" ht="67.900000000000006" customHeight="1" x14ac:dyDescent="0.25">
      <c r="A19" s="396">
        <v>6</v>
      </c>
      <c r="B19" s="411"/>
      <c r="C19" s="423" t="s">
        <v>365</v>
      </c>
      <c r="D19" s="110" t="s">
        <v>406</v>
      </c>
      <c r="E19" s="105">
        <v>738823.57</v>
      </c>
      <c r="F19" s="105">
        <v>511472.86</v>
      </c>
      <c r="G19" s="105">
        <v>257334.67</v>
      </c>
      <c r="H19" s="105">
        <v>230898.09</v>
      </c>
      <c r="I19" s="105">
        <v>23240.1</v>
      </c>
      <c r="J19" s="105"/>
      <c r="K19" s="105">
        <v>19584.188309000001</v>
      </c>
      <c r="L19" s="105">
        <v>0</v>
      </c>
      <c r="M19" s="105">
        <v>2539.5687809999999</v>
      </c>
      <c r="N19" s="106">
        <f t="shared" si="1"/>
        <v>4.0112401119907999E-2</v>
      </c>
      <c r="O19" s="106">
        <f t="shared" si="2"/>
        <v>0</v>
      </c>
      <c r="P19" s="106">
        <f t="shared" si="3"/>
        <v>5.2015534168579998E-3</v>
      </c>
      <c r="Q19" s="107">
        <v>5.1286902198045999E-3</v>
      </c>
      <c r="R19" s="108">
        <f>N19+O19+P19+Q19</f>
        <v>5.0442644756571002E-2</v>
      </c>
    </row>
    <row r="20" spans="1:18" ht="67.900000000000006" hidden="1" customHeight="1" x14ac:dyDescent="0.25">
      <c r="A20" s="398"/>
      <c r="B20" s="411"/>
      <c r="C20" s="424"/>
      <c r="D20" s="110" t="s">
        <v>404</v>
      </c>
      <c r="E20" s="105">
        <v>128717.35</v>
      </c>
      <c r="F20" s="105">
        <v>89613.6</v>
      </c>
      <c r="G20" s="105">
        <v>44598.73</v>
      </c>
      <c r="H20" s="105">
        <v>40017</v>
      </c>
      <c r="I20" s="105">
        <v>4997.87</v>
      </c>
      <c r="J20" s="105"/>
      <c r="K20" s="105">
        <v>4023.79</v>
      </c>
      <c r="L20" s="105">
        <v>0</v>
      </c>
      <c r="M20" s="105">
        <v>481.05</v>
      </c>
      <c r="N20" s="106">
        <f t="shared" si="1"/>
        <v>4.7553687712675E-2</v>
      </c>
      <c r="O20" s="106">
        <f t="shared" si="2"/>
        <v>0</v>
      </c>
      <c r="P20" s="106">
        <f t="shared" si="3"/>
        <v>5.6851131580381003E-3</v>
      </c>
      <c r="Q20" s="107">
        <v>5.5940533914911996E-3</v>
      </c>
      <c r="R20" s="108"/>
    </row>
    <row r="21" spans="1:18" ht="67.900000000000006" customHeight="1" x14ac:dyDescent="0.25">
      <c r="A21" s="396">
        <v>7</v>
      </c>
      <c r="B21" s="396" t="s">
        <v>366</v>
      </c>
      <c r="C21" s="423" t="s">
        <v>367</v>
      </c>
      <c r="D21" s="110" t="s">
        <v>409</v>
      </c>
      <c r="E21" s="105">
        <v>16001185.93</v>
      </c>
      <c r="F21" s="105">
        <f>G21+H21+I21+J21</f>
        <v>6269109.2307000002</v>
      </c>
      <c r="G21" s="105">
        <f>123094.59*K28+325303.92*K29</f>
        <v>2908258.6863000002</v>
      </c>
      <c r="H21" s="105">
        <f>110226.08*K28+375865.25*K29</f>
        <v>3158998.0832000002</v>
      </c>
      <c r="I21" s="105">
        <f>I22*K30</f>
        <v>201852.46119999999</v>
      </c>
      <c r="J21" s="105">
        <f>J22*K35</f>
        <v>0</v>
      </c>
      <c r="K21" s="105">
        <f>K22*K33*1.19</f>
        <v>48825.362634999998</v>
      </c>
      <c r="L21" s="105">
        <f>L22*1.19*K33</f>
        <v>73238.020449999996</v>
      </c>
      <c r="M21" s="105">
        <f>M22*K34*1.266</f>
        <v>11514.8831238</v>
      </c>
      <c r="N21" s="106">
        <f t="shared" si="1"/>
        <v>8.0473539343916007E-3</v>
      </c>
      <c r="O21" s="106">
        <f t="shared" si="2"/>
        <v>1.2071027027926E-2</v>
      </c>
      <c r="P21" s="106">
        <f t="shared" si="3"/>
        <v>1.8978730522309999E-3</v>
      </c>
      <c r="Q21" s="107">
        <v>5.9210415358545E-4</v>
      </c>
      <c r="R21" s="108">
        <f>N21+O21+P21+Q21</f>
        <v>2.2608358168133998E-2</v>
      </c>
    </row>
    <row r="22" spans="1:18" ht="67.900000000000006" hidden="1" customHeight="1" x14ac:dyDescent="0.25">
      <c r="A22" s="398"/>
      <c r="B22" s="398"/>
      <c r="C22" s="424"/>
      <c r="D22" s="111" t="s">
        <v>404</v>
      </c>
      <c r="E22" s="112">
        <v>2195184.4700000002</v>
      </c>
      <c r="F22" s="112">
        <f>G22+H22+I22+J22</f>
        <v>981651.63</v>
      </c>
      <c r="G22" s="112">
        <f>123094.59+325303.92</f>
        <v>448398.51</v>
      </c>
      <c r="H22" s="112">
        <f>110226.08+375865.25</f>
        <v>486091.33</v>
      </c>
      <c r="I22" s="112">
        <v>47161.79</v>
      </c>
      <c r="J22" s="112">
        <v>0</v>
      </c>
      <c r="K22" s="112">
        <v>10387.27</v>
      </c>
      <c r="L22" s="112">
        <v>15580.9</v>
      </c>
      <c r="M22" s="112">
        <v>2279.5700000000002</v>
      </c>
      <c r="N22" s="113">
        <f t="shared" si="1"/>
        <v>1.1115444551008E-2</v>
      </c>
      <c r="O22" s="113">
        <f t="shared" si="2"/>
        <v>1.6673161475998E-2</v>
      </c>
      <c r="P22" s="113">
        <f t="shared" si="3"/>
        <v>2.4393737656901999E-3</v>
      </c>
      <c r="Q22" s="114">
        <v>7.7662380726578996E-4</v>
      </c>
      <c r="R22" s="115"/>
    </row>
    <row r="23" spans="1:18" ht="67.900000000000006" customHeight="1" x14ac:dyDescent="0.25">
      <c r="A23" s="116"/>
      <c r="B23" s="116"/>
      <c r="C23" s="117" t="s">
        <v>410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20">
        <f>(N9+N11+N13+N15+N17+N19+N21)/7</f>
        <v>2.9452156597254999E-2</v>
      </c>
      <c r="O23" s="120">
        <f>(O9+O11+O13+O15+O17+O19+O21)/7</f>
        <v>1.3097362959135E-2</v>
      </c>
      <c r="P23" s="120">
        <f>(P9+P11+P13+P15+P17+P19+P21)/7</f>
        <v>6.9829983993947003E-3</v>
      </c>
      <c r="Q23" s="120">
        <f>(Q9+Q11+Q13+Q15+Q17+Q19+Q21)/7</f>
        <v>2.7711608883059999E-3</v>
      </c>
      <c r="R23" s="120">
        <f>N23+O23+P23+Q23</f>
        <v>5.2303678844090998E-2</v>
      </c>
    </row>
    <row r="24" spans="1:18" ht="67.900000000000006" customHeight="1" x14ac:dyDescent="0.25">
      <c r="A24" s="121"/>
      <c r="B24" s="12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5"/>
      <c r="O24" s="125"/>
      <c r="P24" s="125"/>
      <c r="Q24" s="77"/>
    </row>
    <row r="26" spans="1:18" ht="14.45" customHeight="1" outlineLevel="1" x14ac:dyDescent="0.25">
      <c r="D26" s="425" t="s">
        <v>411</v>
      </c>
      <c r="E26" s="425"/>
      <c r="F26" s="425"/>
      <c r="G26" s="425"/>
      <c r="H26" s="425"/>
      <c r="I26" s="425"/>
      <c r="J26" s="425"/>
      <c r="K26" s="425"/>
      <c r="L26" s="126"/>
      <c r="R26" s="127"/>
    </row>
    <row r="27" spans="1:18" outlineLevel="1" x14ac:dyDescent="0.25">
      <c r="D27" s="128"/>
      <c r="E27" s="128" t="s">
        <v>371</v>
      </c>
      <c r="F27" s="128" t="s">
        <v>372</v>
      </c>
      <c r="G27" s="128" t="s">
        <v>373</v>
      </c>
      <c r="H27" s="129" t="s">
        <v>374</v>
      </c>
      <c r="I27" s="129" t="s">
        <v>375</v>
      </c>
      <c r="J27" s="129" t="s">
        <v>376</v>
      </c>
      <c r="K27" s="116" t="s">
        <v>377</v>
      </c>
      <c r="L27" s="57"/>
    </row>
    <row r="28" spans="1:18" outlineLevel="1" x14ac:dyDescent="0.25">
      <c r="D28" s="419" t="s">
        <v>378</v>
      </c>
      <c r="E28" s="417">
        <v>6.09</v>
      </c>
      <c r="F28" s="421">
        <v>6.63</v>
      </c>
      <c r="G28" s="417">
        <v>5.77</v>
      </c>
      <c r="H28" s="415">
        <v>5.77</v>
      </c>
      <c r="I28" s="415">
        <v>6.35</v>
      </c>
      <c r="J28" s="417">
        <v>5.77</v>
      </c>
      <c r="K28" s="130">
        <v>6.29</v>
      </c>
      <c r="L28" s="92" t="s">
        <v>379</v>
      </c>
      <c r="M28" s="57"/>
    </row>
    <row r="29" spans="1:18" outlineLevel="1" x14ac:dyDescent="0.25">
      <c r="D29" s="420"/>
      <c r="E29" s="418"/>
      <c r="F29" s="422"/>
      <c r="G29" s="418"/>
      <c r="H29" s="416"/>
      <c r="I29" s="416"/>
      <c r="J29" s="418"/>
      <c r="K29" s="130">
        <v>6.56</v>
      </c>
      <c r="L29" s="92" t="s">
        <v>380</v>
      </c>
      <c r="M29" s="57"/>
    </row>
    <row r="30" spans="1:18" outlineLevel="1" x14ac:dyDescent="0.25">
      <c r="D30" s="131" t="s">
        <v>381</v>
      </c>
      <c r="E30" s="132">
        <v>4.46</v>
      </c>
      <c r="F30" s="128">
        <v>4.46</v>
      </c>
      <c r="G30" s="133">
        <v>4.6500000000000004</v>
      </c>
      <c r="H30" s="129">
        <v>4.6100000000000003</v>
      </c>
      <c r="I30" s="129">
        <v>4.28</v>
      </c>
      <c r="J30" s="130">
        <v>4.6500000000000004</v>
      </c>
      <c r="K30" s="130">
        <v>4.28</v>
      </c>
      <c r="L30" s="57"/>
    </row>
    <row r="31" spans="1:18" s="92" customFormat="1" outlineLevel="1" x14ac:dyDescent="0.25">
      <c r="D31" s="419" t="s">
        <v>355</v>
      </c>
      <c r="E31" s="417">
        <v>11.37</v>
      </c>
      <c r="F31" s="421">
        <v>13.56</v>
      </c>
      <c r="G31" s="417">
        <v>15.91</v>
      </c>
      <c r="H31" s="415">
        <v>15.91</v>
      </c>
      <c r="I31" s="415">
        <v>14.03</v>
      </c>
      <c r="J31" s="417">
        <v>15.91</v>
      </c>
      <c r="K31" s="130">
        <v>8.2899999999999991</v>
      </c>
      <c r="L31" s="92" t="s">
        <v>379</v>
      </c>
      <c r="R31" s="121"/>
    </row>
    <row r="32" spans="1:18" s="92" customFormat="1" outlineLevel="1" x14ac:dyDescent="0.25">
      <c r="D32" s="420"/>
      <c r="E32" s="418"/>
      <c r="F32" s="422"/>
      <c r="G32" s="418"/>
      <c r="H32" s="416"/>
      <c r="I32" s="416"/>
      <c r="J32" s="418"/>
      <c r="K32" s="130">
        <v>11.84</v>
      </c>
      <c r="L32" s="92" t="s">
        <v>380</v>
      </c>
      <c r="R32" s="121"/>
    </row>
    <row r="33" spans="4:18" s="92" customFormat="1" ht="15" customHeight="1" outlineLevel="1" x14ac:dyDescent="0.25">
      <c r="D33" s="134" t="s">
        <v>382</v>
      </c>
      <c r="E33" s="135">
        <v>3.83</v>
      </c>
      <c r="F33" s="136">
        <v>3.83</v>
      </c>
      <c r="G33" s="137">
        <v>3.99</v>
      </c>
      <c r="H33" s="138">
        <v>3.83</v>
      </c>
      <c r="I33" s="138">
        <v>3.95</v>
      </c>
      <c r="J33" s="139">
        <v>4.09</v>
      </c>
      <c r="K33" s="130">
        <v>3.95</v>
      </c>
      <c r="L33" s="92" t="s">
        <v>412</v>
      </c>
      <c r="R33" s="121"/>
    </row>
    <row r="34" spans="4:18" s="92" customFormat="1" outlineLevel="1" x14ac:dyDescent="0.25">
      <c r="D34" s="134" t="s">
        <v>383</v>
      </c>
      <c r="E34" s="135">
        <v>3.91</v>
      </c>
      <c r="F34" s="136">
        <v>3.91</v>
      </c>
      <c r="G34" s="137">
        <v>3.99</v>
      </c>
      <c r="H34" s="138">
        <v>3.91</v>
      </c>
      <c r="I34" s="138">
        <v>3.99</v>
      </c>
      <c r="J34" s="139">
        <v>4.17</v>
      </c>
      <c r="K34" s="130">
        <v>3.99</v>
      </c>
      <c r="L34" s="92" t="s">
        <v>412</v>
      </c>
      <c r="R34" s="121"/>
    </row>
    <row r="35" spans="4:18" s="92" customFormat="1" outlineLevel="1" x14ac:dyDescent="0.25">
      <c r="D35" s="131" t="s">
        <v>326</v>
      </c>
      <c r="E35" s="132">
        <v>8.7899999999999991</v>
      </c>
      <c r="F35" s="128">
        <v>8.7899999999999991</v>
      </c>
      <c r="G35" s="133">
        <v>9.19</v>
      </c>
      <c r="H35" s="129">
        <v>9.1</v>
      </c>
      <c r="I35" s="129">
        <v>8.42</v>
      </c>
      <c r="J35" s="130">
        <v>9.19</v>
      </c>
      <c r="K35" s="130">
        <v>8.42</v>
      </c>
      <c r="R35" s="121"/>
    </row>
    <row r="36" spans="4:18" s="92" customFormat="1" x14ac:dyDescent="0.25">
      <c r="R36" s="121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32" t="s">
        <v>10</v>
      </c>
      <c r="B2" s="332"/>
      <c r="C2" s="332"/>
      <c r="D2" s="332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5"/>
    </row>
    <row r="5" spans="1:4" x14ac:dyDescent="0.25">
      <c r="A5" s="6"/>
      <c r="B5" s="1"/>
      <c r="C5" s="1"/>
    </row>
    <row r="6" spans="1:4" x14ac:dyDescent="0.25">
      <c r="A6" s="332" t="s">
        <v>12</v>
      </c>
      <c r="B6" s="332"/>
      <c r="C6" s="332"/>
      <c r="D6" s="332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100.84066229860582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86.517579999999995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100.84066229860582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6" t="s">
        <v>5</v>
      </c>
      <c r="B15" s="337" t="s">
        <v>15</v>
      </c>
      <c r="C15" s="337"/>
      <c r="D15" s="337"/>
    </row>
    <row r="16" spans="1:4" x14ac:dyDescent="0.25">
      <c r="A16" s="336"/>
      <c r="B16" s="336" t="s">
        <v>17</v>
      </c>
      <c r="C16" s="337" t="s">
        <v>28</v>
      </c>
      <c r="D16" s="337"/>
    </row>
    <row r="17" spans="1:4" ht="39" customHeight="1" x14ac:dyDescent="0.25">
      <c r="A17" s="336"/>
      <c r="B17" s="336"/>
      <c r="C17" s="10" t="s">
        <v>21</v>
      </c>
      <c r="D17" s="11" t="s">
        <v>23</v>
      </c>
    </row>
    <row r="18" spans="1:4" x14ac:dyDescent="0.25">
      <c r="A18" s="143" t="str">
        <f>B4</f>
        <v>И5-05-02</v>
      </c>
      <c r="B18" s="12">
        <f>C9</f>
        <v>100.84066229860582</v>
      </c>
      <c r="C18" s="12">
        <f>C11</f>
        <v>0</v>
      </c>
      <c r="D18" s="12">
        <f>C12</f>
        <v>86.517579999999995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8" t="s">
        <v>29</v>
      </c>
      <c r="B2" s="338"/>
      <c r="C2" s="338"/>
      <c r="D2" s="338"/>
    </row>
    <row r="3" spans="1:10" x14ac:dyDescent="0.25">
      <c r="H3" s="147" t="s">
        <v>30</v>
      </c>
      <c r="I3" s="147" t="s">
        <v>31</v>
      </c>
      <c r="J3" s="147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0">
        <v>3985.09</v>
      </c>
      <c r="I4" s="140">
        <v>3153.63</v>
      </c>
      <c r="J4" s="140">
        <v>94532.14</v>
      </c>
    </row>
    <row r="5" spans="1:10" ht="102" customHeight="1" x14ac:dyDescent="0.25">
      <c r="A5" s="2">
        <v>1</v>
      </c>
      <c r="B5" s="9" t="s">
        <v>37</v>
      </c>
      <c r="C5" s="153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3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4">
        <v>3</v>
      </c>
      <c r="B7" s="154" t="s">
        <v>41</v>
      </c>
      <c r="C7" s="155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5">
        <v>4</v>
      </c>
      <c r="B8" s="156" t="s">
        <v>43</v>
      </c>
      <c r="C8" s="157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6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6"/>
    <col min="3" max="3" width="36.85546875" style="166" customWidth="1"/>
    <col min="4" max="4" width="36.5703125" style="166" customWidth="1"/>
    <col min="5" max="5" width="17.5703125" style="166" customWidth="1"/>
    <col min="6" max="6" width="18.7109375" style="166" customWidth="1"/>
    <col min="7" max="7" width="9.140625" style="166"/>
  </cols>
  <sheetData>
    <row r="3" spans="2:4" x14ac:dyDescent="0.25">
      <c r="B3" s="339" t="s">
        <v>45</v>
      </c>
      <c r="C3" s="339"/>
      <c r="D3" s="339"/>
    </row>
    <row r="4" spans="2:4" x14ac:dyDescent="0.25">
      <c r="B4" s="340" t="s">
        <v>46</v>
      </c>
      <c r="C4" s="340"/>
      <c r="D4" s="340"/>
    </row>
    <row r="5" spans="2:4" x14ac:dyDescent="0.25">
      <c r="B5" s="167"/>
      <c r="C5" s="167"/>
      <c r="D5" s="167"/>
    </row>
    <row r="6" spans="2:4" x14ac:dyDescent="0.25">
      <c r="B6" s="167"/>
      <c r="C6" s="167"/>
      <c r="D6" s="167"/>
    </row>
    <row r="7" spans="2:4" ht="35.25" customHeight="1" x14ac:dyDescent="0.25">
      <c r="B7" s="341" t="s">
        <v>47</v>
      </c>
      <c r="C7" s="342"/>
      <c r="D7" s="342"/>
    </row>
    <row r="8" spans="2:4" ht="31.5" customHeight="1" x14ac:dyDescent="0.25">
      <c r="B8" s="342" t="s">
        <v>48</v>
      </c>
      <c r="C8" s="342"/>
      <c r="D8" s="342"/>
    </row>
    <row r="9" spans="2:4" x14ac:dyDescent="0.25">
      <c r="B9" s="342" t="s">
        <v>49</v>
      </c>
      <c r="C9" s="342"/>
      <c r="D9" s="342"/>
    </row>
    <row r="10" spans="2:4" x14ac:dyDescent="0.25">
      <c r="B10" s="272"/>
    </row>
    <row r="11" spans="2:4" x14ac:dyDescent="0.25">
      <c r="B11" s="273" t="s">
        <v>33</v>
      </c>
      <c r="C11" s="273" t="s">
        <v>50</v>
      </c>
      <c r="D11" s="168" t="s">
        <v>51</v>
      </c>
    </row>
    <row r="12" spans="2:4" ht="157.5" customHeight="1" x14ac:dyDescent="0.25">
      <c r="B12" s="273">
        <v>1</v>
      </c>
      <c r="C12" s="168" t="s">
        <v>52</v>
      </c>
      <c r="D12" s="323" t="s">
        <v>53</v>
      </c>
    </row>
    <row r="13" spans="2:4" ht="31.5" customHeight="1" x14ac:dyDescent="0.25">
      <c r="B13" s="273">
        <v>2</v>
      </c>
      <c r="C13" s="168" t="s">
        <v>54</v>
      </c>
      <c r="D13" s="323" t="s">
        <v>55</v>
      </c>
    </row>
    <row r="14" spans="2:4" x14ac:dyDescent="0.25">
      <c r="B14" s="273">
        <v>3</v>
      </c>
      <c r="C14" s="168" t="s">
        <v>56</v>
      </c>
      <c r="D14" s="323" t="s">
        <v>57</v>
      </c>
    </row>
    <row r="15" spans="2:4" x14ac:dyDescent="0.25">
      <c r="B15" s="273">
        <v>4</v>
      </c>
      <c r="C15" s="168" t="s">
        <v>58</v>
      </c>
      <c r="D15" s="322">
        <v>1</v>
      </c>
    </row>
    <row r="16" spans="2:4" ht="94.5" customHeight="1" x14ac:dyDescent="0.25">
      <c r="B16" s="273">
        <v>5</v>
      </c>
      <c r="C16" s="170" t="s">
        <v>59</v>
      </c>
      <c r="D16" s="322" t="s">
        <v>60</v>
      </c>
    </row>
    <row r="17" spans="2:6" ht="78.75" customHeight="1" x14ac:dyDescent="0.25">
      <c r="B17" s="273">
        <v>6</v>
      </c>
      <c r="C17" s="170" t="s">
        <v>61</v>
      </c>
      <c r="D17" s="324">
        <f>D18+D19</f>
        <v>350.65425720000002</v>
      </c>
    </row>
    <row r="18" spans="2:6" x14ac:dyDescent="0.25">
      <c r="B18" s="171" t="s">
        <v>62</v>
      </c>
      <c r="C18" s="168" t="s">
        <v>63</v>
      </c>
      <c r="D18" s="325">
        <f>'Прил.2 Расч стоим'!F14/1000</f>
        <v>9.7749919999999992</v>
      </c>
    </row>
    <row r="19" spans="2:6" ht="15.75" customHeight="1" x14ac:dyDescent="0.25">
      <c r="B19" s="171" t="s">
        <v>64</v>
      </c>
      <c r="C19" s="168" t="s">
        <v>65</v>
      </c>
      <c r="D19" s="325">
        <f>'Прил.2 Расч стоим'!H14/1000</f>
        <v>340.87926520000002</v>
      </c>
    </row>
    <row r="20" spans="2:6" ht="16.5" customHeight="1" x14ac:dyDescent="0.25">
      <c r="B20" s="171" t="s">
        <v>66</v>
      </c>
      <c r="C20" s="168" t="s">
        <v>67</v>
      </c>
      <c r="D20" s="325"/>
      <c r="F20" s="172"/>
    </row>
    <row r="21" spans="2:6" ht="35.25" customHeight="1" x14ac:dyDescent="0.25">
      <c r="B21" s="171" t="s">
        <v>68</v>
      </c>
      <c r="C21" s="173" t="s">
        <v>69</v>
      </c>
      <c r="D21" s="325"/>
    </row>
    <row r="22" spans="2:6" x14ac:dyDescent="0.25">
      <c r="B22" s="273">
        <v>7</v>
      </c>
      <c r="C22" s="173" t="s">
        <v>70</v>
      </c>
      <c r="D22" s="326" t="s">
        <v>71</v>
      </c>
    </row>
    <row r="23" spans="2:6" ht="123" customHeight="1" x14ac:dyDescent="0.25">
      <c r="B23" s="273">
        <v>8</v>
      </c>
      <c r="C23" s="174" t="s">
        <v>72</v>
      </c>
      <c r="D23" s="324">
        <f>D17</f>
        <v>350.65425720000002</v>
      </c>
    </row>
    <row r="24" spans="2:6" ht="60.75" customHeight="1" x14ac:dyDescent="0.25">
      <c r="B24" s="273">
        <v>9</v>
      </c>
      <c r="C24" s="170" t="s">
        <v>73</v>
      </c>
      <c r="D24" s="325">
        <f>D23/D15</f>
        <v>350.65425720000002</v>
      </c>
    </row>
    <row r="25" spans="2:6" ht="118.5" customHeight="1" x14ac:dyDescent="0.25">
      <c r="B25" s="273">
        <v>10</v>
      </c>
      <c r="C25" s="168" t="s">
        <v>74</v>
      </c>
      <c r="D25" s="168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6" t="s">
        <v>75</v>
      </c>
    </row>
    <row r="29" spans="2:6" x14ac:dyDescent="0.25">
      <c r="B29" s="177" t="s">
        <v>76</v>
      </c>
    </row>
    <row r="31" spans="2:6" x14ac:dyDescent="0.25">
      <c r="B31" s="166" t="s">
        <v>77</v>
      </c>
    </row>
    <row r="32" spans="2:6" x14ac:dyDescent="0.25">
      <c r="B32" s="177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38" t="s">
        <v>79</v>
      </c>
      <c r="B1" s="338"/>
      <c r="C1" s="338"/>
      <c r="D1" s="338"/>
    </row>
    <row r="2" spans="1:10" x14ac:dyDescent="0.25">
      <c r="A2" s="343" t="str">
        <f>'4.1 Отдел 1'!A10</f>
        <v>И5-05-02</v>
      </c>
      <c r="B2" s="343"/>
      <c r="C2" s="343"/>
      <c r="D2" s="343"/>
    </row>
    <row r="3" spans="1:10" x14ac:dyDescent="0.25">
      <c r="A3" s="344"/>
      <c r="B3" s="344"/>
      <c r="C3" s="344"/>
      <c r="D3" s="344"/>
    </row>
    <row r="4" spans="1:10" ht="51.75" customHeight="1" x14ac:dyDescent="0.25">
      <c r="A4" s="335" t="e">
        <f>#REF!</f>
        <v>#REF!</v>
      </c>
      <c r="B4" s="335"/>
      <c r="C4" s="335"/>
      <c r="D4" s="335"/>
    </row>
    <row r="5" spans="1:10" ht="15" customHeight="1" x14ac:dyDescent="0.25">
      <c r="A5" s="335"/>
      <c r="B5" s="345"/>
      <c r="C5" s="345"/>
      <c r="D5" s="345"/>
    </row>
    <row r="6" spans="1:10" x14ac:dyDescent="0.25">
      <c r="A6" s="4"/>
      <c r="B6" s="4"/>
      <c r="C6" s="4"/>
      <c r="D6" s="4"/>
    </row>
    <row r="7" spans="1:10" ht="52.9" customHeight="1" x14ac:dyDescent="0.25">
      <c r="A7" s="8" t="s">
        <v>80</v>
      </c>
      <c r="B7" s="2" t="s">
        <v>81</v>
      </c>
      <c r="C7" s="2" t="s">
        <v>82</v>
      </c>
      <c r="D7" s="2" t="s">
        <v>83</v>
      </c>
    </row>
    <row r="8" spans="1:10" x14ac:dyDescent="0.25">
      <c r="A8" s="27" t="s">
        <v>84</v>
      </c>
      <c r="B8" s="28">
        <f>'Прил.5 Расчет СМР и ОБ'!G14</f>
        <v>1067.43</v>
      </c>
      <c r="C8" s="29">
        <f t="shared" ref="C8:C15" si="0">B8/$B$21</f>
        <v>0.32848346088867147</v>
      </c>
      <c r="D8" s="29">
        <f t="shared" ref="D8:D15" si="1">B8/$B$35</f>
        <v>1.0585313262215235E-2</v>
      </c>
      <c r="I8" s="30"/>
      <c r="J8" s="30"/>
    </row>
    <row r="9" spans="1:10" x14ac:dyDescent="0.25">
      <c r="A9" s="27" t="s">
        <v>85</v>
      </c>
      <c r="B9" s="28">
        <f>'Прил.5 Расчет СМР и ОБ'!G20</f>
        <v>126.16</v>
      </c>
      <c r="C9" s="29">
        <f t="shared" si="0"/>
        <v>3.8823598199146353E-2</v>
      </c>
      <c r="D9" s="29">
        <f t="shared" si="1"/>
        <v>1.2510826200885061E-3</v>
      </c>
      <c r="I9" s="30"/>
      <c r="J9" s="30"/>
    </row>
    <row r="10" spans="1:10" x14ac:dyDescent="0.25">
      <c r="A10" s="27" t="s">
        <v>86</v>
      </c>
      <c r="B10" s="28">
        <f>'Прил.5 Расчет СМР и ОБ'!G22</f>
        <v>9</v>
      </c>
      <c r="C10" s="29">
        <f t="shared" si="0"/>
        <v>2.7695972082460141E-3</v>
      </c>
      <c r="D10" s="29">
        <f t="shared" si="1"/>
        <v>8.9249711325273896E-5</v>
      </c>
      <c r="I10" s="30"/>
      <c r="J10" s="30"/>
    </row>
    <row r="11" spans="1:10" x14ac:dyDescent="0.25">
      <c r="A11" s="27" t="s">
        <v>87</v>
      </c>
      <c r="B11" s="28">
        <f>B9+B10</f>
        <v>135.16</v>
      </c>
      <c r="C11" s="29">
        <f t="shared" si="0"/>
        <v>4.1593195407392362E-2</v>
      </c>
      <c r="D11" s="29">
        <f t="shared" si="1"/>
        <v>1.34033233141378E-3</v>
      </c>
      <c r="I11" s="30"/>
      <c r="J11" s="30"/>
    </row>
    <row r="12" spans="1:10" x14ac:dyDescent="0.25">
      <c r="A12" s="27" t="s">
        <v>88</v>
      </c>
      <c r="B12" s="28">
        <f>'Прил.5 Расчет СМР и ОБ'!G16</f>
        <v>23.28</v>
      </c>
      <c r="C12" s="29">
        <f t="shared" si="0"/>
        <v>7.1640247786630244E-3</v>
      </c>
      <c r="D12" s="29">
        <f t="shared" si="1"/>
        <v>2.3085925329470848E-4</v>
      </c>
      <c r="I12" s="30"/>
      <c r="J12" s="30"/>
    </row>
    <row r="13" spans="1:10" x14ac:dyDescent="0.25">
      <c r="A13" s="27" t="s">
        <v>89</v>
      </c>
      <c r="B13" s="28">
        <f>'Прил.5 Расчет СМР и ОБ'!G40</f>
        <v>399.86999999999995</v>
      </c>
      <c r="C13" s="29">
        <f t="shared" si="0"/>
        <v>0.12305320396237041</v>
      </c>
      <c r="D13" s="29">
        <f t="shared" si="1"/>
        <v>3.9653646741819185E-3</v>
      </c>
      <c r="I13" s="30"/>
      <c r="J13" s="30"/>
    </row>
    <row r="14" spans="1:10" x14ac:dyDescent="0.25">
      <c r="A14" s="27" t="s">
        <v>90</v>
      </c>
      <c r="B14" s="28">
        <f>'Прил.5 Расчет СМР и ОБ'!G50</f>
        <v>48.06</v>
      </c>
      <c r="C14" s="29">
        <f t="shared" si="0"/>
        <v>1.4789649092033718E-2</v>
      </c>
      <c r="D14" s="29">
        <f t="shared" si="1"/>
        <v>4.7659345847696259E-4</v>
      </c>
      <c r="I14" s="30"/>
      <c r="J14" s="30"/>
    </row>
    <row r="15" spans="1:10" x14ac:dyDescent="0.25">
      <c r="A15" s="27" t="s">
        <v>91</v>
      </c>
      <c r="B15" s="28">
        <f>B13+B14</f>
        <v>447.92999999999995</v>
      </c>
      <c r="C15" s="29">
        <f t="shared" si="0"/>
        <v>0.13784285305440411</v>
      </c>
      <c r="D15" s="29">
        <f t="shared" si="1"/>
        <v>4.4419581326588815E-3</v>
      </c>
      <c r="I15" s="30"/>
      <c r="J15" s="30"/>
    </row>
    <row r="16" spans="1:10" x14ac:dyDescent="0.25">
      <c r="A16" s="27" t="s">
        <v>92</v>
      </c>
      <c r="B16" s="28">
        <f>B8+B11+B15</f>
        <v>1650.52</v>
      </c>
      <c r="C16" s="29"/>
      <c r="D16" s="29"/>
      <c r="I16" s="30"/>
      <c r="J16" s="30"/>
    </row>
    <row r="17" spans="1:10" x14ac:dyDescent="0.25">
      <c r="A17" s="27" t="s">
        <v>93</v>
      </c>
      <c r="B17" s="28">
        <f>'Прил.5 Расчет СМР и ОБ'!G54</f>
        <v>569.17999999999995</v>
      </c>
      <c r="C17" s="29">
        <f>B17/$B$21</f>
        <v>0.1751554821099407</v>
      </c>
      <c r="D17" s="29">
        <f>B17/$B$35</f>
        <v>5.6443500769021542E-3</v>
      </c>
      <c r="I17" s="30"/>
      <c r="J17" s="30"/>
    </row>
    <row r="18" spans="1:10" x14ac:dyDescent="0.25">
      <c r="A18" s="27" t="s">
        <v>94</v>
      </c>
      <c r="B18" s="31">
        <f>B17/(B8+B12)</f>
        <v>0.52184356978481905</v>
      </c>
      <c r="C18" s="29"/>
      <c r="D18" s="29"/>
      <c r="I18" s="30"/>
      <c r="J18" s="30"/>
    </row>
    <row r="19" spans="1:10" x14ac:dyDescent="0.25">
      <c r="A19" s="27" t="s">
        <v>95</v>
      </c>
      <c r="B19" s="28">
        <f>'Прил.5 Расчет СМР и ОБ'!G53</f>
        <v>1029.8699999999999</v>
      </c>
      <c r="C19" s="29">
        <f>B19/$B$21</f>
        <v>0.31692500853959138</v>
      </c>
      <c r="D19" s="29">
        <f>B19/$B$35</f>
        <v>1.0212844466951091E-2</v>
      </c>
      <c r="I19" s="30"/>
      <c r="J19" s="30"/>
    </row>
    <row r="20" spans="1:10" x14ac:dyDescent="0.25">
      <c r="A20" s="27" t="s">
        <v>96</v>
      </c>
      <c r="B20" s="31">
        <f>B19/(B8+B12)</f>
        <v>0.9442198201171712</v>
      </c>
      <c r="C20" s="29"/>
      <c r="D20" s="29"/>
      <c r="J20" s="30"/>
    </row>
    <row r="21" spans="1:10" x14ac:dyDescent="0.25">
      <c r="A21" s="27" t="s">
        <v>97</v>
      </c>
      <c r="B21" s="28">
        <f>B16+B17+B19</f>
        <v>3249.5699999999997</v>
      </c>
      <c r="C21" s="29">
        <f>B21/$B$21</f>
        <v>1</v>
      </c>
      <c r="D21" s="29">
        <f>B21/$B$35</f>
        <v>3.2224798270141138E-2</v>
      </c>
      <c r="J21" s="30"/>
    </row>
    <row r="22" spans="1:10" ht="26.45" customHeight="1" x14ac:dyDescent="0.25">
      <c r="A22" s="27" t="s">
        <v>98</v>
      </c>
      <c r="B22" s="28">
        <f>'Прил.6 Расчет ОБ'!G14</f>
        <v>86517.58</v>
      </c>
      <c r="C22" s="29"/>
      <c r="D22" s="29">
        <f>B22/$B$35</f>
        <v>0.85796322661792113</v>
      </c>
      <c r="J22" s="30"/>
    </row>
    <row r="23" spans="1:10" ht="26.45" customHeight="1" x14ac:dyDescent="0.25">
      <c r="A23" s="27" t="s">
        <v>99</v>
      </c>
      <c r="B23" s="28">
        <f>'Прил.6 Расчет ОБ'!G13</f>
        <v>86517.58</v>
      </c>
      <c r="C23" s="29"/>
      <c r="D23" s="29">
        <f>B23/$B$35</f>
        <v>0.85796322661792113</v>
      </c>
      <c r="J23" s="30"/>
    </row>
    <row r="24" spans="1:10" x14ac:dyDescent="0.25">
      <c r="A24" s="27" t="s">
        <v>100</v>
      </c>
      <c r="B24" s="28">
        <f>'Прил.5 Расчет СМР и ОБ'!G56</f>
        <v>89767.15</v>
      </c>
      <c r="C24" s="29"/>
      <c r="D24" s="29">
        <f>B24/$B$35</f>
        <v>0.89018802488806215</v>
      </c>
      <c r="J24" s="30"/>
    </row>
    <row r="25" spans="1:10" ht="26.45" customHeight="1" x14ac:dyDescent="0.25">
      <c r="A25" s="27" t="s">
        <v>101</v>
      </c>
      <c r="B25" s="28"/>
      <c r="C25" s="29"/>
      <c r="D25" s="29"/>
      <c r="J25" s="30"/>
    </row>
    <row r="26" spans="1:10" x14ac:dyDescent="0.25">
      <c r="A26" s="27" t="s">
        <v>102</v>
      </c>
      <c r="B26" s="28">
        <f>'4.7 Прил.6 Расчет Прочие'!I9*1000</f>
        <v>278.41007999999999</v>
      </c>
      <c r="C26" s="29"/>
      <c r="D26" s="29">
        <f>B26/$B$35</f>
        <v>2.7608910300051565E-3</v>
      </c>
      <c r="J26" s="30"/>
    </row>
    <row r="27" spans="1:10" x14ac:dyDescent="0.25">
      <c r="A27" s="27" t="s">
        <v>103</v>
      </c>
      <c r="B27" s="28">
        <f>'4.7 Прил.6 Расчет Прочие'!I11*1000</f>
        <v>86.950678710000005</v>
      </c>
      <c r="C27" s="29"/>
      <c r="D27" s="29">
        <f>B27/$B$35</f>
        <v>8.6225810826712657E-4</v>
      </c>
      <c r="J27" s="30"/>
    </row>
    <row r="28" spans="1:10" x14ac:dyDescent="0.25">
      <c r="A28" s="27" t="s">
        <v>104</v>
      </c>
      <c r="B28" s="28">
        <f>'4.7 Прил.6 Расчет Прочие'!I12*1000</f>
        <v>5470.4031199999999</v>
      </c>
      <c r="C28" s="29"/>
      <c r="D28" s="29">
        <f>B28/$B$35</f>
        <v>5.4247988810319739E-2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105</v>
      </c>
      <c r="B30" s="28">
        <f>'4.7 Прил.6 Расчет Прочие'!I14*1000</f>
        <v>2300.6417510043998</v>
      </c>
      <c r="C30" s="29"/>
      <c r="D30" s="29">
        <f>B30/$B$35</f>
        <v>2.2814623571112816E-2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106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107</v>
      </c>
      <c r="B33" s="28">
        <f>B24+B26+B27+B28+B30+B32</f>
        <v>97903.555629714392</v>
      </c>
      <c r="C33" s="29"/>
      <c r="D33" s="29">
        <f>B33/$B$35</f>
        <v>0.970873786407767</v>
      </c>
      <c r="J33" s="30"/>
    </row>
    <row r="34" spans="1:10" x14ac:dyDescent="0.25">
      <c r="A34" s="27" t="s">
        <v>108</v>
      </c>
      <c r="B34" s="28">
        <f>B33*3%</f>
        <v>2937.1066688914316</v>
      </c>
      <c r="C34" s="29"/>
      <c r="D34" s="29">
        <f>B34/$B$35</f>
        <v>2.9126213592233007E-2</v>
      </c>
      <c r="J34" s="30"/>
    </row>
    <row r="35" spans="1:10" x14ac:dyDescent="0.25">
      <c r="A35" s="27" t="s">
        <v>109</v>
      </c>
      <c r="B35" s="28">
        <f>B33+B34</f>
        <v>100840.66229860582</v>
      </c>
      <c r="C35" s="29"/>
      <c r="D35" s="29">
        <f>B35/$B$35</f>
        <v>1</v>
      </c>
      <c r="J35" s="30"/>
    </row>
    <row r="36" spans="1:10" x14ac:dyDescent="0.25">
      <c r="A36" s="27" t="s">
        <v>110</v>
      </c>
      <c r="B36" s="28">
        <f>B35</f>
        <v>100840.66229860582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111</v>
      </c>
      <c r="B38" s="32"/>
      <c r="C38" s="32"/>
      <c r="D38" s="32"/>
    </row>
    <row r="39" spans="1:10" x14ac:dyDescent="0.25">
      <c r="A39" s="33" t="s">
        <v>112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113</v>
      </c>
      <c r="B41" s="32"/>
      <c r="C41" s="32"/>
      <c r="D41" s="32"/>
    </row>
    <row r="42" spans="1:10" x14ac:dyDescent="0.25">
      <c r="A42" s="33" t="s">
        <v>114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2"/>
  <sheetViews>
    <sheetView view="pageBreakPreview" zoomScale="70" zoomScaleNormal="70" workbookViewId="0">
      <selection activeCell="G20" sqref="G20"/>
    </sheetView>
  </sheetViews>
  <sheetFormatPr defaultColWidth="9.140625" defaultRowHeight="15.75" x14ac:dyDescent="0.25"/>
  <cols>
    <col min="1" max="1" width="5.5703125" style="166" customWidth="1"/>
    <col min="2" max="2" width="9.140625" style="166"/>
    <col min="3" max="3" width="35.28515625" style="166" customWidth="1"/>
    <col min="4" max="4" width="13.85546875" style="166" customWidth="1"/>
    <col min="5" max="5" width="24.85546875" style="166" customWidth="1"/>
    <col min="6" max="6" width="15.5703125" style="166" customWidth="1"/>
    <col min="7" max="7" width="14.85546875" style="166" customWidth="1"/>
    <col min="8" max="8" width="16.7109375" style="166" customWidth="1"/>
    <col min="9" max="10" width="13" style="166" customWidth="1"/>
    <col min="11" max="11" width="18" style="166" customWidth="1"/>
    <col min="12" max="12" width="9.140625" style="166"/>
  </cols>
  <sheetData>
    <row r="3" spans="1:12" x14ac:dyDescent="0.25">
      <c r="B3" s="339" t="s">
        <v>115</v>
      </c>
      <c r="C3" s="339"/>
      <c r="D3" s="339"/>
      <c r="E3" s="339"/>
      <c r="F3" s="339"/>
      <c r="G3" s="339"/>
      <c r="H3" s="339"/>
      <c r="I3" s="339"/>
      <c r="J3" s="339"/>
      <c r="K3" s="177"/>
    </row>
    <row r="4" spans="1:12" x14ac:dyDescent="0.25">
      <c r="B4" s="340" t="s">
        <v>116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12" x14ac:dyDescent="0.25">
      <c r="B5" s="167"/>
      <c r="C5" s="167"/>
      <c r="D5" s="167"/>
      <c r="E5" s="167"/>
      <c r="F5" s="167"/>
      <c r="G5" s="167"/>
      <c r="H5" s="167"/>
      <c r="I5" s="167"/>
      <c r="J5" s="167"/>
      <c r="K5" s="167"/>
    </row>
    <row r="6" spans="1:12" ht="15.75" customHeight="1" x14ac:dyDescent="0.25">
      <c r="B6" s="347" t="s">
        <v>117</v>
      </c>
      <c r="C6" s="347"/>
      <c r="D6" s="347"/>
      <c r="E6" s="347"/>
      <c r="F6" s="347"/>
      <c r="G6" s="347"/>
      <c r="H6" s="347"/>
      <c r="I6" s="347"/>
      <c r="J6" s="347"/>
      <c r="K6" s="177"/>
      <c r="L6" s="178"/>
    </row>
    <row r="7" spans="1:12" x14ac:dyDescent="0.25">
      <c r="B7" s="342" t="s">
        <v>49</v>
      </c>
      <c r="C7" s="342"/>
      <c r="D7" s="342"/>
      <c r="E7" s="342"/>
      <c r="F7" s="342"/>
      <c r="G7" s="342"/>
      <c r="H7" s="342"/>
      <c r="I7" s="342"/>
      <c r="J7" s="342"/>
      <c r="K7" s="342"/>
      <c r="L7" s="178"/>
    </row>
    <row r="8" spans="1:12" x14ac:dyDescent="0.25">
      <c r="B8" s="272"/>
    </row>
    <row r="9" spans="1:12" ht="15.75" customHeight="1" x14ac:dyDescent="0.25">
      <c r="B9" s="348" t="s">
        <v>33</v>
      </c>
      <c r="C9" s="348" t="s">
        <v>118</v>
      </c>
      <c r="D9" s="348" t="s">
        <v>51</v>
      </c>
      <c r="E9" s="348"/>
      <c r="F9" s="348"/>
      <c r="G9" s="348"/>
      <c r="H9" s="348"/>
      <c r="I9" s="348"/>
      <c r="J9" s="348"/>
    </row>
    <row r="10" spans="1:12" ht="15.75" customHeight="1" x14ac:dyDescent="0.25">
      <c r="B10" s="348"/>
      <c r="C10" s="348"/>
      <c r="D10" s="348" t="s">
        <v>119</v>
      </c>
      <c r="E10" s="348" t="s">
        <v>120</v>
      </c>
      <c r="F10" s="348" t="s">
        <v>121</v>
      </c>
      <c r="G10" s="348"/>
      <c r="H10" s="348"/>
      <c r="I10" s="348"/>
      <c r="J10" s="348"/>
    </row>
    <row r="11" spans="1:12" ht="31.5" customHeight="1" x14ac:dyDescent="0.25">
      <c r="B11" s="348"/>
      <c r="C11" s="348"/>
      <c r="D11" s="348"/>
      <c r="E11" s="348"/>
      <c r="F11" s="273" t="s">
        <v>122</v>
      </c>
      <c r="G11" s="273" t="s">
        <v>123</v>
      </c>
      <c r="H11" s="273" t="s">
        <v>43</v>
      </c>
      <c r="I11" s="273" t="s">
        <v>124</v>
      </c>
      <c r="J11" s="273" t="s">
        <v>125</v>
      </c>
    </row>
    <row r="12" spans="1:12" ht="47.25" customHeight="1" x14ac:dyDescent="0.25">
      <c r="B12" s="274">
        <v>1</v>
      </c>
      <c r="C12" s="291" t="s">
        <v>126</v>
      </c>
      <c r="D12" s="179"/>
      <c r="E12" s="169" t="s">
        <v>127</v>
      </c>
      <c r="F12" s="351">
        <v>9774.9920000000002</v>
      </c>
      <c r="G12" s="352"/>
      <c r="H12" s="180">
        <v>340879.26520000002</v>
      </c>
      <c r="I12" s="181"/>
      <c r="J12" s="182">
        <f>SUM(F12:I12)</f>
        <v>350654.25719999999</v>
      </c>
    </row>
    <row r="13" spans="1:12" s="312" customFormat="1" ht="15.75" customHeight="1" x14ac:dyDescent="0.25">
      <c r="A13" s="327"/>
      <c r="B13" s="346" t="s">
        <v>128</v>
      </c>
      <c r="C13" s="346"/>
      <c r="D13" s="346"/>
      <c r="E13" s="346"/>
      <c r="F13" s="349">
        <f>F12</f>
        <v>9774.9920000000002</v>
      </c>
      <c r="G13" s="350"/>
      <c r="H13" s="328">
        <f>SUM(H12:H12)</f>
        <v>340879.26520000002</v>
      </c>
      <c r="I13" s="329"/>
      <c r="J13" s="330">
        <f>SUM(F13:I13)</f>
        <v>350654.25719999999</v>
      </c>
      <c r="K13" s="327"/>
      <c r="L13" s="327"/>
    </row>
    <row r="14" spans="1:12" s="312" customFormat="1" ht="15.6" customHeight="1" x14ac:dyDescent="0.25">
      <c r="A14" s="327"/>
      <c r="B14" s="346" t="s">
        <v>129</v>
      </c>
      <c r="C14" s="346"/>
      <c r="D14" s="346"/>
      <c r="E14" s="346"/>
      <c r="F14" s="349">
        <f>F13</f>
        <v>9774.9920000000002</v>
      </c>
      <c r="G14" s="350"/>
      <c r="H14" s="328">
        <f>H13</f>
        <v>340879.26520000002</v>
      </c>
      <c r="I14" s="331"/>
      <c r="J14" s="330">
        <f>SUM(F14:I14)</f>
        <v>350654.25719999999</v>
      </c>
      <c r="K14" s="327"/>
      <c r="L14" s="327"/>
    </row>
    <row r="15" spans="1:12" x14ac:dyDescent="0.25">
      <c r="B15" s="272"/>
    </row>
    <row r="18" spans="2:2" x14ac:dyDescent="0.25">
      <c r="B18" s="166" t="s">
        <v>75</v>
      </c>
    </row>
    <row r="19" spans="2:2" x14ac:dyDescent="0.25">
      <c r="B19" s="177" t="s">
        <v>76</v>
      </c>
    </row>
    <row r="21" spans="2:2" x14ac:dyDescent="0.25">
      <c r="B21" s="166" t="s">
        <v>77</v>
      </c>
    </row>
    <row r="22" spans="2:2" x14ac:dyDescent="0.25">
      <c r="B22" s="177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M45"/>
  <sheetViews>
    <sheetView view="pageBreakPreview" zoomScale="55" zoomScaleSheetLayoutView="55" workbookViewId="0">
      <selection activeCell="AE93" sqref="AE92:AE93"/>
    </sheetView>
  </sheetViews>
  <sheetFormatPr defaultColWidth="9.140625" defaultRowHeight="15.75" x14ac:dyDescent="0.25"/>
  <cols>
    <col min="1" max="1" width="9.140625" style="166"/>
    <col min="2" max="2" width="12.5703125" style="166" customWidth="1"/>
    <col min="3" max="3" width="22.42578125" style="166" customWidth="1"/>
    <col min="4" max="4" width="49.7109375" style="166" customWidth="1"/>
    <col min="5" max="5" width="10.140625" style="183" customWidth="1"/>
    <col min="6" max="6" width="20.7109375" style="166" customWidth="1"/>
    <col min="7" max="7" width="16.140625" style="166" customWidth="1"/>
    <col min="8" max="8" width="16.7109375" style="166" customWidth="1"/>
    <col min="9" max="9" width="9.140625" style="166"/>
    <col min="10" max="10" width="10.28515625" style="166" customWidth="1"/>
    <col min="11" max="11" width="9.140625" style="166"/>
  </cols>
  <sheetData>
    <row r="2" spans="1:13" s="312" customFormat="1" x14ac:dyDescent="0.25">
      <c r="A2" s="327"/>
      <c r="B2" s="327"/>
      <c r="C2" s="327"/>
      <c r="D2" s="327"/>
      <c r="E2" s="183"/>
      <c r="F2" s="327"/>
      <c r="G2" s="327"/>
      <c r="H2" s="327"/>
      <c r="I2" s="327"/>
      <c r="J2" s="327"/>
      <c r="K2" s="327"/>
    </row>
    <row r="3" spans="1:13" s="312" customFormat="1" x14ac:dyDescent="0.25">
      <c r="A3" s="327"/>
      <c r="B3" s="327"/>
      <c r="C3" s="327"/>
      <c r="D3" s="327"/>
      <c r="E3" s="183"/>
      <c r="F3" s="327"/>
      <c r="G3" s="327"/>
      <c r="H3" s="327"/>
      <c r="I3" s="327"/>
      <c r="J3" s="327"/>
      <c r="K3" s="327"/>
    </row>
    <row r="4" spans="1:13" x14ac:dyDescent="0.25">
      <c r="A4" s="339" t="s">
        <v>130</v>
      </c>
      <c r="B4" s="339"/>
      <c r="C4" s="339"/>
      <c r="D4" s="339"/>
      <c r="E4" s="339"/>
      <c r="F4" s="339"/>
      <c r="G4" s="339"/>
      <c r="H4" s="339"/>
    </row>
    <row r="5" spans="1:13" x14ac:dyDescent="0.25">
      <c r="A5" s="340" t="s">
        <v>131</v>
      </c>
      <c r="B5" s="340"/>
      <c r="C5" s="340"/>
      <c r="D5" s="340"/>
      <c r="E5" s="340"/>
      <c r="F5" s="340"/>
      <c r="G5" s="340"/>
      <c r="H5" s="340"/>
    </row>
    <row r="6" spans="1:13" x14ac:dyDescent="0.25">
      <c r="A6" s="272"/>
    </row>
    <row r="7" spans="1:13" x14ac:dyDescent="0.25">
      <c r="A7" s="347" t="s">
        <v>132</v>
      </c>
      <c r="B7" s="347"/>
      <c r="C7" s="347"/>
      <c r="D7" s="347"/>
      <c r="E7" s="347"/>
      <c r="F7" s="347"/>
      <c r="G7" s="347"/>
      <c r="H7" s="347"/>
    </row>
    <row r="8" spans="1:13" x14ac:dyDescent="0.25">
      <c r="A8" s="184"/>
      <c r="B8" s="184"/>
      <c r="C8" s="184"/>
      <c r="D8" s="184"/>
      <c r="E8" s="167"/>
      <c r="F8" s="184"/>
      <c r="G8" s="184"/>
      <c r="H8" s="184"/>
    </row>
    <row r="9" spans="1:13" ht="38.25" customHeight="1" x14ac:dyDescent="0.25">
      <c r="A9" s="348" t="s">
        <v>133</v>
      </c>
      <c r="B9" s="348" t="s">
        <v>134</v>
      </c>
      <c r="C9" s="348" t="s">
        <v>135</v>
      </c>
      <c r="D9" s="348" t="s">
        <v>136</v>
      </c>
      <c r="E9" s="348" t="s">
        <v>137</v>
      </c>
      <c r="F9" s="348" t="s">
        <v>138</v>
      </c>
      <c r="G9" s="348" t="s">
        <v>81</v>
      </c>
      <c r="H9" s="348"/>
    </row>
    <row r="10" spans="1:13" ht="40.5" customHeight="1" x14ac:dyDescent="0.25">
      <c r="A10" s="348"/>
      <c r="B10" s="348"/>
      <c r="C10" s="348"/>
      <c r="D10" s="348"/>
      <c r="E10" s="348"/>
      <c r="F10" s="348"/>
      <c r="G10" s="273" t="s">
        <v>139</v>
      </c>
      <c r="H10" s="273" t="s">
        <v>140</v>
      </c>
    </row>
    <row r="11" spans="1:13" x14ac:dyDescent="0.25">
      <c r="A11" s="185">
        <v>1</v>
      </c>
      <c r="B11" s="185"/>
      <c r="C11" s="185">
        <v>2</v>
      </c>
      <c r="D11" s="185" t="s">
        <v>141</v>
      </c>
      <c r="E11" s="185">
        <v>4</v>
      </c>
      <c r="F11" s="185">
        <v>5</v>
      </c>
      <c r="G11" s="185">
        <v>6</v>
      </c>
      <c r="H11" s="185">
        <v>7</v>
      </c>
    </row>
    <row r="12" spans="1:13" s="187" customFormat="1" x14ac:dyDescent="0.25">
      <c r="A12" s="353" t="s">
        <v>142</v>
      </c>
      <c r="B12" s="354"/>
      <c r="C12" s="355"/>
      <c r="D12" s="355"/>
      <c r="E12" s="354"/>
      <c r="F12" s="186">
        <f>SUM(F13:F14)</f>
        <v>112.36</v>
      </c>
      <c r="G12" s="186"/>
      <c r="H12" s="186">
        <f>SUM(H13:H14)</f>
        <v>1067.43</v>
      </c>
      <c r="I12" s="166"/>
      <c r="J12" s="166"/>
      <c r="K12" s="166"/>
      <c r="L12" s="166"/>
      <c r="M12" s="166"/>
    </row>
    <row r="13" spans="1:13" x14ac:dyDescent="0.25">
      <c r="A13" s="188">
        <v>1</v>
      </c>
      <c r="B13" s="189" t="s">
        <v>143</v>
      </c>
      <c r="C13" s="190" t="s">
        <v>144</v>
      </c>
      <c r="D13" s="191" t="s">
        <v>145</v>
      </c>
      <c r="E13" s="192" t="s">
        <v>146</v>
      </c>
      <c r="F13" s="188">
        <v>100</v>
      </c>
      <c r="G13" s="193">
        <v>9.6199999999999992</v>
      </c>
      <c r="H13" s="193">
        <f>ROUND(F13*G13,2)</f>
        <v>962</v>
      </c>
    </row>
    <row r="14" spans="1:13" x14ac:dyDescent="0.25">
      <c r="A14" s="188">
        <v>2</v>
      </c>
      <c r="B14" s="189" t="s">
        <v>143</v>
      </c>
      <c r="C14" s="190" t="s">
        <v>147</v>
      </c>
      <c r="D14" s="191" t="s">
        <v>148</v>
      </c>
      <c r="E14" s="192" t="s">
        <v>146</v>
      </c>
      <c r="F14" s="188">
        <v>12.36</v>
      </c>
      <c r="G14" s="193">
        <v>8.5299999999999994</v>
      </c>
      <c r="H14" s="193">
        <f>ROUND(F14*G14,2)</f>
        <v>105.43</v>
      </c>
    </row>
    <row r="15" spans="1:13" x14ac:dyDescent="0.25">
      <c r="A15" s="353" t="s">
        <v>149</v>
      </c>
      <c r="B15" s="354"/>
      <c r="C15" s="355"/>
      <c r="D15" s="355"/>
      <c r="E15" s="354"/>
      <c r="F15" s="275">
        <f>F16</f>
        <v>2.02</v>
      </c>
      <c r="G15" s="186"/>
      <c r="H15" s="186">
        <f>H16</f>
        <v>23.28</v>
      </c>
    </row>
    <row r="16" spans="1:13" x14ac:dyDescent="0.25">
      <c r="A16" s="188">
        <v>3</v>
      </c>
      <c r="B16" s="188" t="s">
        <v>143</v>
      </c>
      <c r="C16" s="191">
        <v>2</v>
      </c>
      <c r="D16" s="191" t="s">
        <v>149</v>
      </c>
      <c r="E16" s="192" t="s">
        <v>146</v>
      </c>
      <c r="F16" s="188">
        <v>2.02</v>
      </c>
      <c r="G16" s="193"/>
      <c r="H16" s="193">
        <v>23.28</v>
      </c>
    </row>
    <row r="17" spans="1:13" s="187" customFormat="1" x14ac:dyDescent="0.25">
      <c r="A17" s="353" t="s">
        <v>150</v>
      </c>
      <c r="B17" s="354"/>
      <c r="C17" s="355"/>
      <c r="D17" s="355"/>
      <c r="E17" s="354"/>
      <c r="F17" s="275"/>
      <c r="G17" s="186"/>
      <c r="H17" s="186">
        <f>SUM(H18:H19)</f>
        <v>135.16</v>
      </c>
      <c r="I17" s="166"/>
      <c r="J17" s="166"/>
      <c r="K17" s="166"/>
      <c r="L17" s="166"/>
      <c r="M17" s="166"/>
    </row>
    <row r="18" spans="1:13" x14ac:dyDescent="0.25">
      <c r="A18" s="188">
        <v>4</v>
      </c>
      <c r="B18" s="188" t="s">
        <v>143</v>
      </c>
      <c r="C18" s="191" t="s">
        <v>151</v>
      </c>
      <c r="D18" s="191" t="s">
        <v>152</v>
      </c>
      <c r="E18" s="192" t="s">
        <v>153</v>
      </c>
      <c r="F18" s="188">
        <v>1.92</v>
      </c>
      <c r="G18" s="193">
        <v>65.709999999999994</v>
      </c>
      <c r="H18" s="193">
        <f>ROUND(F18*G18,2)</f>
        <v>126.16</v>
      </c>
    </row>
    <row r="19" spans="1:13" s="187" customFormat="1" x14ac:dyDescent="0.25">
      <c r="A19" s="188">
        <v>5</v>
      </c>
      <c r="B19" s="188" t="s">
        <v>143</v>
      </c>
      <c r="C19" s="191" t="s">
        <v>154</v>
      </c>
      <c r="D19" s="191" t="s">
        <v>155</v>
      </c>
      <c r="E19" s="192" t="s">
        <v>153</v>
      </c>
      <c r="F19" s="188">
        <v>0.1</v>
      </c>
      <c r="G19" s="193">
        <v>89.99</v>
      </c>
      <c r="H19" s="193">
        <f>ROUND(F19*G19,2)</f>
        <v>9</v>
      </c>
      <c r="I19" s="166"/>
      <c r="J19" s="166"/>
      <c r="K19" s="166"/>
      <c r="L19" s="166"/>
      <c r="M19" s="166"/>
    </row>
    <row r="20" spans="1:13" x14ac:dyDescent="0.25">
      <c r="A20" s="353" t="s">
        <v>43</v>
      </c>
      <c r="B20" s="354"/>
      <c r="C20" s="355"/>
      <c r="D20" s="355"/>
      <c r="E20" s="354"/>
      <c r="F20" s="275"/>
      <c r="G20" s="186"/>
      <c r="H20" s="186">
        <f>SUM(H21:H21)</f>
        <v>86517.58</v>
      </c>
    </row>
    <row r="21" spans="1:13" s="187" customFormat="1" ht="94.5" customHeight="1" x14ac:dyDescent="0.25">
      <c r="A21" s="188">
        <v>6</v>
      </c>
      <c r="B21" s="188" t="s">
        <v>143</v>
      </c>
      <c r="C21" s="191" t="s">
        <v>156</v>
      </c>
      <c r="D21" s="191" t="s">
        <v>157</v>
      </c>
      <c r="E21" s="192" t="s">
        <v>158</v>
      </c>
      <c r="F21" s="188">
        <v>2</v>
      </c>
      <c r="G21" s="193">
        <v>43258.79</v>
      </c>
      <c r="H21" s="193">
        <f>ROUND(F21*G21,2)</f>
        <v>86517.58</v>
      </c>
      <c r="I21" s="166"/>
      <c r="J21" s="166"/>
      <c r="K21" s="166"/>
      <c r="L21" s="166"/>
      <c r="M21" s="166"/>
    </row>
    <row r="22" spans="1:13" x14ac:dyDescent="0.25">
      <c r="A22" s="353" t="s">
        <v>159</v>
      </c>
      <c r="B22" s="354"/>
      <c r="C22" s="355"/>
      <c r="D22" s="355"/>
      <c r="E22" s="354"/>
      <c r="F22" s="275"/>
      <c r="G22" s="186"/>
      <c r="H22" s="186">
        <f>SUM(H23:H38)</f>
        <v>447.93</v>
      </c>
    </row>
    <row r="23" spans="1:13" ht="31.5" customHeight="1" x14ac:dyDescent="0.25">
      <c r="A23" s="188">
        <v>7</v>
      </c>
      <c r="B23" s="188" t="s">
        <v>143</v>
      </c>
      <c r="C23" s="191" t="s">
        <v>160</v>
      </c>
      <c r="D23" s="191" t="s">
        <v>161</v>
      </c>
      <c r="E23" s="192" t="s">
        <v>162</v>
      </c>
      <c r="F23" s="188">
        <v>1.2E-2</v>
      </c>
      <c r="G23" s="193">
        <v>15481</v>
      </c>
      <c r="H23" s="193">
        <f t="shared" ref="H23:H38" si="0">ROUND(F23*G23,2)</f>
        <v>185.77</v>
      </c>
    </row>
    <row r="24" spans="1:13" ht="47.25" customHeight="1" x14ac:dyDescent="0.25">
      <c r="A24" s="188">
        <v>8</v>
      </c>
      <c r="B24" s="188" t="s">
        <v>143</v>
      </c>
      <c r="C24" s="191" t="s">
        <v>163</v>
      </c>
      <c r="D24" s="191" t="s">
        <v>164</v>
      </c>
      <c r="E24" s="192" t="s">
        <v>162</v>
      </c>
      <c r="F24" s="188">
        <v>8.0000000000000004E-4</v>
      </c>
      <c r="G24" s="193">
        <v>75162.289999999994</v>
      </c>
      <c r="H24" s="193">
        <f t="shared" si="0"/>
        <v>60.13</v>
      </c>
    </row>
    <row r="25" spans="1:13" x14ac:dyDescent="0.25">
      <c r="A25" s="188">
        <v>9</v>
      </c>
      <c r="B25" s="188" t="s">
        <v>143</v>
      </c>
      <c r="C25" s="191" t="s">
        <v>165</v>
      </c>
      <c r="D25" s="191" t="s">
        <v>166</v>
      </c>
      <c r="E25" s="192" t="s">
        <v>167</v>
      </c>
      <c r="F25" s="188">
        <v>0.3</v>
      </c>
      <c r="G25" s="193">
        <v>155</v>
      </c>
      <c r="H25" s="193">
        <f t="shared" si="0"/>
        <v>46.5</v>
      </c>
    </row>
    <row r="26" spans="1:13" x14ac:dyDescent="0.25">
      <c r="A26" s="188">
        <v>10</v>
      </c>
      <c r="B26" s="188" t="s">
        <v>143</v>
      </c>
      <c r="C26" s="191" t="s">
        <v>168</v>
      </c>
      <c r="D26" s="191" t="s">
        <v>169</v>
      </c>
      <c r="E26" s="192" t="s">
        <v>170</v>
      </c>
      <c r="F26" s="188">
        <v>0.2</v>
      </c>
      <c r="G26" s="193">
        <v>203</v>
      </c>
      <c r="H26" s="193">
        <f t="shared" si="0"/>
        <v>40.6</v>
      </c>
    </row>
    <row r="27" spans="1:13" ht="31.5" customHeight="1" x14ac:dyDescent="0.25">
      <c r="A27" s="188">
        <v>11</v>
      </c>
      <c r="B27" s="188" t="s">
        <v>143</v>
      </c>
      <c r="C27" s="191" t="s">
        <v>171</v>
      </c>
      <c r="D27" s="191" t="s">
        <v>172</v>
      </c>
      <c r="E27" s="192" t="s">
        <v>162</v>
      </c>
      <c r="F27" s="188">
        <v>1.9400000000000001E-3</v>
      </c>
      <c r="G27" s="193">
        <v>12606</v>
      </c>
      <c r="H27" s="193">
        <f t="shared" si="0"/>
        <v>24.46</v>
      </c>
    </row>
    <row r="28" spans="1:13" ht="31.5" customHeight="1" x14ac:dyDescent="0.25">
      <c r="A28" s="188">
        <v>12</v>
      </c>
      <c r="B28" s="188" t="s">
        <v>143</v>
      </c>
      <c r="C28" s="191" t="s">
        <v>173</v>
      </c>
      <c r="D28" s="191" t="s">
        <v>174</v>
      </c>
      <c r="E28" s="192" t="s">
        <v>175</v>
      </c>
      <c r="F28" s="188">
        <v>21.4</v>
      </c>
      <c r="G28" s="193">
        <v>1</v>
      </c>
      <c r="H28" s="193">
        <f t="shared" si="0"/>
        <v>21.4</v>
      </c>
    </row>
    <row r="29" spans="1:13" ht="31.5" customHeight="1" x14ac:dyDescent="0.25">
      <c r="A29" s="188">
        <v>13</v>
      </c>
      <c r="B29" s="188" t="s">
        <v>143</v>
      </c>
      <c r="C29" s="191" t="s">
        <v>176</v>
      </c>
      <c r="D29" s="191" t="s">
        <v>177</v>
      </c>
      <c r="E29" s="192" t="s">
        <v>162</v>
      </c>
      <c r="F29" s="188">
        <v>5.5999999999999995E-4</v>
      </c>
      <c r="G29" s="193">
        <v>37517</v>
      </c>
      <c r="H29" s="193">
        <f t="shared" si="0"/>
        <v>21.01</v>
      </c>
    </row>
    <row r="30" spans="1:13" x14ac:dyDescent="0.25">
      <c r="A30" s="188">
        <v>14</v>
      </c>
      <c r="B30" s="188" t="s">
        <v>143</v>
      </c>
      <c r="C30" s="191" t="s">
        <v>178</v>
      </c>
      <c r="D30" s="191" t="s">
        <v>179</v>
      </c>
      <c r="E30" s="192" t="s">
        <v>162</v>
      </c>
      <c r="F30" s="188">
        <v>3.6000000000000002E-4</v>
      </c>
      <c r="G30" s="193">
        <v>42700.01</v>
      </c>
      <c r="H30" s="193">
        <f t="shared" si="0"/>
        <v>15.37</v>
      </c>
    </row>
    <row r="31" spans="1:13" ht="31.5" customHeight="1" x14ac:dyDescent="0.25">
      <c r="A31" s="188">
        <v>15</v>
      </c>
      <c r="B31" s="188" t="s">
        <v>143</v>
      </c>
      <c r="C31" s="191" t="s">
        <v>180</v>
      </c>
      <c r="D31" s="191" t="s">
        <v>181</v>
      </c>
      <c r="E31" s="192" t="s">
        <v>162</v>
      </c>
      <c r="F31" s="188">
        <v>1.2E-4</v>
      </c>
      <c r="G31" s="193">
        <v>114220</v>
      </c>
      <c r="H31" s="193">
        <f t="shared" si="0"/>
        <v>13.71</v>
      </c>
    </row>
    <row r="32" spans="1:13" x14ac:dyDescent="0.25">
      <c r="A32" s="188">
        <v>16</v>
      </c>
      <c r="B32" s="188" t="s">
        <v>143</v>
      </c>
      <c r="C32" s="191" t="s">
        <v>182</v>
      </c>
      <c r="D32" s="191" t="s">
        <v>183</v>
      </c>
      <c r="E32" s="192" t="s">
        <v>167</v>
      </c>
      <c r="F32" s="188">
        <v>0.24</v>
      </c>
      <c r="G32" s="193">
        <v>28.26</v>
      </c>
      <c r="H32" s="193">
        <f t="shared" si="0"/>
        <v>6.78</v>
      </c>
    </row>
    <row r="33" spans="1:10" x14ac:dyDescent="0.25">
      <c r="A33" s="188">
        <v>17</v>
      </c>
      <c r="B33" s="188" t="s">
        <v>143</v>
      </c>
      <c r="C33" s="191" t="s">
        <v>184</v>
      </c>
      <c r="D33" s="191" t="s">
        <v>185</v>
      </c>
      <c r="E33" s="192" t="s">
        <v>167</v>
      </c>
      <c r="F33" s="188">
        <v>3.6999999999999998E-2</v>
      </c>
      <c r="G33" s="193">
        <v>138.76</v>
      </c>
      <c r="H33" s="193">
        <f t="shared" si="0"/>
        <v>5.13</v>
      </c>
    </row>
    <row r="34" spans="1:10" ht="47.25" customHeight="1" x14ac:dyDescent="0.25">
      <c r="A34" s="188">
        <v>18</v>
      </c>
      <c r="B34" s="188" t="s">
        <v>143</v>
      </c>
      <c r="C34" s="191" t="s">
        <v>186</v>
      </c>
      <c r="D34" s="191" t="s">
        <v>187</v>
      </c>
      <c r="E34" s="192" t="s">
        <v>188</v>
      </c>
      <c r="F34" s="188">
        <v>6.0000000000000001E-3</v>
      </c>
      <c r="G34" s="193">
        <v>405.22</v>
      </c>
      <c r="H34" s="193">
        <f t="shared" si="0"/>
        <v>2.4300000000000002</v>
      </c>
    </row>
    <row r="35" spans="1:10" ht="31.5" x14ac:dyDescent="0.25">
      <c r="A35" s="188">
        <v>19</v>
      </c>
      <c r="B35" s="188" t="s">
        <v>143</v>
      </c>
      <c r="C35" s="191" t="s">
        <v>189</v>
      </c>
      <c r="D35" s="191" t="s">
        <v>190</v>
      </c>
      <c r="E35" s="192" t="s">
        <v>167</v>
      </c>
      <c r="F35" s="188">
        <v>5.1999999999999998E-2</v>
      </c>
      <c r="G35" s="193">
        <v>39.020000000000003</v>
      </c>
      <c r="H35" s="193">
        <f t="shared" si="0"/>
        <v>2.0299999999999998</v>
      </c>
    </row>
    <row r="36" spans="1:10" ht="31.5" customHeight="1" x14ac:dyDescent="0.25">
      <c r="A36" s="188">
        <v>20</v>
      </c>
      <c r="B36" s="188" t="s">
        <v>143</v>
      </c>
      <c r="C36" s="191" t="s">
        <v>191</v>
      </c>
      <c r="D36" s="191" t="s">
        <v>192</v>
      </c>
      <c r="E36" s="192" t="s">
        <v>167</v>
      </c>
      <c r="F36" s="188">
        <v>0.04</v>
      </c>
      <c r="G36" s="193">
        <v>38.340000000000003</v>
      </c>
      <c r="H36" s="193">
        <f t="shared" si="0"/>
        <v>1.53</v>
      </c>
    </row>
    <row r="37" spans="1:10" ht="31.5" customHeight="1" x14ac:dyDescent="0.25">
      <c r="A37" s="188">
        <v>21</v>
      </c>
      <c r="B37" s="188" t="s">
        <v>143</v>
      </c>
      <c r="C37" s="191" t="s">
        <v>193</v>
      </c>
      <c r="D37" s="191" t="s">
        <v>194</v>
      </c>
      <c r="E37" s="192" t="s">
        <v>162</v>
      </c>
      <c r="F37" s="188">
        <v>4.8000000000000001E-5</v>
      </c>
      <c r="G37" s="193">
        <v>22419</v>
      </c>
      <c r="H37" s="193">
        <f t="shared" si="0"/>
        <v>1.08</v>
      </c>
      <c r="J37" s="165"/>
    </row>
    <row r="38" spans="1:10" x14ac:dyDescent="0.25">
      <c r="A38" s="188">
        <v>22</v>
      </c>
      <c r="B38" s="188" t="s">
        <v>143</v>
      </c>
      <c r="C38" s="191" t="s">
        <v>195</v>
      </c>
      <c r="D38" s="191" t="s">
        <v>196</v>
      </c>
      <c r="E38" s="192" t="s">
        <v>162</v>
      </c>
      <c r="F38" s="188">
        <v>0.35</v>
      </c>
      <c r="G38" s="193"/>
      <c r="H38" s="193">
        <f t="shared" si="0"/>
        <v>0</v>
      </c>
      <c r="J38" s="165"/>
    </row>
    <row r="41" spans="1:10" x14ac:dyDescent="0.25">
      <c r="B41" s="166" t="s">
        <v>75</v>
      </c>
    </row>
    <row r="42" spans="1:10" x14ac:dyDescent="0.25">
      <c r="B42" s="177" t="s">
        <v>76</v>
      </c>
    </row>
    <row r="44" spans="1:10" x14ac:dyDescent="0.25">
      <c r="B44" s="166" t="s">
        <v>77</v>
      </c>
    </row>
    <row r="45" spans="1:10" x14ac:dyDescent="0.25">
      <c r="B45" s="177" t="s">
        <v>78</v>
      </c>
    </row>
  </sheetData>
  <mergeCells count="15">
    <mergeCell ref="A15:E15"/>
    <mergeCell ref="A22:E22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0:E2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0"/>
  <sheetViews>
    <sheetView view="pageBreakPreview" topLeftCell="A31" workbookViewId="0">
      <selection activeCell="D46" sqref="D46"/>
    </sheetView>
  </sheetViews>
  <sheetFormatPr defaultRowHeight="15" x14ac:dyDescent="0.25"/>
  <cols>
    <col min="1" max="1" width="4.140625" style="57" customWidth="1"/>
    <col min="2" max="2" width="36.28515625" style="57" customWidth="1"/>
    <col min="3" max="3" width="18.85546875" style="57" customWidth="1"/>
    <col min="4" max="4" width="18.28515625" style="57" customWidth="1"/>
    <col min="5" max="5" width="18.85546875" style="57" customWidth="1"/>
    <col min="6" max="6" width="11.42578125" style="57" customWidth="1"/>
    <col min="7" max="10" width="9.140625" style="57" customWidth="1"/>
    <col min="11" max="11" width="13.5703125" style="57" customWidth="1"/>
    <col min="12" max="12" width="9.140625" style="57" customWidth="1"/>
  </cols>
  <sheetData>
    <row r="1" spans="2:5" x14ac:dyDescent="0.25">
      <c r="B1" s="159"/>
      <c r="C1" s="159"/>
      <c r="D1" s="159"/>
      <c r="E1" s="159"/>
    </row>
    <row r="2" spans="2:5" x14ac:dyDescent="0.25">
      <c r="B2" s="159"/>
      <c r="C2" s="159"/>
      <c r="D2" s="159"/>
      <c r="E2" s="163" t="s">
        <v>197</v>
      </c>
    </row>
    <row r="3" spans="2:5" x14ac:dyDescent="0.25">
      <c r="B3" s="159"/>
      <c r="C3" s="159"/>
      <c r="D3" s="159"/>
      <c r="E3" s="159"/>
    </row>
    <row r="4" spans="2:5" x14ac:dyDescent="0.25">
      <c r="B4" s="159"/>
      <c r="C4" s="159"/>
      <c r="D4" s="159"/>
      <c r="E4" s="159"/>
    </row>
    <row r="5" spans="2:5" x14ac:dyDescent="0.25">
      <c r="B5" s="332" t="s">
        <v>79</v>
      </c>
      <c r="C5" s="332"/>
      <c r="D5" s="332"/>
      <c r="E5" s="332"/>
    </row>
    <row r="6" spans="2:5" x14ac:dyDescent="0.25">
      <c r="B6" s="162"/>
      <c r="C6" s="159"/>
      <c r="D6" s="159"/>
      <c r="E6" s="159"/>
    </row>
    <row r="7" spans="2:5" ht="25.5" customHeight="1" x14ac:dyDescent="0.25">
      <c r="B7" s="345" t="s">
        <v>47</v>
      </c>
      <c r="C7" s="345"/>
      <c r="D7" s="345"/>
      <c r="E7" s="345"/>
    </row>
    <row r="8" spans="2:5" x14ac:dyDescent="0.25">
      <c r="B8" s="356" t="s">
        <v>49</v>
      </c>
      <c r="C8" s="356"/>
      <c r="D8" s="356"/>
      <c r="E8" s="356"/>
    </row>
    <row r="9" spans="2:5" x14ac:dyDescent="0.25">
      <c r="B9" s="162"/>
      <c r="C9" s="159"/>
      <c r="D9" s="159"/>
      <c r="E9" s="159"/>
    </row>
    <row r="10" spans="2:5" ht="51" customHeight="1" x14ac:dyDescent="0.25">
      <c r="B10" s="197" t="s">
        <v>80</v>
      </c>
      <c r="C10" s="197" t="s">
        <v>198</v>
      </c>
      <c r="D10" s="197" t="s">
        <v>199</v>
      </c>
      <c r="E10" s="197" t="s">
        <v>200</v>
      </c>
    </row>
    <row r="11" spans="2:5" x14ac:dyDescent="0.25">
      <c r="B11" s="160" t="s">
        <v>84</v>
      </c>
      <c r="C11" s="289">
        <f>'Прил.5 Расчет СМР и ОБ'!J14</f>
        <v>3618.12</v>
      </c>
      <c r="D11" s="161">
        <f t="shared" ref="D11:D18" si="0">C11/$C$24</f>
        <v>0.22859070731882988</v>
      </c>
      <c r="E11" s="161">
        <f t="shared" ref="E11:E18" si="1">C11/$C$40</f>
        <v>5.8365827486498998E-3</v>
      </c>
    </row>
    <row r="12" spans="2:5" x14ac:dyDescent="0.25">
      <c r="B12" s="160" t="s">
        <v>85</v>
      </c>
      <c r="C12" s="289">
        <f>'Прил.5 Расчет СМР и ОБ'!J20</f>
        <v>1699.41</v>
      </c>
      <c r="D12" s="161">
        <f t="shared" si="0"/>
        <v>0.10736773073438491</v>
      </c>
      <c r="E12" s="161">
        <f t="shared" si="1"/>
        <v>2.7414090988920011E-3</v>
      </c>
    </row>
    <row r="13" spans="2:5" x14ac:dyDescent="0.25">
      <c r="B13" s="160" t="s">
        <v>86</v>
      </c>
      <c r="C13" s="289">
        <f>'Прил.5 Расчет СМР и ОБ'!J22</f>
        <v>121.22</v>
      </c>
      <c r="D13" s="161">
        <f t="shared" si="0"/>
        <v>7.6586087639958205E-3</v>
      </c>
      <c r="E13" s="161">
        <f t="shared" si="1"/>
        <v>1.9554646081151007E-4</v>
      </c>
    </row>
    <row r="14" spans="2:5" x14ac:dyDescent="0.25">
      <c r="B14" s="160" t="s">
        <v>87</v>
      </c>
      <c r="C14" s="289">
        <f>C13+C12</f>
        <v>1820.63</v>
      </c>
      <c r="D14" s="161">
        <f t="shared" si="0"/>
        <v>0.11502633949838073</v>
      </c>
      <c r="E14" s="161">
        <f t="shared" si="1"/>
        <v>2.9369555597035112E-3</v>
      </c>
    </row>
    <row r="15" spans="2:5" x14ac:dyDescent="0.25">
      <c r="B15" s="160" t="s">
        <v>88</v>
      </c>
      <c r="C15" s="289">
        <f>'Прил.5 Расчет СМР и ОБ'!J16</f>
        <v>1031.07</v>
      </c>
      <c r="D15" s="161">
        <f t="shared" si="0"/>
        <v>6.5142400084913135E-2</v>
      </c>
      <c r="E15" s="161">
        <f t="shared" si="1"/>
        <v>1.6632741243105403E-3</v>
      </c>
    </row>
    <row r="16" spans="2:5" x14ac:dyDescent="0.25">
      <c r="B16" s="160" t="s">
        <v>89</v>
      </c>
      <c r="C16" s="289">
        <f>'Прил.5 Расчет СМР и ОБ'!J40</f>
        <v>3214.93</v>
      </c>
      <c r="D16" s="161">
        <f t="shared" si="0"/>
        <v>0.20311739872655571</v>
      </c>
      <c r="E16" s="161">
        <f t="shared" si="1"/>
        <v>5.186175410466491E-3</v>
      </c>
    </row>
    <row r="17" spans="2:6" x14ac:dyDescent="0.25">
      <c r="B17" s="160" t="s">
        <v>90</v>
      </c>
      <c r="C17" s="289">
        <f>'Прил.5 Расчет СМР и ОБ'!J50</f>
        <v>386.44</v>
      </c>
      <c r="D17" s="161">
        <f t="shared" si="0"/>
        <v>2.4415053380288276E-2</v>
      </c>
      <c r="E17" s="161">
        <f t="shared" si="1"/>
        <v>6.2338701795083286E-4</v>
      </c>
    </row>
    <row r="18" spans="2:6" x14ac:dyDescent="0.25">
      <c r="B18" s="160" t="s">
        <v>91</v>
      </c>
      <c r="C18" s="289">
        <f>C17+C16</f>
        <v>3601.37</v>
      </c>
      <c r="D18" s="161">
        <f t="shared" si="0"/>
        <v>0.22753245210684397</v>
      </c>
      <c r="E18" s="161">
        <f t="shared" si="1"/>
        <v>5.8095624284173241E-3</v>
      </c>
    </row>
    <row r="19" spans="2:6" x14ac:dyDescent="0.25">
      <c r="B19" s="160" t="s">
        <v>92</v>
      </c>
      <c r="C19" s="289">
        <f>C18+C14+C11</f>
        <v>9040.119999999999</v>
      </c>
      <c r="D19" s="161"/>
      <c r="E19" s="160"/>
    </row>
    <row r="20" spans="2:6" x14ac:dyDescent="0.25">
      <c r="B20" s="160" t="s">
        <v>93</v>
      </c>
      <c r="C20" s="289">
        <f>ROUND(C21*(C11+C15),2)</f>
        <v>2417.58</v>
      </c>
      <c r="D20" s="161">
        <f>C20/$C$24</f>
        <v>0.15274129166524514</v>
      </c>
      <c r="E20" s="161">
        <f>C20/$C$40</f>
        <v>3.8999275097235647E-3</v>
      </c>
    </row>
    <row r="21" spans="2:6" x14ac:dyDescent="0.25">
      <c r="B21" s="160" t="s">
        <v>94</v>
      </c>
      <c r="C21" s="290">
        <f>'Прил.5 Расчет СМР и ОБ'!D54</f>
        <v>0.52</v>
      </c>
      <c r="D21" s="161"/>
      <c r="E21" s="160"/>
    </row>
    <row r="22" spans="2:6" x14ac:dyDescent="0.25">
      <c r="B22" s="160" t="s">
        <v>95</v>
      </c>
      <c r="C22" s="289">
        <f>ROUND(C23*(C11+C15),2)</f>
        <v>4370.24</v>
      </c>
      <c r="D22" s="161">
        <f>C22/$C$24</f>
        <v>0.27610920941070033</v>
      </c>
      <c r="E22" s="161">
        <f>C22/$C$40</f>
        <v>7.0498677189976388E-3</v>
      </c>
    </row>
    <row r="23" spans="2:6" x14ac:dyDescent="0.25">
      <c r="B23" s="160" t="s">
        <v>96</v>
      </c>
      <c r="C23" s="290">
        <f>'Прил.5 Расчет СМР и ОБ'!D53</f>
        <v>0.94</v>
      </c>
      <c r="D23" s="161"/>
      <c r="E23" s="160"/>
    </row>
    <row r="24" spans="2:6" x14ac:dyDescent="0.25">
      <c r="B24" s="160" t="s">
        <v>97</v>
      </c>
      <c r="C24" s="289">
        <f>C19+C20+C22</f>
        <v>15827.939999999999</v>
      </c>
      <c r="D24" s="161">
        <f>C24/$C$24</f>
        <v>1</v>
      </c>
      <c r="E24" s="161">
        <f>C24/$C$40</f>
        <v>2.5532895965491936E-2</v>
      </c>
    </row>
    <row r="25" spans="2:6" ht="25.5" customHeight="1" x14ac:dyDescent="0.25">
      <c r="B25" s="160" t="s">
        <v>98</v>
      </c>
      <c r="C25" s="289">
        <f>'Прил.5 Расчет СМР и ОБ'!J29</f>
        <v>541600</v>
      </c>
      <c r="D25" s="161"/>
      <c r="E25" s="161">
        <f>C25/$C$40</f>
        <v>0.87368390674405094</v>
      </c>
    </row>
    <row r="26" spans="2:6" ht="25.5" customHeight="1" x14ac:dyDescent="0.25">
      <c r="B26" s="160" t="s">
        <v>99</v>
      </c>
      <c r="C26" s="289">
        <f>'Прил.5 Расчет СМР и ОБ'!J30</f>
        <v>541600.05000000005</v>
      </c>
      <c r="D26" s="161"/>
      <c r="E26" s="161">
        <f>C26/$C$40</f>
        <v>0.87368398740172337</v>
      </c>
    </row>
    <row r="27" spans="2:6" x14ac:dyDescent="0.25">
      <c r="B27" s="160" t="s">
        <v>100</v>
      </c>
      <c r="C27" s="194">
        <f>C24+C25</f>
        <v>557427.93999999994</v>
      </c>
      <c r="D27" s="161"/>
      <c r="E27" s="161">
        <f>C27/$C$40</f>
        <v>0.89921680270954285</v>
      </c>
    </row>
    <row r="28" spans="2:6" ht="33" customHeight="1" x14ac:dyDescent="0.25">
      <c r="B28" s="160" t="s">
        <v>101</v>
      </c>
      <c r="C28" s="160"/>
      <c r="D28" s="160"/>
      <c r="E28" s="160"/>
      <c r="F28" s="195"/>
    </row>
    <row r="29" spans="2:6" ht="25.5" customHeight="1" x14ac:dyDescent="0.25">
      <c r="B29" s="160" t="s">
        <v>201</v>
      </c>
      <c r="C29" s="194">
        <f>ROUND(C24*3.9%,2)</f>
        <v>617.29</v>
      </c>
      <c r="D29" s="160"/>
      <c r="E29" s="161">
        <f t="shared" ref="E29:E38" si="2">C29/$C$40</f>
        <v>9.9578349112635755E-4</v>
      </c>
    </row>
    <row r="30" spans="2:6" ht="38.25" customHeight="1" x14ac:dyDescent="0.25">
      <c r="B30" s="160" t="s">
        <v>202</v>
      </c>
      <c r="C30" s="308">
        <f>ROUND((C24+C29)*2.1%,2)</f>
        <v>345.35</v>
      </c>
      <c r="D30" s="309"/>
      <c r="E30" s="310">
        <f t="shared" si="2"/>
        <v>5.5710254282507023E-4</v>
      </c>
      <c r="F30" s="195"/>
    </row>
    <row r="31" spans="2:6" x14ac:dyDescent="0.25">
      <c r="B31" s="160" t="s">
        <v>203</v>
      </c>
      <c r="C31" s="308">
        <v>32120</v>
      </c>
      <c r="D31" s="309"/>
      <c r="E31" s="310">
        <f t="shared" si="2"/>
        <v>5.1814488708675992E-2</v>
      </c>
    </row>
    <row r="32" spans="2:6" ht="25.5" customHeight="1" x14ac:dyDescent="0.25">
      <c r="B32" s="160" t="s">
        <v>204</v>
      </c>
      <c r="C32" s="308">
        <v>0</v>
      </c>
      <c r="D32" s="309"/>
      <c r="E32" s="310">
        <f t="shared" si="2"/>
        <v>0</v>
      </c>
    </row>
    <row r="33" spans="2:11" ht="25.5" customHeight="1" x14ac:dyDescent="0.25">
      <c r="B33" s="160" t="s">
        <v>205</v>
      </c>
      <c r="C33" s="194">
        <v>0</v>
      </c>
      <c r="D33" s="309"/>
      <c r="E33" s="310">
        <f t="shared" si="2"/>
        <v>0</v>
      </c>
    </row>
    <row r="34" spans="2:11" ht="51" customHeight="1" x14ac:dyDescent="0.25">
      <c r="B34" s="160" t="s">
        <v>206</v>
      </c>
      <c r="C34" s="194">
        <v>0</v>
      </c>
      <c r="D34" s="160"/>
      <c r="E34" s="161">
        <f t="shared" si="2"/>
        <v>0</v>
      </c>
      <c r="G34" s="196"/>
    </row>
    <row r="35" spans="2:11" ht="76.5" customHeight="1" x14ac:dyDescent="0.25">
      <c r="B35" s="160" t="s">
        <v>207</v>
      </c>
      <c r="C35" s="194">
        <v>0</v>
      </c>
      <c r="D35" s="160"/>
      <c r="E35" s="161">
        <f t="shared" si="2"/>
        <v>0</v>
      </c>
    </row>
    <row r="36" spans="2:11" ht="25.5" customHeight="1" x14ac:dyDescent="0.25">
      <c r="B36" s="160" t="s">
        <v>208</v>
      </c>
      <c r="C36" s="194">
        <f>ROUND((C27+C32+C33+C34+C35+C29+C31+C30)*1.72%,2)</f>
        <v>10156.780000000001</v>
      </c>
      <c r="D36" s="160"/>
      <c r="E36" s="161">
        <f t="shared" si="2"/>
        <v>1.638444466458612E-2</v>
      </c>
      <c r="K36" s="195"/>
    </row>
    <row r="37" spans="2:11" x14ac:dyDescent="0.25">
      <c r="B37" s="160" t="s">
        <v>209</v>
      </c>
      <c r="C37" s="194">
        <f>ROUND((C27+C32+C33+C34+C35+C29+C31+C30)*0.2%,2)</f>
        <v>1181.02</v>
      </c>
      <c r="D37" s="160"/>
      <c r="E37" s="161">
        <f t="shared" si="2"/>
        <v>1.9051664836463424E-3</v>
      </c>
      <c r="K37" s="195"/>
    </row>
    <row r="38" spans="2:11" ht="38.25" customHeight="1" x14ac:dyDescent="0.25">
      <c r="B38" s="160" t="s">
        <v>107</v>
      </c>
      <c r="C38" s="289">
        <f>C27+C32+C33+C34+C35+C29+C31+C30+C36+C37</f>
        <v>601848.38</v>
      </c>
      <c r="D38" s="160"/>
      <c r="E38" s="161">
        <f t="shared" si="2"/>
        <v>0.97087378860040285</v>
      </c>
    </row>
    <row r="39" spans="2:11" ht="13.5" customHeight="1" x14ac:dyDescent="0.25">
      <c r="B39" s="160" t="s">
        <v>108</v>
      </c>
      <c r="C39" s="289">
        <f>ROUND(C38*3%,2)</f>
        <v>18055.45</v>
      </c>
      <c r="D39" s="160"/>
      <c r="E39" s="161">
        <f>C39/$C$38</f>
        <v>2.9999997673832737E-2</v>
      </c>
    </row>
    <row r="40" spans="2:11" x14ac:dyDescent="0.25">
      <c r="B40" s="160" t="s">
        <v>109</v>
      </c>
      <c r="C40" s="289">
        <f>C39+C38</f>
        <v>619903.82999999996</v>
      </c>
      <c r="D40" s="160"/>
      <c r="E40" s="161">
        <f>C40/$C$40</f>
        <v>1</v>
      </c>
    </row>
    <row r="41" spans="2:11" x14ac:dyDescent="0.25">
      <c r="B41" s="160" t="s">
        <v>110</v>
      </c>
      <c r="C41" s="289">
        <f>C40/'Прил.5 Расчет СМР и ОБ'!E57</f>
        <v>619903.82999999996</v>
      </c>
      <c r="D41" s="160"/>
      <c r="E41" s="160"/>
    </row>
    <row r="42" spans="2:11" x14ac:dyDescent="0.25">
      <c r="B42" s="164"/>
      <c r="C42" s="159"/>
      <c r="D42" s="159"/>
      <c r="E42" s="159"/>
    </row>
    <row r="43" spans="2:11" x14ac:dyDescent="0.25">
      <c r="B43" s="164" t="s">
        <v>210</v>
      </c>
      <c r="C43" s="159"/>
      <c r="D43" s="159"/>
      <c r="E43" s="159"/>
    </row>
    <row r="44" spans="2:11" x14ac:dyDescent="0.25">
      <c r="B44" s="164" t="s">
        <v>211</v>
      </c>
      <c r="C44" s="159"/>
      <c r="D44" s="159"/>
      <c r="E44" s="159"/>
    </row>
    <row r="45" spans="2:11" x14ac:dyDescent="0.25">
      <c r="B45" s="164"/>
      <c r="C45" s="159"/>
      <c r="D45" s="159"/>
      <c r="E45" s="159"/>
    </row>
    <row r="46" spans="2:11" x14ac:dyDescent="0.25">
      <c r="B46" s="164" t="s">
        <v>212</v>
      </c>
      <c r="C46" s="159"/>
      <c r="D46" s="159"/>
      <c r="E46" s="159"/>
    </row>
    <row r="47" spans="2:11" x14ac:dyDescent="0.25">
      <c r="B47" s="356" t="s">
        <v>213</v>
      </c>
      <c r="C47" s="356"/>
      <c r="D47" s="159"/>
      <c r="E47" s="159"/>
    </row>
    <row r="49" spans="2:5" x14ac:dyDescent="0.25">
      <c r="B49" s="159"/>
      <c r="C49" s="159"/>
      <c r="D49" s="159"/>
      <c r="E49" s="159"/>
    </row>
    <row r="50" spans="2:5" x14ac:dyDescent="0.25">
      <c r="B50" s="159"/>
      <c r="C50" s="159"/>
      <c r="D50" s="159"/>
      <c r="E50" s="1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3"/>
  <sheetViews>
    <sheetView tabSelected="1" view="pageBreakPreview" zoomScale="70" zoomScaleSheetLayoutView="70" workbookViewId="0">
      <selection activeCell="W27" sqref="W27:X2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77" t="s">
        <v>214</v>
      </c>
      <c r="I2" s="377"/>
      <c r="J2" s="377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32" t="s">
        <v>215</v>
      </c>
      <c r="B4" s="332"/>
      <c r="C4" s="332"/>
      <c r="D4" s="332"/>
      <c r="E4" s="332"/>
      <c r="F4" s="332"/>
      <c r="G4" s="332"/>
      <c r="H4" s="332"/>
      <c r="I4" s="332"/>
      <c r="J4" s="332"/>
    </row>
    <row r="5" spans="1:14" s="200" customFormat="1" ht="12.75" customHeight="1" x14ac:dyDescent="0.2">
      <c r="A5" s="277"/>
      <c r="B5" s="277"/>
      <c r="C5" s="201"/>
      <c r="D5" s="277"/>
      <c r="E5" s="277"/>
      <c r="F5" s="277"/>
      <c r="G5" s="277"/>
      <c r="H5" s="277"/>
      <c r="I5" s="277"/>
      <c r="J5" s="277"/>
    </row>
    <row r="6" spans="1:14" s="200" customFormat="1" ht="12.75" customHeight="1" x14ac:dyDescent="0.2">
      <c r="A6" s="202" t="s">
        <v>216</v>
      </c>
      <c r="B6" s="203"/>
      <c r="C6" s="203"/>
      <c r="D6" s="382" t="s">
        <v>217</v>
      </c>
      <c r="E6" s="382"/>
      <c r="F6" s="382"/>
      <c r="G6" s="382"/>
      <c r="H6" s="382"/>
      <c r="I6" s="382"/>
      <c r="J6" s="382"/>
    </row>
    <row r="7" spans="1:14" s="200" customFormat="1" ht="12.75" customHeight="1" x14ac:dyDescent="0.2">
      <c r="A7" s="335" t="s">
        <v>49</v>
      </c>
      <c r="B7" s="345"/>
      <c r="C7" s="345"/>
      <c r="D7" s="345"/>
      <c r="E7" s="345"/>
      <c r="F7" s="345"/>
      <c r="G7" s="345"/>
      <c r="H7" s="345"/>
      <c r="I7" s="204"/>
      <c r="J7" s="204"/>
    </row>
    <row r="8" spans="1:14" s="4" customFormat="1" ht="13.5" customHeight="1" x14ac:dyDescent="0.2">
      <c r="A8" s="335"/>
      <c r="B8" s="345"/>
      <c r="C8" s="345"/>
      <c r="D8" s="345"/>
      <c r="E8" s="345"/>
      <c r="F8" s="345"/>
      <c r="G8" s="345"/>
      <c r="H8" s="345"/>
    </row>
    <row r="9" spans="1:14" s="199" customFormat="1" ht="27" customHeight="1" x14ac:dyDescent="0.25">
      <c r="A9" s="364" t="s">
        <v>13</v>
      </c>
      <c r="B9" s="364" t="s">
        <v>135</v>
      </c>
      <c r="C9" s="364" t="s">
        <v>80</v>
      </c>
      <c r="D9" s="364" t="s">
        <v>137</v>
      </c>
      <c r="E9" s="380" t="s">
        <v>218</v>
      </c>
      <c r="F9" s="378" t="s">
        <v>81</v>
      </c>
      <c r="G9" s="379"/>
      <c r="H9" s="380" t="s">
        <v>219</v>
      </c>
      <c r="I9" s="378" t="s">
        <v>220</v>
      </c>
      <c r="J9" s="379"/>
      <c r="K9" s="198"/>
      <c r="L9" s="198"/>
      <c r="M9" s="198"/>
      <c r="N9" s="198"/>
    </row>
    <row r="10" spans="1:14" s="199" customFormat="1" ht="28.5" customHeight="1" x14ac:dyDescent="0.25">
      <c r="A10" s="364"/>
      <c r="B10" s="364"/>
      <c r="C10" s="364"/>
      <c r="D10" s="364"/>
      <c r="E10" s="381"/>
      <c r="F10" s="150" t="s">
        <v>221</v>
      </c>
      <c r="G10" s="150" t="s">
        <v>140</v>
      </c>
      <c r="H10" s="381"/>
      <c r="I10" s="150" t="s">
        <v>221</v>
      </c>
      <c r="J10" s="150" t="s">
        <v>140</v>
      </c>
      <c r="K10" s="198"/>
      <c r="L10" s="198"/>
      <c r="M10" s="198"/>
      <c r="N10" s="198"/>
    </row>
    <row r="11" spans="1:14" s="199" customFormat="1" x14ac:dyDescent="0.25">
      <c r="A11" s="150">
        <v>1</v>
      </c>
      <c r="B11" s="150">
        <v>2</v>
      </c>
      <c r="C11" s="150">
        <v>3</v>
      </c>
      <c r="D11" s="150">
        <v>4</v>
      </c>
      <c r="E11" s="150">
        <v>5</v>
      </c>
      <c r="F11" s="150">
        <v>6</v>
      </c>
      <c r="G11" s="150">
        <v>7</v>
      </c>
      <c r="H11" s="150">
        <v>8</v>
      </c>
      <c r="I11" s="276">
        <v>9</v>
      </c>
      <c r="J11" s="276">
        <v>10</v>
      </c>
      <c r="K11" s="198"/>
      <c r="L11" s="198"/>
      <c r="M11" s="198"/>
      <c r="N11" s="198"/>
    </row>
    <row r="12" spans="1:14" x14ac:dyDescent="0.25">
      <c r="A12" s="2"/>
      <c r="B12" s="362" t="s">
        <v>222</v>
      </c>
      <c r="C12" s="363"/>
      <c r="D12" s="364"/>
      <c r="E12" s="365"/>
      <c r="F12" s="366"/>
      <c r="G12" s="366"/>
      <c r="H12" s="367"/>
      <c r="I12" s="205"/>
      <c r="J12" s="205"/>
    </row>
    <row r="13" spans="1:14" ht="25.5" customHeight="1" x14ac:dyDescent="0.25">
      <c r="A13" s="2">
        <v>1</v>
      </c>
      <c r="B13" s="206" t="s">
        <v>223</v>
      </c>
      <c r="C13" s="207" t="s">
        <v>224</v>
      </c>
      <c r="D13" s="150" t="s">
        <v>225</v>
      </c>
      <c r="E13" s="208">
        <v>8.24</v>
      </c>
      <c r="F13" s="209">
        <v>9.51</v>
      </c>
      <c r="G13" s="209">
        <f>Прил.3!H12</f>
        <v>1067.43</v>
      </c>
      <c r="H13" s="210">
        <f>G13/$G$14</f>
        <v>1</v>
      </c>
      <c r="I13" s="211">
        <f>ФОТр.тек.!E13</f>
        <v>439.09244974661999</v>
      </c>
      <c r="J13" s="211">
        <f>ROUND(I13*E13,2)</f>
        <v>3618.12</v>
      </c>
    </row>
    <row r="14" spans="1:14" s="14" customFormat="1" ht="25.5" customHeight="1" x14ac:dyDescent="0.2">
      <c r="A14" s="2"/>
      <c r="B14" s="2"/>
      <c r="C14" s="279" t="s">
        <v>226</v>
      </c>
      <c r="D14" s="2" t="s">
        <v>225</v>
      </c>
      <c r="E14" s="212">
        <f>SUM(E13:E13)</f>
        <v>8.24</v>
      </c>
      <c r="F14" s="34"/>
      <c r="G14" s="34">
        <f>SUM(G13:G13)</f>
        <v>1067.43</v>
      </c>
      <c r="H14" s="282">
        <v>1</v>
      </c>
      <c r="I14" s="205"/>
      <c r="J14" s="209">
        <f>SUM(J13:J13)</f>
        <v>3618.12</v>
      </c>
    </row>
    <row r="15" spans="1:14" s="14" customFormat="1" ht="14.25" customHeight="1" x14ac:dyDescent="0.2">
      <c r="A15" s="2"/>
      <c r="B15" s="363" t="s">
        <v>149</v>
      </c>
      <c r="C15" s="363"/>
      <c r="D15" s="364"/>
      <c r="E15" s="365"/>
      <c r="F15" s="366"/>
      <c r="G15" s="366"/>
      <c r="H15" s="367"/>
      <c r="I15" s="205"/>
      <c r="J15" s="205"/>
    </row>
    <row r="16" spans="1:14" s="14" customFormat="1" ht="14.25" customHeight="1" x14ac:dyDescent="0.2">
      <c r="A16" s="2">
        <v>2</v>
      </c>
      <c r="B16" s="2">
        <v>2</v>
      </c>
      <c r="C16" s="9" t="s">
        <v>149</v>
      </c>
      <c r="D16" s="2" t="s">
        <v>225</v>
      </c>
      <c r="E16" s="212">
        <f>Прил.3!F16</f>
        <v>2.02</v>
      </c>
      <c r="F16" s="34">
        <f>G16/E16</f>
        <v>11.524752475247524</v>
      </c>
      <c r="G16" s="34">
        <f>Прил.3!H15</f>
        <v>23.28</v>
      </c>
      <c r="H16" s="282">
        <v>1</v>
      </c>
      <c r="I16" s="211">
        <f>ROUND(F16*Прил.10!D11,2)</f>
        <v>510.43</v>
      </c>
      <c r="J16" s="211">
        <f>ROUND(I16*E16,2)</f>
        <v>1031.07</v>
      </c>
    </row>
    <row r="17" spans="1:12" s="14" customFormat="1" ht="14.25" customHeight="1" x14ac:dyDescent="0.2">
      <c r="A17" s="2"/>
      <c r="B17" s="362" t="s">
        <v>150</v>
      </c>
      <c r="C17" s="363"/>
      <c r="D17" s="364"/>
      <c r="E17" s="365"/>
      <c r="F17" s="366"/>
      <c r="G17" s="366"/>
      <c r="H17" s="367"/>
      <c r="I17" s="205"/>
      <c r="J17" s="205"/>
    </row>
    <row r="18" spans="1:12" s="14" customFormat="1" ht="14.25" customHeight="1" x14ac:dyDescent="0.2">
      <c r="A18" s="2"/>
      <c r="B18" s="363" t="s">
        <v>227</v>
      </c>
      <c r="C18" s="363"/>
      <c r="D18" s="364"/>
      <c r="E18" s="365"/>
      <c r="F18" s="366"/>
      <c r="G18" s="366"/>
      <c r="H18" s="367"/>
      <c r="I18" s="205"/>
      <c r="J18" s="205"/>
    </row>
    <row r="19" spans="1:12" s="14" customFormat="1" ht="25.5" customHeight="1" x14ac:dyDescent="0.2">
      <c r="A19" s="2">
        <v>3</v>
      </c>
      <c r="B19" s="213" t="s">
        <v>151</v>
      </c>
      <c r="C19" s="214" t="s">
        <v>152</v>
      </c>
      <c r="D19" s="215" t="s">
        <v>153</v>
      </c>
      <c r="E19" s="212">
        <v>1.92</v>
      </c>
      <c r="F19" s="216">
        <v>65.709999999999994</v>
      </c>
      <c r="G19" s="217">
        <f>ROUND(E19*F19,2)</f>
        <v>126.16</v>
      </c>
      <c r="H19" s="218">
        <f>G19/$G$23</f>
        <v>0.93341225214560519</v>
      </c>
      <c r="I19" s="209">
        <f>ROUND(F19*Прил.10!$D$12,2)</f>
        <v>885.11</v>
      </c>
      <c r="J19" s="209">
        <f>ROUND(I19*E19,2)</f>
        <v>1699.41</v>
      </c>
    </row>
    <row r="20" spans="1:12" s="14" customFormat="1" ht="14.25" customHeight="1" x14ac:dyDescent="0.2">
      <c r="A20" s="2"/>
      <c r="B20" s="2"/>
      <c r="C20" s="9" t="s">
        <v>228</v>
      </c>
      <c r="D20" s="2"/>
      <c r="E20" s="212"/>
      <c r="F20" s="34"/>
      <c r="G20" s="34">
        <f>SUM(G19:G19)</f>
        <v>126.16</v>
      </c>
      <c r="H20" s="282">
        <f>G20/G23</f>
        <v>0.93341225214560519</v>
      </c>
      <c r="I20" s="219"/>
      <c r="J20" s="34">
        <f>SUM(J19:J19)</f>
        <v>1699.41</v>
      </c>
    </row>
    <row r="21" spans="1:12" s="14" customFormat="1" ht="14.25" customHeight="1" outlineLevel="1" x14ac:dyDescent="0.2">
      <c r="A21" s="2">
        <v>4</v>
      </c>
      <c r="B21" s="213" t="s">
        <v>154</v>
      </c>
      <c r="C21" s="214" t="s">
        <v>155</v>
      </c>
      <c r="D21" s="215" t="s">
        <v>153</v>
      </c>
      <c r="E21" s="212">
        <v>0.1</v>
      </c>
      <c r="F21" s="216">
        <v>89.99</v>
      </c>
      <c r="G21" s="217">
        <f>ROUND(E21*F21,2)</f>
        <v>9</v>
      </c>
      <c r="H21" s="218">
        <f>G21/$G$23</f>
        <v>6.6587747854394794E-2</v>
      </c>
      <c r="I21" s="209">
        <f>ROUND(F21*Прил.10!$D$12,2)</f>
        <v>1212.17</v>
      </c>
      <c r="J21" s="209">
        <f>ROUND(I21*E21,2)</f>
        <v>121.22</v>
      </c>
    </row>
    <row r="22" spans="1:12" s="14" customFormat="1" ht="14.25" customHeight="1" x14ac:dyDescent="0.2">
      <c r="A22" s="2"/>
      <c r="B22" s="2"/>
      <c r="C22" s="9" t="s">
        <v>229</v>
      </c>
      <c r="D22" s="2"/>
      <c r="E22" s="280"/>
      <c r="F22" s="34"/>
      <c r="G22" s="219">
        <f>SUM(G21:G21)</f>
        <v>9</v>
      </c>
      <c r="H22" s="220">
        <f>G22/G23</f>
        <v>6.6587747854394794E-2</v>
      </c>
      <c r="I22" s="221"/>
      <c r="J22" s="221">
        <f>SUM(J21:J21)</f>
        <v>121.22</v>
      </c>
    </row>
    <row r="23" spans="1:12" s="14" customFormat="1" ht="25.5" customHeight="1" x14ac:dyDescent="0.2">
      <c r="A23" s="2"/>
      <c r="B23" s="2"/>
      <c r="C23" s="279" t="s">
        <v>230</v>
      </c>
      <c r="D23" s="2"/>
      <c r="E23" s="280"/>
      <c r="F23" s="34"/>
      <c r="G23" s="34">
        <f>G22+G20</f>
        <v>135.16</v>
      </c>
      <c r="H23" s="222">
        <v>1</v>
      </c>
      <c r="I23" s="223"/>
      <c r="J23" s="224">
        <f>J22+J20</f>
        <v>1820.63</v>
      </c>
    </row>
    <row r="24" spans="1:12" s="14" customFormat="1" ht="14.25" customHeight="1" x14ac:dyDescent="0.2">
      <c r="A24" s="2"/>
      <c r="B24" s="362" t="s">
        <v>43</v>
      </c>
      <c r="C24" s="362"/>
      <c r="D24" s="368"/>
      <c r="E24" s="369"/>
      <c r="F24" s="370"/>
      <c r="G24" s="370"/>
      <c r="H24" s="371"/>
      <c r="I24" s="205"/>
      <c r="J24" s="205"/>
    </row>
    <row r="25" spans="1:12" x14ac:dyDescent="0.25">
      <c r="A25" s="283"/>
      <c r="B25" s="363" t="s">
        <v>231</v>
      </c>
      <c r="C25" s="363"/>
      <c r="D25" s="364"/>
      <c r="E25" s="365"/>
      <c r="F25" s="366"/>
      <c r="G25" s="366"/>
      <c r="H25" s="367"/>
      <c r="I25" s="225"/>
      <c r="J25" s="225"/>
      <c r="K25" s="226"/>
      <c r="L25" s="226"/>
    </row>
    <row r="26" spans="1:12" s="14" customFormat="1" ht="127.5" customHeight="1" x14ac:dyDescent="0.2">
      <c r="A26" s="2">
        <v>5</v>
      </c>
      <c r="B26" s="292" t="s">
        <v>232</v>
      </c>
      <c r="C26" s="293" t="s">
        <v>233</v>
      </c>
      <c r="D26" s="292" t="s">
        <v>158</v>
      </c>
      <c r="E26" s="294">
        <v>2</v>
      </c>
      <c r="F26" s="295">
        <f>ROUND(I26/Прил.10!$D$14,2)</f>
        <v>43258.79</v>
      </c>
      <c r="G26" s="296">
        <f>ROUND(E26*F26,2)</f>
        <v>86517.58</v>
      </c>
      <c r="H26" s="297">
        <f>G26/$G$29</f>
        <v>1</v>
      </c>
      <c r="I26" s="209">
        <v>270800</v>
      </c>
      <c r="J26" s="209">
        <f>ROUND(I26*E26,2)</f>
        <v>541600</v>
      </c>
    </row>
    <row r="27" spans="1:12" x14ac:dyDescent="0.25">
      <c r="A27" s="2"/>
      <c r="B27" s="298"/>
      <c r="C27" s="299" t="s">
        <v>234</v>
      </c>
      <c r="D27" s="300"/>
      <c r="E27" s="301"/>
      <c r="F27" s="302"/>
      <c r="G27" s="303">
        <f>SUM(G26:G26)</f>
        <v>86517.58</v>
      </c>
      <c r="H27" s="297">
        <f>G27/$G$29</f>
        <v>1</v>
      </c>
      <c r="I27" s="231"/>
      <c r="J27" s="230">
        <f>SUM(J26:J26)</f>
        <v>541600</v>
      </c>
      <c r="K27" s="226"/>
      <c r="L27" s="226"/>
    </row>
    <row r="28" spans="1:12" x14ac:dyDescent="0.25">
      <c r="A28" s="2"/>
      <c r="B28" s="298"/>
      <c r="C28" s="299" t="s">
        <v>235</v>
      </c>
      <c r="D28" s="298"/>
      <c r="E28" s="301"/>
      <c r="F28" s="302"/>
      <c r="G28" s="303">
        <v>0</v>
      </c>
      <c r="H28" s="297">
        <f>G28/$G$29</f>
        <v>0</v>
      </c>
      <c r="I28" s="231"/>
      <c r="J28" s="230">
        <v>0</v>
      </c>
      <c r="K28" s="226"/>
      <c r="L28" s="226"/>
    </row>
    <row r="29" spans="1:12" x14ac:dyDescent="0.25">
      <c r="A29" s="283"/>
      <c r="B29" s="298"/>
      <c r="C29" s="304" t="s">
        <v>236</v>
      </c>
      <c r="D29" s="298"/>
      <c r="E29" s="305"/>
      <c r="F29" s="302"/>
      <c r="G29" s="303">
        <f>G27+G28</f>
        <v>86517.58</v>
      </c>
      <c r="H29" s="297">
        <f>H27+H28</f>
        <v>1</v>
      </c>
      <c r="I29" s="231"/>
      <c r="J29" s="230">
        <f>J28+J27</f>
        <v>541600</v>
      </c>
      <c r="K29" s="226"/>
      <c r="L29" s="226"/>
    </row>
    <row r="30" spans="1:12" ht="25.5" customHeight="1" x14ac:dyDescent="0.25">
      <c r="A30" s="283"/>
      <c r="B30" s="298"/>
      <c r="C30" s="299" t="s">
        <v>237</v>
      </c>
      <c r="D30" s="298"/>
      <c r="E30" s="306"/>
      <c r="F30" s="302"/>
      <c r="G30" s="303">
        <f>'Прил.6 Расчет ОБ'!G13</f>
        <v>86517.58</v>
      </c>
      <c r="H30" s="307"/>
      <c r="I30" s="231"/>
      <c r="J30" s="230">
        <f>ROUND(G30*Прил.10!D14,2)</f>
        <v>541600.05000000005</v>
      </c>
      <c r="K30" s="226"/>
      <c r="L30" s="226"/>
    </row>
    <row r="31" spans="1:12" s="14" customFormat="1" ht="14.25" customHeight="1" x14ac:dyDescent="0.2">
      <c r="A31" s="2"/>
      <c r="B31" s="372" t="s">
        <v>159</v>
      </c>
      <c r="C31" s="372"/>
      <c r="D31" s="373"/>
      <c r="E31" s="374"/>
      <c r="F31" s="375"/>
      <c r="G31" s="375"/>
      <c r="H31" s="376"/>
      <c r="I31" s="205"/>
      <c r="J31" s="205"/>
    </row>
    <row r="32" spans="1:12" s="14" customFormat="1" ht="14.25" customHeight="1" x14ac:dyDescent="0.2">
      <c r="A32" s="278"/>
      <c r="B32" s="357" t="s">
        <v>238</v>
      </c>
      <c r="C32" s="357"/>
      <c r="D32" s="358"/>
      <c r="E32" s="359"/>
      <c r="F32" s="360"/>
      <c r="G32" s="360"/>
      <c r="H32" s="361"/>
      <c r="I32" s="233"/>
      <c r="J32" s="233"/>
    </row>
    <row r="33" spans="1:12" s="14" customFormat="1" ht="25.5" customHeight="1" x14ac:dyDescent="0.2">
      <c r="A33" s="227">
        <v>9</v>
      </c>
      <c r="B33" s="292" t="s">
        <v>160</v>
      </c>
      <c r="C33" s="293" t="s">
        <v>161</v>
      </c>
      <c r="D33" s="292" t="s">
        <v>162</v>
      </c>
      <c r="E33" s="294">
        <v>1.2E-2</v>
      </c>
      <c r="F33" s="295">
        <v>15481</v>
      </c>
      <c r="G33" s="296">
        <f t="shared" ref="G33:G39" si="0">ROUND(E33*F33,2)</f>
        <v>185.77</v>
      </c>
      <c r="H33" s="297">
        <f t="shared" ref="H33:H51" si="1">G33/$G$51</f>
        <v>0.41472998013082407</v>
      </c>
      <c r="I33" s="209">
        <f>ROUND(F33*Прил.10!$D$13,2)</f>
        <v>124467.24</v>
      </c>
      <c r="J33" s="209">
        <f t="shared" ref="J33:J39" si="2">ROUND(I33*E33,2)</f>
        <v>1493.61</v>
      </c>
    </row>
    <row r="34" spans="1:12" s="14" customFormat="1" ht="38.25" customHeight="1" x14ac:dyDescent="0.2">
      <c r="A34" s="227">
        <v>10</v>
      </c>
      <c r="B34" s="292" t="s">
        <v>163</v>
      </c>
      <c r="C34" s="293" t="s">
        <v>164</v>
      </c>
      <c r="D34" s="292" t="s">
        <v>162</v>
      </c>
      <c r="E34" s="294">
        <v>8.0000000000000004E-4</v>
      </c>
      <c r="F34" s="295">
        <v>75162.289999999994</v>
      </c>
      <c r="G34" s="296">
        <f t="shared" si="0"/>
        <v>60.13</v>
      </c>
      <c r="H34" s="297">
        <f t="shared" si="1"/>
        <v>0.13423972495702455</v>
      </c>
      <c r="I34" s="209">
        <f>ROUND(F34*Прил.10!$D$13,2)</f>
        <v>604304.81000000006</v>
      </c>
      <c r="J34" s="209">
        <f t="shared" si="2"/>
        <v>483.44</v>
      </c>
    </row>
    <row r="35" spans="1:12" s="14" customFormat="1" ht="14.25" customHeight="1" x14ac:dyDescent="0.2">
      <c r="A35" s="227">
        <v>11</v>
      </c>
      <c r="B35" s="227" t="s">
        <v>165</v>
      </c>
      <c r="C35" s="156" t="s">
        <v>166</v>
      </c>
      <c r="D35" s="227" t="s">
        <v>167</v>
      </c>
      <c r="E35" s="228">
        <v>0.3</v>
      </c>
      <c r="F35" s="229">
        <v>155</v>
      </c>
      <c r="G35" s="217">
        <f t="shared" si="0"/>
        <v>46.5</v>
      </c>
      <c r="H35" s="220">
        <f t="shared" si="1"/>
        <v>0.10381086330453421</v>
      </c>
      <c r="I35" s="209">
        <f>ROUND(F35*Прил.10!$D$13,2)</f>
        <v>1246.2</v>
      </c>
      <c r="J35" s="209">
        <f t="shared" si="2"/>
        <v>373.86</v>
      </c>
    </row>
    <row r="36" spans="1:12" s="14" customFormat="1" ht="14.25" customHeight="1" x14ac:dyDescent="0.2">
      <c r="A36" s="227">
        <v>12</v>
      </c>
      <c r="B36" s="227" t="s">
        <v>168</v>
      </c>
      <c r="C36" s="156" t="s">
        <v>169</v>
      </c>
      <c r="D36" s="227" t="s">
        <v>170</v>
      </c>
      <c r="E36" s="228">
        <v>0.2</v>
      </c>
      <c r="F36" s="229">
        <v>203</v>
      </c>
      <c r="G36" s="217">
        <f t="shared" si="0"/>
        <v>40.6</v>
      </c>
      <c r="H36" s="220">
        <f t="shared" si="1"/>
        <v>9.0639162369120188E-2</v>
      </c>
      <c r="I36" s="209">
        <f>ROUND(F36*Прил.10!$D$13,2)</f>
        <v>1632.12</v>
      </c>
      <c r="J36" s="209">
        <f t="shared" si="2"/>
        <v>326.42</v>
      </c>
    </row>
    <row r="37" spans="1:12" s="14" customFormat="1" ht="25.5" customHeight="1" x14ac:dyDescent="0.2">
      <c r="A37" s="227">
        <v>13</v>
      </c>
      <c r="B37" s="227" t="s">
        <v>171</v>
      </c>
      <c r="C37" s="156" t="s">
        <v>172</v>
      </c>
      <c r="D37" s="227" t="s">
        <v>162</v>
      </c>
      <c r="E37" s="228">
        <v>1.9400000000000001E-3</v>
      </c>
      <c r="F37" s="229">
        <v>12606</v>
      </c>
      <c r="G37" s="217">
        <f t="shared" si="0"/>
        <v>24.46</v>
      </c>
      <c r="H37" s="220">
        <f t="shared" si="1"/>
        <v>5.4606746589868964E-2</v>
      </c>
      <c r="I37" s="209">
        <f>ROUND(F37*Прил.10!$D$13,2)</f>
        <v>101352.24</v>
      </c>
      <c r="J37" s="209">
        <f t="shared" si="2"/>
        <v>196.62</v>
      </c>
    </row>
    <row r="38" spans="1:12" s="14" customFormat="1" ht="25.5" customHeight="1" x14ac:dyDescent="0.2">
      <c r="A38" s="227">
        <v>14</v>
      </c>
      <c r="B38" s="227" t="s">
        <v>173</v>
      </c>
      <c r="C38" s="156" t="s">
        <v>174</v>
      </c>
      <c r="D38" s="227" t="s">
        <v>175</v>
      </c>
      <c r="E38" s="228">
        <v>21.4</v>
      </c>
      <c r="F38" s="229">
        <v>1</v>
      </c>
      <c r="G38" s="217">
        <f t="shared" si="0"/>
        <v>21.4</v>
      </c>
      <c r="H38" s="220">
        <f t="shared" si="1"/>
        <v>4.7775322036925416E-2</v>
      </c>
      <c r="I38" s="209">
        <f>ROUND(F38*Прил.10!$D$13,2)</f>
        <v>8.0399999999999991</v>
      </c>
      <c r="J38" s="209">
        <f t="shared" si="2"/>
        <v>172.06</v>
      </c>
    </row>
    <row r="39" spans="1:12" s="14" customFormat="1" ht="38.25" customHeight="1" x14ac:dyDescent="0.2">
      <c r="A39" s="227">
        <v>15</v>
      </c>
      <c r="B39" s="227" t="s">
        <v>176</v>
      </c>
      <c r="C39" s="156" t="s">
        <v>177</v>
      </c>
      <c r="D39" s="227" t="s">
        <v>162</v>
      </c>
      <c r="E39" s="228">
        <v>5.5999999999999995E-4</v>
      </c>
      <c r="F39" s="229">
        <v>37517</v>
      </c>
      <c r="G39" s="217">
        <f t="shared" si="0"/>
        <v>21.01</v>
      </c>
      <c r="H39" s="220">
        <f t="shared" si="1"/>
        <v>4.6904650280177713E-2</v>
      </c>
      <c r="I39" s="209">
        <f>ROUND(F39*Прил.10!$D$13,2)</f>
        <v>301636.68</v>
      </c>
      <c r="J39" s="209">
        <f t="shared" si="2"/>
        <v>168.92</v>
      </c>
    </row>
    <row r="40" spans="1:12" s="14" customFormat="1" ht="14.25" customHeight="1" x14ac:dyDescent="0.2">
      <c r="A40" s="234"/>
      <c r="B40" s="235"/>
      <c r="C40" s="236" t="s">
        <v>239</v>
      </c>
      <c r="D40" s="237"/>
      <c r="E40" s="238"/>
      <c r="F40" s="239"/>
      <c r="G40" s="240">
        <f>SUM(G33:G39)</f>
        <v>399.86999999999995</v>
      </c>
      <c r="H40" s="220">
        <f t="shared" si="1"/>
        <v>0.89270644966847501</v>
      </c>
      <c r="I40" s="209"/>
      <c r="J40" s="240">
        <f>SUM(J33:J39)</f>
        <v>3214.93</v>
      </c>
      <c r="K40" s="30"/>
      <c r="L40" s="30"/>
    </row>
    <row r="41" spans="1:12" s="14" customFormat="1" ht="14.25" hidden="1" customHeight="1" outlineLevel="1" x14ac:dyDescent="0.2">
      <c r="A41" s="227">
        <v>16</v>
      </c>
      <c r="B41" s="227" t="s">
        <v>178</v>
      </c>
      <c r="C41" s="156" t="s">
        <v>179</v>
      </c>
      <c r="D41" s="227" t="s">
        <v>162</v>
      </c>
      <c r="E41" s="228">
        <v>3.6000000000000002E-4</v>
      </c>
      <c r="F41" s="229">
        <v>42700.01</v>
      </c>
      <c r="G41" s="217">
        <f t="shared" ref="G41:G49" si="3">ROUND(E41*F41,2)</f>
        <v>15.37</v>
      </c>
      <c r="H41" s="220">
        <f t="shared" si="1"/>
        <v>3.4313397182595497E-2</v>
      </c>
      <c r="I41" s="209">
        <f>ROUND(F41*Прил.10!$D$13,2)</f>
        <v>343308.08</v>
      </c>
      <c r="J41" s="209">
        <f t="shared" ref="J41:J49" si="4">ROUND(I41*E41,2)</f>
        <v>123.59</v>
      </c>
    </row>
    <row r="42" spans="1:12" s="14" customFormat="1" ht="25.5" hidden="1" customHeight="1" outlineLevel="1" x14ac:dyDescent="0.2">
      <c r="A42" s="227">
        <v>17</v>
      </c>
      <c r="B42" s="227" t="s">
        <v>180</v>
      </c>
      <c r="C42" s="156" t="s">
        <v>181</v>
      </c>
      <c r="D42" s="227" t="s">
        <v>162</v>
      </c>
      <c r="E42" s="228">
        <v>1.2E-4</v>
      </c>
      <c r="F42" s="229">
        <v>114220</v>
      </c>
      <c r="G42" s="217">
        <f t="shared" si="3"/>
        <v>13.71</v>
      </c>
      <c r="H42" s="220">
        <f t="shared" si="1"/>
        <v>3.0607460987207829E-2</v>
      </c>
      <c r="I42" s="209">
        <f>ROUND(F42*Прил.10!$D$13,2)</f>
        <v>918328.8</v>
      </c>
      <c r="J42" s="209">
        <f t="shared" si="4"/>
        <v>110.2</v>
      </c>
    </row>
    <row r="43" spans="1:12" s="14" customFormat="1" ht="14.25" hidden="1" customHeight="1" outlineLevel="1" x14ac:dyDescent="0.2">
      <c r="A43" s="227">
        <v>18</v>
      </c>
      <c r="B43" s="227" t="s">
        <v>182</v>
      </c>
      <c r="C43" s="156" t="s">
        <v>183</v>
      </c>
      <c r="D43" s="227" t="s">
        <v>167</v>
      </c>
      <c r="E43" s="228">
        <v>0.24</v>
      </c>
      <c r="F43" s="229">
        <v>28.26</v>
      </c>
      <c r="G43" s="217">
        <f t="shared" si="3"/>
        <v>6.78</v>
      </c>
      <c r="H43" s="220">
        <f t="shared" si="1"/>
        <v>1.5136293617306278E-2</v>
      </c>
      <c r="I43" s="209">
        <f>ROUND(F43*Прил.10!$D$13,2)</f>
        <v>227.21</v>
      </c>
      <c r="J43" s="209">
        <f t="shared" si="4"/>
        <v>54.53</v>
      </c>
    </row>
    <row r="44" spans="1:12" s="14" customFormat="1" ht="14.25" hidden="1" customHeight="1" outlineLevel="1" x14ac:dyDescent="0.2">
      <c r="A44" s="227">
        <v>19</v>
      </c>
      <c r="B44" s="227" t="s">
        <v>184</v>
      </c>
      <c r="C44" s="156" t="s">
        <v>185</v>
      </c>
      <c r="D44" s="227" t="s">
        <v>167</v>
      </c>
      <c r="E44" s="228">
        <v>3.6999999999999998E-2</v>
      </c>
      <c r="F44" s="229">
        <v>138.76</v>
      </c>
      <c r="G44" s="217">
        <f t="shared" si="3"/>
        <v>5.13</v>
      </c>
      <c r="H44" s="220">
        <f t="shared" si="1"/>
        <v>1.1452682338758289E-2</v>
      </c>
      <c r="I44" s="209">
        <f>ROUND(F44*Прил.10!$D$13,2)</f>
        <v>1115.6300000000001</v>
      </c>
      <c r="J44" s="209">
        <f t="shared" si="4"/>
        <v>41.28</v>
      </c>
    </row>
    <row r="45" spans="1:12" s="14" customFormat="1" ht="38.25" hidden="1" customHeight="1" outlineLevel="1" x14ac:dyDescent="0.2">
      <c r="A45" s="227">
        <v>20</v>
      </c>
      <c r="B45" s="227" t="s">
        <v>186</v>
      </c>
      <c r="C45" s="156" t="s">
        <v>187</v>
      </c>
      <c r="D45" s="227" t="s">
        <v>188</v>
      </c>
      <c r="E45" s="228">
        <v>6.0000000000000001E-3</v>
      </c>
      <c r="F45" s="229">
        <v>405.22</v>
      </c>
      <c r="G45" s="217">
        <f t="shared" si="3"/>
        <v>2.4300000000000002</v>
      </c>
      <c r="H45" s="220">
        <f t="shared" si="1"/>
        <v>5.4249547920434005E-3</v>
      </c>
      <c r="I45" s="209">
        <f>ROUND(F45*Прил.10!$D$13,2)</f>
        <v>3257.97</v>
      </c>
      <c r="J45" s="209">
        <f t="shared" si="4"/>
        <v>19.55</v>
      </c>
    </row>
    <row r="46" spans="1:12" s="14" customFormat="1" ht="25.5" hidden="1" customHeight="1" outlineLevel="1" x14ac:dyDescent="0.2">
      <c r="A46" s="227">
        <v>21</v>
      </c>
      <c r="B46" s="227" t="s">
        <v>189</v>
      </c>
      <c r="C46" s="156" t="s">
        <v>190</v>
      </c>
      <c r="D46" s="227" t="s">
        <v>167</v>
      </c>
      <c r="E46" s="228">
        <v>5.1999999999999998E-2</v>
      </c>
      <c r="F46" s="229">
        <v>39.020000000000003</v>
      </c>
      <c r="G46" s="217">
        <f t="shared" si="3"/>
        <v>2.0299999999999998</v>
      </c>
      <c r="H46" s="220">
        <f t="shared" si="1"/>
        <v>4.5319581184560089E-3</v>
      </c>
      <c r="I46" s="209">
        <f>ROUND(F46*Прил.10!$D$13,2)</f>
        <v>313.72000000000003</v>
      </c>
      <c r="J46" s="209">
        <f t="shared" si="4"/>
        <v>16.309999999999999</v>
      </c>
    </row>
    <row r="47" spans="1:12" s="14" customFormat="1" ht="25.5" hidden="1" customHeight="1" outlineLevel="1" x14ac:dyDescent="0.2">
      <c r="A47" s="227">
        <v>22</v>
      </c>
      <c r="B47" s="227" t="s">
        <v>191</v>
      </c>
      <c r="C47" s="156" t="s">
        <v>192</v>
      </c>
      <c r="D47" s="227" t="s">
        <v>167</v>
      </c>
      <c r="E47" s="228">
        <v>0.04</v>
      </c>
      <c r="F47" s="229">
        <v>38.340000000000003</v>
      </c>
      <c r="G47" s="217">
        <f t="shared" si="3"/>
        <v>1.53</v>
      </c>
      <c r="H47" s="220">
        <f t="shared" si="1"/>
        <v>3.4157122764717704E-3</v>
      </c>
      <c r="I47" s="209">
        <f>ROUND(F47*Прил.10!$D$13,2)</f>
        <v>308.25</v>
      </c>
      <c r="J47" s="209">
        <f t="shared" si="4"/>
        <v>12.33</v>
      </c>
    </row>
    <row r="48" spans="1:12" s="14" customFormat="1" ht="25.5" hidden="1" customHeight="1" outlineLevel="1" x14ac:dyDescent="0.2">
      <c r="A48" s="227">
        <v>23</v>
      </c>
      <c r="B48" s="227" t="s">
        <v>193</v>
      </c>
      <c r="C48" s="156" t="s">
        <v>194</v>
      </c>
      <c r="D48" s="227" t="s">
        <v>162</v>
      </c>
      <c r="E48" s="228">
        <v>4.8000000000000001E-5</v>
      </c>
      <c r="F48" s="229">
        <v>22419</v>
      </c>
      <c r="G48" s="217">
        <f t="shared" si="3"/>
        <v>1.08</v>
      </c>
      <c r="H48" s="220">
        <f t="shared" si="1"/>
        <v>2.4110910186859557E-3</v>
      </c>
      <c r="I48" s="209">
        <f>ROUND(F48*Прил.10!$D$13,2)</f>
        <v>180248.76</v>
      </c>
      <c r="J48" s="209">
        <f t="shared" si="4"/>
        <v>8.65</v>
      </c>
    </row>
    <row r="49" spans="1:10" s="14" customFormat="1" ht="14.25" hidden="1" customHeight="1" outlineLevel="1" x14ac:dyDescent="0.2">
      <c r="A49" s="227">
        <v>24</v>
      </c>
      <c r="B49" s="227" t="s">
        <v>195</v>
      </c>
      <c r="C49" s="156" t="s">
        <v>196</v>
      </c>
      <c r="D49" s="227" t="s">
        <v>162</v>
      </c>
      <c r="E49" s="228">
        <v>0.35</v>
      </c>
      <c r="F49" s="229"/>
      <c r="G49" s="217">
        <f t="shared" si="3"/>
        <v>0</v>
      </c>
      <c r="H49" s="220">
        <f t="shared" si="1"/>
        <v>0</v>
      </c>
      <c r="I49" s="209">
        <f>ROUND(F49*Прил.10!$D$13,2)</f>
        <v>0</v>
      </c>
      <c r="J49" s="209">
        <f t="shared" si="4"/>
        <v>0</v>
      </c>
    </row>
    <row r="50" spans="1:10" s="14" customFormat="1" ht="14.25" customHeight="1" collapsed="1" x14ac:dyDescent="0.2">
      <c r="A50" s="2"/>
      <c r="B50" s="2"/>
      <c r="C50" s="9" t="s">
        <v>240</v>
      </c>
      <c r="D50" s="2"/>
      <c r="E50" s="280"/>
      <c r="F50" s="281"/>
      <c r="G50" s="34">
        <f>SUM(G41:G49)</f>
        <v>48.06</v>
      </c>
      <c r="H50" s="220">
        <f t="shared" si="1"/>
        <v>0.10729355033152503</v>
      </c>
      <c r="I50" s="34"/>
      <c r="J50" s="34">
        <f>SUM(J41:J49)</f>
        <v>386.44</v>
      </c>
    </row>
    <row r="51" spans="1:10" s="14" customFormat="1" ht="14.25" customHeight="1" x14ac:dyDescent="0.2">
      <c r="A51" s="2"/>
      <c r="B51" s="2"/>
      <c r="C51" s="279" t="s">
        <v>241</v>
      </c>
      <c r="D51" s="2"/>
      <c r="E51" s="280"/>
      <c r="F51" s="281"/>
      <c r="G51" s="34">
        <f>G40+G50</f>
        <v>447.92999999999995</v>
      </c>
      <c r="H51" s="282">
        <f t="shared" si="1"/>
        <v>1</v>
      </c>
      <c r="I51" s="34"/>
      <c r="J51" s="34">
        <f>J40+J50</f>
        <v>3601.37</v>
      </c>
    </row>
    <row r="52" spans="1:10" s="14" customFormat="1" ht="14.25" customHeight="1" x14ac:dyDescent="0.2">
      <c r="A52" s="2"/>
      <c r="B52" s="2"/>
      <c r="C52" s="9" t="s">
        <v>242</v>
      </c>
      <c r="D52" s="2"/>
      <c r="E52" s="280"/>
      <c r="F52" s="281"/>
      <c r="G52" s="34">
        <f>G14+G23+G51</f>
        <v>1650.52</v>
      </c>
      <c r="H52" s="282"/>
      <c r="I52" s="34"/>
      <c r="J52" s="34">
        <f>J14+J23+J51</f>
        <v>9040.119999999999</v>
      </c>
    </row>
    <row r="53" spans="1:10" s="14" customFormat="1" ht="14.25" customHeight="1" x14ac:dyDescent="0.2">
      <c r="A53" s="2"/>
      <c r="B53" s="2"/>
      <c r="C53" s="9" t="s">
        <v>243</v>
      </c>
      <c r="D53" s="241">
        <f>ROUND(G53/(G$16+$G$14),2)</f>
        <v>0.94</v>
      </c>
      <c r="E53" s="280"/>
      <c r="F53" s="281"/>
      <c r="G53" s="34">
        <v>1029.8699999999999</v>
      </c>
      <c r="H53" s="282"/>
      <c r="I53" s="34"/>
      <c r="J53" s="209">
        <f>ROUND(D53*(J14+J16),2)</f>
        <v>4370.24</v>
      </c>
    </row>
    <row r="54" spans="1:10" s="14" customFormat="1" ht="14.25" customHeight="1" x14ac:dyDescent="0.2">
      <c r="A54" s="2"/>
      <c r="B54" s="2"/>
      <c r="C54" s="9" t="s">
        <v>244</v>
      </c>
      <c r="D54" s="241">
        <f>ROUND(G54/(G$14+G$16),2)</f>
        <v>0.52</v>
      </c>
      <c r="E54" s="280"/>
      <c r="F54" s="281"/>
      <c r="G54" s="34">
        <v>569.17999999999995</v>
      </c>
      <c r="H54" s="282"/>
      <c r="I54" s="34"/>
      <c r="J54" s="209">
        <f>ROUND(D54*(J14+J16),2)</f>
        <v>2417.58</v>
      </c>
    </row>
    <row r="55" spans="1:10" s="14" customFormat="1" ht="14.25" customHeight="1" x14ac:dyDescent="0.2">
      <c r="A55" s="2"/>
      <c r="B55" s="2"/>
      <c r="C55" s="9" t="s">
        <v>245</v>
      </c>
      <c r="D55" s="2"/>
      <c r="E55" s="280"/>
      <c r="F55" s="281"/>
      <c r="G55" s="34">
        <f>G14+G23+G51+G53+G54</f>
        <v>3249.5699999999997</v>
      </c>
      <c r="H55" s="282"/>
      <c r="I55" s="34"/>
      <c r="J55" s="34">
        <f>J14+J23+J51+J53+J54</f>
        <v>15827.939999999999</v>
      </c>
    </row>
    <row r="56" spans="1:10" s="14" customFormat="1" ht="14.25" customHeight="1" x14ac:dyDescent="0.2">
      <c r="A56" s="2"/>
      <c r="B56" s="2"/>
      <c r="C56" s="9" t="s">
        <v>246</v>
      </c>
      <c r="D56" s="2"/>
      <c r="E56" s="280"/>
      <c r="F56" s="281"/>
      <c r="G56" s="34">
        <f>G55+G29</f>
        <v>89767.15</v>
      </c>
      <c r="H56" s="282"/>
      <c r="I56" s="34"/>
      <c r="J56" s="34">
        <f>J55+J29</f>
        <v>557427.93999999994</v>
      </c>
    </row>
    <row r="57" spans="1:10" s="14" customFormat="1" ht="34.5" customHeight="1" x14ac:dyDescent="0.2">
      <c r="A57" s="2"/>
      <c r="B57" s="2"/>
      <c r="C57" s="9" t="s">
        <v>110</v>
      </c>
      <c r="D57" s="2" t="s">
        <v>247</v>
      </c>
      <c r="E57" s="288">
        <v>1</v>
      </c>
      <c r="F57" s="281"/>
      <c r="G57" s="34">
        <f>G56/E57</f>
        <v>89767.15</v>
      </c>
      <c r="H57" s="282"/>
      <c r="I57" s="34"/>
      <c r="J57" s="34">
        <f>J56/E57</f>
        <v>557427.93999999994</v>
      </c>
    </row>
    <row r="59" spans="1:10" s="14" customFormat="1" ht="14.25" customHeight="1" x14ac:dyDescent="0.2">
      <c r="A59" s="4" t="s">
        <v>248</v>
      </c>
    </row>
    <row r="60" spans="1:10" s="14" customFormat="1" ht="14.25" customHeight="1" x14ac:dyDescent="0.2">
      <c r="A60" s="242" t="s">
        <v>76</v>
      </c>
    </row>
    <row r="61" spans="1:10" s="14" customFormat="1" ht="14.25" customHeight="1" x14ac:dyDescent="0.2">
      <c r="A61" s="4"/>
    </row>
    <row r="62" spans="1:10" s="14" customFormat="1" ht="14.25" customHeight="1" x14ac:dyDescent="0.2">
      <c r="A62" s="4" t="s">
        <v>249</v>
      </c>
    </row>
    <row r="63" spans="1:10" s="14" customFormat="1" ht="14.25" customHeight="1" x14ac:dyDescent="0.2">
      <c r="A63" s="242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2:H32"/>
    <mergeCell ref="B12:H12"/>
    <mergeCell ref="B15:H15"/>
    <mergeCell ref="B17:H17"/>
    <mergeCell ref="B18:H18"/>
    <mergeCell ref="B25:H25"/>
    <mergeCell ref="B24:H24"/>
    <mergeCell ref="B31:H3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14</vt:i4>
      </vt:variant>
    </vt:vector>
  </HeadingPairs>
  <TitlesOfParts>
    <vt:vector size="30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2023-11-26T06:55:13Z</cp:lastPrinted>
  <dcterms:created xsi:type="dcterms:W3CDTF">2020-09-30T08:50:27Z</dcterms:created>
  <dcterms:modified xsi:type="dcterms:W3CDTF">2023-11-26T06:55:24Z</dcterms:modified>
  <cp:category/>
</cp:coreProperties>
</file>