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DDDB116E-325F-422A-84A0-09F70FBF4D08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5">Прил.3!$A$1:$H$184</definedName>
    <definedName name="_xlnm.Print_Area" localSheetId="6">'Прил.4 РМ'!$A$1:$E$48</definedName>
    <definedName name="_xlnm.Print_Area" localSheetId="7">'Прил.5 Расчет СМР и ОБ'!$A$1:$J$203</definedName>
    <definedName name="_xlnm.Print_Area" localSheetId="8">'Прил.6 Расчет ОБ'!$A$1:$G$56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C11" i="10"/>
  <c r="D5" i="10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J187" i="8"/>
  <c r="I187" i="8"/>
  <c r="G187" i="8"/>
  <c r="I186" i="8"/>
  <c r="J186" i="8" s="1"/>
  <c r="G186" i="8"/>
  <c r="I185" i="8"/>
  <c r="J185" i="8" s="1"/>
  <c r="G185" i="8"/>
  <c r="J184" i="8"/>
  <c r="I184" i="8"/>
  <c r="G184" i="8"/>
  <c r="I183" i="8"/>
  <c r="J183" i="8" s="1"/>
  <c r="G183" i="8"/>
  <c r="I182" i="8"/>
  <c r="J182" i="8" s="1"/>
  <c r="G182" i="8"/>
  <c r="J181" i="8"/>
  <c r="I181" i="8"/>
  <c r="G181" i="8"/>
  <c r="I180" i="8"/>
  <c r="J180" i="8" s="1"/>
  <c r="G180" i="8"/>
  <c r="I179" i="8"/>
  <c r="J179" i="8" s="1"/>
  <c r="G179" i="8"/>
  <c r="J178" i="8"/>
  <c r="I178" i="8"/>
  <c r="G178" i="8"/>
  <c r="I177" i="8"/>
  <c r="J177" i="8" s="1"/>
  <c r="G177" i="8"/>
  <c r="I176" i="8"/>
  <c r="J176" i="8" s="1"/>
  <c r="G176" i="8"/>
  <c r="J175" i="8"/>
  <c r="I175" i="8"/>
  <c r="G175" i="8"/>
  <c r="I174" i="8"/>
  <c r="J174" i="8" s="1"/>
  <c r="G174" i="8"/>
  <c r="I173" i="8"/>
  <c r="J173" i="8" s="1"/>
  <c r="G173" i="8"/>
  <c r="J172" i="8"/>
  <c r="I172" i="8"/>
  <c r="G172" i="8"/>
  <c r="I171" i="8"/>
  <c r="J171" i="8" s="1"/>
  <c r="G171" i="8"/>
  <c r="I170" i="8"/>
  <c r="J170" i="8" s="1"/>
  <c r="G170" i="8"/>
  <c r="J169" i="8"/>
  <c r="I169" i="8"/>
  <c r="G169" i="8"/>
  <c r="I168" i="8"/>
  <c r="J168" i="8" s="1"/>
  <c r="G168" i="8"/>
  <c r="I167" i="8"/>
  <c r="J167" i="8" s="1"/>
  <c r="G167" i="8"/>
  <c r="J166" i="8"/>
  <c r="I166" i="8"/>
  <c r="G166" i="8"/>
  <c r="I165" i="8"/>
  <c r="J165" i="8" s="1"/>
  <c r="G165" i="8"/>
  <c r="I164" i="8"/>
  <c r="J164" i="8" s="1"/>
  <c r="G164" i="8"/>
  <c r="J163" i="8"/>
  <c r="I163" i="8"/>
  <c r="G163" i="8"/>
  <c r="I162" i="8"/>
  <c r="J162" i="8" s="1"/>
  <c r="G162" i="8"/>
  <c r="I161" i="8"/>
  <c r="J161" i="8" s="1"/>
  <c r="G161" i="8"/>
  <c r="J160" i="8"/>
  <c r="I160" i="8"/>
  <c r="G160" i="8"/>
  <c r="I159" i="8"/>
  <c r="J159" i="8" s="1"/>
  <c r="G159" i="8"/>
  <c r="I158" i="8"/>
  <c r="J158" i="8" s="1"/>
  <c r="G158" i="8"/>
  <c r="J157" i="8"/>
  <c r="I157" i="8"/>
  <c r="G157" i="8"/>
  <c r="I156" i="8"/>
  <c r="J156" i="8" s="1"/>
  <c r="G156" i="8"/>
  <c r="I155" i="8"/>
  <c r="J155" i="8" s="1"/>
  <c r="G155" i="8"/>
  <c r="J154" i="8"/>
  <c r="I154" i="8"/>
  <c r="G154" i="8"/>
  <c r="I153" i="8"/>
  <c r="J153" i="8" s="1"/>
  <c r="G153" i="8"/>
  <c r="I152" i="8"/>
  <c r="J152" i="8" s="1"/>
  <c r="G152" i="8"/>
  <c r="J151" i="8"/>
  <c r="I151" i="8"/>
  <c r="G151" i="8"/>
  <c r="I150" i="8"/>
  <c r="J150" i="8" s="1"/>
  <c r="G150" i="8"/>
  <c r="I149" i="8"/>
  <c r="J149" i="8" s="1"/>
  <c r="G149" i="8"/>
  <c r="J148" i="8"/>
  <c r="I148" i="8"/>
  <c r="G148" i="8"/>
  <c r="I147" i="8"/>
  <c r="J147" i="8" s="1"/>
  <c r="G147" i="8"/>
  <c r="I146" i="8"/>
  <c r="J146" i="8" s="1"/>
  <c r="G146" i="8"/>
  <c r="J145" i="8"/>
  <c r="I145" i="8"/>
  <c r="G145" i="8"/>
  <c r="I144" i="8"/>
  <c r="J144" i="8" s="1"/>
  <c r="G144" i="8"/>
  <c r="I143" i="8"/>
  <c r="J143" i="8" s="1"/>
  <c r="G143" i="8"/>
  <c r="J142" i="8"/>
  <c r="I142" i="8"/>
  <c r="G142" i="8"/>
  <c r="I141" i="8"/>
  <c r="J141" i="8" s="1"/>
  <c r="G141" i="8"/>
  <c r="I140" i="8"/>
  <c r="J140" i="8" s="1"/>
  <c r="G140" i="8"/>
  <c r="J139" i="8"/>
  <c r="I139" i="8"/>
  <c r="G139" i="8"/>
  <c r="J137" i="8"/>
  <c r="I137" i="8"/>
  <c r="G137" i="8"/>
  <c r="I136" i="8"/>
  <c r="J136" i="8" s="1"/>
  <c r="G136" i="8"/>
  <c r="J135" i="8"/>
  <c r="I135" i="8"/>
  <c r="G135" i="8"/>
  <c r="G134" i="8" s="1"/>
  <c r="I134" i="8"/>
  <c r="J133" i="8"/>
  <c r="I133" i="8"/>
  <c r="G133" i="8"/>
  <c r="I132" i="8"/>
  <c r="J132" i="8" s="1"/>
  <c r="G132" i="8"/>
  <c r="G131" i="8" s="1"/>
  <c r="I131" i="8"/>
  <c r="I130" i="8"/>
  <c r="J130" i="8" s="1"/>
  <c r="G130" i="8"/>
  <c r="I129" i="8"/>
  <c r="J129" i="8" s="1"/>
  <c r="G129" i="8"/>
  <c r="I128" i="8"/>
  <c r="G128" i="8"/>
  <c r="E128" i="8" s="1"/>
  <c r="J128" i="8" s="1"/>
  <c r="I127" i="8"/>
  <c r="J127" i="8" s="1"/>
  <c r="G127" i="8"/>
  <c r="J126" i="8"/>
  <c r="I126" i="8"/>
  <c r="G126" i="8"/>
  <c r="I125" i="8"/>
  <c r="J125" i="8" s="1"/>
  <c r="G125" i="8"/>
  <c r="I124" i="8"/>
  <c r="J124" i="8" s="1"/>
  <c r="G124" i="8"/>
  <c r="J123" i="8"/>
  <c r="I123" i="8"/>
  <c r="G123" i="8"/>
  <c r="I122" i="8"/>
  <c r="J122" i="8" s="1"/>
  <c r="G122" i="8"/>
  <c r="I121" i="8"/>
  <c r="J121" i="8" s="1"/>
  <c r="G121" i="8"/>
  <c r="I120" i="8"/>
  <c r="G120" i="8"/>
  <c r="I119" i="8"/>
  <c r="J119" i="8" s="1"/>
  <c r="G119" i="8"/>
  <c r="J118" i="8"/>
  <c r="I118" i="8"/>
  <c r="G118" i="8"/>
  <c r="I117" i="8"/>
  <c r="J117" i="8" s="1"/>
  <c r="G117" i="8"/>
  <c r="I116" i="8"/>
  <c r="J116" i="8" s="1"/>
  <c r="G116" i="8"/>
  <c r="J115" i="8"/>
  <c r="I115" i="8"/>
  <c r="G115" i="8"/>
  <c r="I114" i="8"/>
  <c r="J114" i="8" s="1"/>
  <c r="G114" i="8"/>
  <c r="I113" i="8"/>
  <c r="J113" i="8" s="1"/>
  <c r="G113" i="8"/>
  <c r="J112" i="8"/>
  <c r="I112" i="8"/>
  <c r="G112" i="8"/>
  <c r="G110" i="8" s="1"/>
  <c r="I111" i="8"/>
  <c r="J111" i="8" s="1"/>
  <c r="G111" i="8"/>
  <c r="I110" i="8"/>
  <c r="I109" i="8"/>
  <c r="J109" i="8" s="1"/>
  <c r="G109" i="8"/>
  <c r="J108" i="8"/>
  <c r="I108" i="8"/>
  <c r="G108" i="8"/>
  <c r="J107" i="8"/>
  <c r="I107" i="8"/>
  <c r="G107" i="8"/>
  <c r="I106" i="8"/>
  <c r="J106" i="8" s="1"/>
  <c r="G106" i="8"/>
  <c r="J105" i="8"/>
  <c r="I105" i="8"/>
  <c r="G105" i="8"/>
  <c r="J104" i="8"/>
  <c r="I104" i="8"/>
  <c r="G104" i="8"/>
  <c r="I103" i="8"/>
  <c r="J103" i="8" s="1"/>
  <c r="G103" i="8"/>
  <c r="J102" i="8"/>
  <c r="I102" i="8"/>
  <c r="G102" i="8"/>
  <c r="J101" i="8"/>
  <c r="I101" i="8"/>
  <c r="G101" i="8"/>
  <c r="G100" i="8" s="1"/>
  <c r="I100" i="8"/>
  <c r="J99" i="8"/>
  <c r="I99" i="8"/>
  <c r="G99" i="8"/>
  <c r="I98" i="8"/>
  <c r="J98" i="8" s="1"/>
  <c r="G98" i="8"/>
  <c r="I97" i="8"/>
  <c r="J97" i="8" s="1"/>
  <c r="G97" i="8"/>
  <c r="J96" i="8"/>
  <c r="I96" i="8"/>
  <c r="G96" i="8"/>
  <c r="G94" i="8" s="1"/>
  <c r="I95" i="8"/>
  <c r="J95" i="8" s="1"/>
  <c r="G95" i="8"/>
  <c r="I94" i="8"/>
  <c r="I93" i="8"/>
  <c r="J93" i="8" s="1"/>
  <c r="G93" i="8"/>
  <c r="G90" i="8"/>
  <c r="J87" i="8"/>
  <c r="I87" i="8"/>
  <c r="G87" i="8"/>
  <c r="I86" i="8"/>
  <c r="J86" i="8" s="1"/>
  <c r="G86" i="8"/>
  <c r="I85" i="8"/>
  <c r="J85" i="8" s="1"/>
  <c r="G85" i="8"/>
  <c r="J84" i="8"/>
  <c r="I84" i="8"/>
  <c r="G84" i="8"/>
  <c r="I83" i="8"/>
  <c r="J83" i="8" s="1"/>
  <c r="G83" i="8"/>
  <c r="I82" i="8"/>
  <c r="J82" i="8" s="1"/>
  <c r="G82" i="8"/>
  <c r="J81" i="8"/>
  <c r="I81" i="8"/>
  <c r="G81" i="8"/>
  <c r="I80" i="8"/>
  <c r="J80" i="8" s="1"/>
  <c r="G80" i="8"/>
  <c r="I79" i="8"/>
  <c r="J79" i="8" s="1"/>
  <c r="G79" i="8"/>
  <c r="J78" i="8"/>
  <c r="I78" i="8"/>
  <c r="G78" i="8"/>
  <c r="I77" i="8"/>
  <c r="J77" i="8" s="1"/>
  <c r="G77" i="8"/>
  <c r="I76" i="8"/>
  <c r="J76" i="8" s="1"/>
  <c r="G76" i="8"/>
  <c r="J75" i="8"/>
  <c r="I75" i="8"/>
  <c r="G75" i="8"/>
  <c r="I74" i="8"/>
  <c r="J74" i="8" s="1"/>
  <c r="G74" i="8"/>
  <c r="I73" i="8"/>
  <c r="J73" i="8" s="1"/>
  <c r="G73" i="8"/>
  <c r="J72" i="8"/>
  <c r="I72" i="8"/>
  <c r="G72" i="8"/>
  <c r="I71" i="8"/>
  <c r="J71" i="8" s="1"/>
  <c r="G71" i="8"/>
  <c r="I70" i="8"/>
  <c r="J70" i="8" s="1"/>
  <c r="G70" i="8"/>
  <c r="J69" i="8"/>
  <c r="I69" i="8"/>
  <c r="G69" i="8"/>
  <c r="I68" i="8"/>
  <c r="J68" i="8" s="1"/>
  <c r="G68" i="8"/>
  <c r="I67" i="8"/>
  <c r="J67" i="8" s="1"/>
  <c r="G67" i="8"/>
  <c r="J66" i="8"/>
  <c r="I66" i="8"/>
  <c r="G66" i="8"/>
  <c r="I65" i="8"/>
  <c r="J65" i="8" s="1"/>
  <c r="G65" i="8"/>
  <c r="I64" i="8"/>
  <c r="J64" i="8" s="1"/>
  <c r="G64" i="8"/>
  <c r="J63" i="8"/>
  <c r="I63" i="8"/>
  <c r="G63" i="8"/>
  <c r="I62" i="8"/>
  <c r="J62" i="8" s="1"/>
  <c r="G62" i="8"/>
  <c r="I61" i="8"/>
  <c r="J61" i="8" s="1"/>
  <c r="G61" i="8"/>
  <c r="J60" i="8"/>
  <c r="I60" i="8"/>
  <c r="G60" i="8"/>
  <c r="G88" i="8" s="1"/>
  <c r="J58" i="8"/>
  <c r="I58" i="8"/>
  <c r="G58" i="8"/>
  <c r="J57" i="8"/>
  <c r="I57" i="8"/>
  <c r="G57" i="8"/>
  <c r="J56" i="8"/>
  <c r="I56" i="8"/>
  <c r="G56" i="8"/>
  <c r="I55" i="8"/>
  <c r="J55" i="8" s="1"/>
  <c r="G55" i="8"/>
  <c r="J54" i="8"/>
  <c r="I54" i="8"/>
  <c r="G54" i="8"/>
  <c r="J53" i="8"/>
  <c r="I53" i="8"/>
  <c r="G53" i="8"/>
  <c r="G59" i="8" s="1"/>
  <c r="I52" i="8"/>
  <c r="J52" i="8" s="1"/>
  <c r="G52" i="8"/>
  <c r="J51" i="8"/>
  <c r="I51" i="8"/>
  <c r="G51" i="8"/>
  <c r="J50" i="8"/>
  <c r="I50" i="8"/>
  <c r="G50" i="8"/>
  <c r="G49" i="8" s="1"/>
  <c r="I49" i="8"/>
  <c r="J49" i="8" s="1"/>
  <c r="J48" i="8"/>
  <c r="J59" i="8" s="1"/>
  <c r="I48" i="8"/>
  <c r="G48" i="8"/>
  <c r="I43" i="8"/>
  <c r="J43" i="8" s="1"/>
  <c r="G43" i="8"/>
  <c r="J42" i="8"/>
  <c r="I42" i="8"/>
  <c r="G42" i="8"/>
  <c r="I41" i="8"/>
  <c r="J41" i="8" s="1"/>
  <c r="G41" i="8"/>
  <c r="I40" i="8"/>
  <c r="J40" i="8" s="1"/>
  <c r="G40" i="8"/>
  <c r="J39" i="8"/>
  <c r="I39" i="8"/>
  <c r="G39" i="8"/>
  <c r="I38" i="8"/>
  <c r="J38" i="8" s="1"/>
  <c r="G38" i="8"/>
  <c r="I37" i="8"/>
  <c r="J37" i="8" s="1"/>
  <c r="G37" i="8"/>
  <c r="J36" i="8"/>
  <c r="I36" i="8"/>
  <c r="G36" i="8"/>
  <c r="I35" i="8"/>
  <c r="J35" i="8" s="1"/>
  <c r="G35" i="8"/>
  <c r="I34" i="8"/>
  <c r="J34" i="8" s="1"/>
  <c r="G34" i="8"/>
  <c r="J33" i="8"/>
  <c r="I33" i="8"/>
  <c r="G33" i="8"/>
  <c r="J31" i="8"/>
  <c r="I31" i="8"/>
  <c r="G31" i="8"/>
  <c r="J30" i="8"/>
  <c r="I30" i="8"/>
  <c r="G30" i="8"/>
  <c r="J29" i="8"/>
  <c r="I29" i="8"/>
  <c r="G29" i="8"/>
  <c r="J28" i="8"/>
  <c r="I28" i="8"/>
  <c r="G28" i="8"/>
  <c r="J27" i="8"/>
  <c r="I27" i="8"/>
  <c r="G27" i="8"/>
  <c r="J26" i="8"/>
  <c r="I26" i="8"/>
  <c r="G26" i="8"/>
  <c r="G25" i="8" s="1"/>
  <c r="J25" i="8"/>
  <c r="I25" i="8"/>
  <c r="J24" i="8"/>
  <c r="I24" i="8"/>
  <c r="G24" i="8"/>
  <c r="J23" i="8"/>
  <c r="I23" i="8"/>
  <c r="G23" i="8"/>
  <c r="J22" i="8"/>
  <c r="I22" i="8"/>
  <c r="G22" i="8"/>
  <c r="J21" i="8"/>
  <c r="I21" i="8"/>
  <c r="G21" i="8"/>
  <c r="J20" i="8"/>
  <c r="I20" i="8"/>
  <c r="G20" i="8"/>
  <c r="G19" i="8" s="1"/>
  <c r="G32" i="8" s="1"/>
  <c r="I19" i="8"/>
  <c r="J19" i="8" s="1"/>
  <c r="G16" i="8"/>
  <c r="E14" i="8"/>
  <c r="I13" i="8"/>
  <c r="J13" i="8" s="1"/>
  <c r="J14" i="8" s="1"/>
  <c r="G13" i="8"/>
  <c r="G14" i="8" s="1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F22" i="6"/>
  <c r="H21" i="6"/>
  <c r="H20" i="6"/>
  <c r="H19" i="6"/>
  <c r="H18" i="6"/>
  <c r="H17" i="6"/>
  <c r="H16" i="6"/>
  <c r="H15" i="6"/>
  <c r="H14" i="6"/>
  <c r="H13" i="6"/>
  <c r="H12" i="6"/>
  <c r="F12" i="6"/>
  <c r="H12" i="5"/>
  <c r="H14" i="5" s="1"/>
  <c r="D19" i="4" s="1"/>
  <c r="F12" i="5"/>
  <c r="F14" i="5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85" i="8" l="1"/>
  <c r="E100" i="8"/>
  <c r="J32" i="8"/>
  <c r="C12" i="7" s="1"/>
  <c r="E94" i="8"/>
  <c r="G138" i="8"/>
  <c r="G89" i="8"/>
  <c r="H75" i="8" s="1"/>
  <c r="C11" i="7"/>
  <c r="J44" i="8"/>
  <c r="H66" i="8"/>
  <c r="H84" i="8"/>
  <c r="E110" i="8"/>
  <c r="J110" i="8" s="1"/>
  <c r="J188" i="8"/>
  <c r="C17" i="7" s="1"/>
  <c r="H79" i="8"/>
  <c r="J94" i="8"/>
  <c r="G44" i="8"/>
  <c r="J88" i="8"/>
  <c r="J89" i="8" s="1"/>
  <c r="H72" i="8"/>
  <c r="J100" i="8"/>
  <c r="E131" i="8"/>
  <c r="J131" i="8" s="1"/>
  <c r="E134" i="8"/>
  <c r="J134" i="8" s="1"/>
  <c r="G188" i="8"/>
  <c r="E120" i="8"/>
  <c r="J120" i="8" s="1"/>
  <c r="D191" i="8"/>
  <c r="D192" i="8"/>
  <c r="H13" i="8"/>
  <c r="F16" i="8"/>
  <c r="I16" i="8" s="1"/>
  <c r="J16" i="8" s="1"/>
  <c r="C15" i="7" s="1"/>
  <c r="D18" i="4"/>
  <c r="D17" i="4" s="1"/>
  <c r="D23" i="4" s="1"/>
  <c r="D24" i="4" s="1"/>
  <c r="J12" i="5"/>
  <c r="J14" i="5" s="1"/>
  <c r="J138" i="8" l="1"/>
  <c r="H82" i="8"/>
  <c r="H87" i="8"/>
  <c r="H76" i="8"/>
  <c r="H56" i="8"/>
  <c r="H53" i="8"/>
  <c r="H50" i="8"/>
  <c r="H86" i="8"/>
  <c r="H83" i="8"/>
  <c r="H80" i="8"/>
  <c r="H77" i="8"/>
  <c r="H74" i="8"/>
  <c r="H71" i="8"/>
  <c r="H68" i="8"/>
  <c r="H65" i="8"/>
  <c r="H62" i="8"/>
  <c r="H58" i="8"/>
  <c r="H57" i="8"/>
  <c r="H55" i="8"/>
  <c r="H52" i="8"/>
  <c r="H81" i="8"/>
  <c r="H78" i="8"/>
  <c r="H67" i="8"/>
  <c r="H64" i="8"/>
  <c r="H69" i="8"/>
  <c r="H51" i="8"/>
  <c r="H59" i="8"/>
  <c r="H73" i="8"/>
  <c r="H70" i="8"/>
  <c r="H49" i="8"/>
  <c r="G45" i="8"/>
  <c r="H44" i="8"/>
  <c r="H60" i="8"/>
  <c r="J90" i="8"/>
  <c r="C26" i="7" s="1"/>
  <c r="C25" i="7"/>
  <c r="H61" i="8"/>
  <c r="H63" i="8"/>
  <c r="H88" i="8"/>
  <c r="H188" i="8"/>
  <c r="H54" i="8"/>
  <c r="C13" i="7"/>
  <c r="C14" i="7" s="1"/>
  <c r="J45" i="8"/>
  <c r="H48" i="8"/>
  <c r="G189" i="8"/>
  <c r="H138" i="8"/>
  <c r="C21" i="7"/>
  <c r="C20" i="7" s="1"/>
  <c r="J192" i="8"/>
  <c r="C23" i="7"/>
  <c r="C22" i="7" s="1"/>
  <c r="J191" i="8"/>
  <c r="H29" i="8" l="1"/>
  <c r="H23" i="8"/>
  <c r="H26" i="8"/>
  <c r="H20" i="8"/>
  <c r="H41" i="8"/>
  <c r="H38" i="8"/>
  <c r="H35" i="8"/>
  <c r="H30" i="8"/>
  <c r="H27" i="8"/>
  <c r="H24" i="8"/>
  <c r="H21" i="8"/>
  <c r="H28" i="8"/>
  <c r="H22" i="8"/>
  <c r="H31" i="8"/>
  <c r="H25" i="8"/>
  <c r="H19" i="8"/>
  <c r="H39" i="8"/>
  <c r="H32" i="8"/>
  <c r="H40" i="8"/>
  <c r="H36" i="8"/>
  <c r="H42" i="8"/>
  <c r="H37" i="8"/>
  <c r="G190" i="8"/>
  <c r="H43" i="8"/>
  <c r="H33" i="8"/>
  <c r="G193" i="8"/>
  <c r="G194" i="8" s="1"/>
  <c r="G195" i="8" s="1"/>
  <c r="H34" i="8"/>
  <c r="H189" i="8"/>
  <c r="H136" i="8"/>
  <c r="H93" i="8"/>
  <c r="H107" i="8"/>
  <c r="H104" i="8"/>
  <c r="H101" i="8"/>
  <c r="H137" i="8"/>
  <c r="H130" i="8"/>
  <c r="H117" i="8"/>
  <c r="H114" i="8"/>
  <c r="H111" i="8"/>
  <c r="H98" i="8"/>
  <c r="H95" i="8"/>
  <c r="H186" i="8"/>
  <c r="H183" i="8"/>
  <c r="H180" i="8"/>
  <c r="H168" i="8"/>
  <c r="H162" i="8"/>
  <c r="H156" i="8"/>
  <c r="H150" i="8"/>
  <c r="H144" i="8"/>
  <c r="H141" i="8"/>
  <c r="H132" i="8"/>
  <c r="H125" i="8"/>
  <c r="H122" i="8"/>
  <c r="H106" i="8"/>
  <c r="H177" i="8"/>
  <c r="H174" i="8"/>
  <c r="H171" i="8"/>
  <c r="H165" i="8"/>
  <c r="H159" i="8"/>
  <c r="H153" i="8"/>
  <c r="H147" i="8"/>
  <c r="H109" i="8"/>
  <c r="H103" i="8"/>
  <c r="H146" i="8"/>
  <c r="H149" i="8"/>
  <c r="H127" i="8"/>
  <c r="H155" i="8"/>
  <c r="H97" i="8"/>
  <c r="H148" i="8"/>
  <c r="H105" i="8"/>
  <c r="H187" i="8"/>
  <c r="H123" i="8"/>
  <c r="H131" i="8"/>
  <c r="H119" i="8"/>
  <c r="H145" i="8"/>
  <c r="H100" i="8"/>
  <c r="H154" i="8"/>
  <c r="H108" i="8"/>
  <c r="H157" i="8"/>
  <c r="H142" i="8"/>
  <c r="H102" i="8"/>
  <c r="H163" i="8"/>
  <c r="H115" i="8"/>
  <c r="H158" i="8"/>
  <c r="H118" i="8"/>
  <c r="H143" i="8"/>
  <c r="H96" i="8"/>
  <c r="H161" i="8"/>
  <c r="H139" i="8"/>
  <c r="H184" i="8"/>
  <c r="H134" i="8"/>
  <c r="H164" i="8"/>
  <c r="H116" i="8"/>
  <c r="H167" i="8"/>
  <c r="H152" i="8"/>
  <c r="H110" i="8"/>
  <c r="H173" i="8"/>
  <c r="H120" i="8"/>
  <c r="H166" i="8"/>
  <c r="H126" i="8"/>
  <c r="H151" i="8"/>
  <c r="H112" i="8"/>
  <c r="H178" i="8"/>
  <c r="H140" i="8"/>
  <c r="H179" i="8"/>
  <c r="H113" i="8"/>
  <c r="H172" i="8"/>
  <c r="H124" i="8"/>
  <c r="H175" i="8"/>
  <c r="H160" i="8"/>
  <c r="H181" i="8"/>
  <c r="H135" i="8"/>
  <c r="H121" i="8"/>
  <c r="H182" i="8"/>
  <c r="H94" i="8"/>
  <c r="H133" i="8"/>
  <c r="H185" i="8"/>
  <c r="H99" i="8"/>
  <c r="H170" i="8"/>
  <c r="H176" i="8"/>
  <c r="H169" i="8"/>
  <c r="H128" i="8"/>
  <c r="H129" i="8"/>
  <c r="J190" i="8"/>
  <c r="C16" i="7"/>
  <c r="C18" i="7" s="1"/>
  <c r="C19" i="7" s="1"/>
  <c r="C24" i="7" s="1"/>
  <c r="D20" i="7" s="1"/>
  <c r="J189" i="8"/>
  <c r="J193" i="8"/>
  <c r="J194" i="8" s="1"/>
  <c r="J195" i="8" s="1"/>
  <c r="C27" i="7" l="1"/>
  <c r="D24" i="7"/>
  <c r="D18" i="7"/>
  <c r="D16" i="7"/>
  <c r="D14" i="7"/>
  <c r="D12" i="7"/>
  <c r="D17" i="7"/>
  <c r="D11" i="7"/>
  <c r="D13" i="7"/>
  <c r="C29" i="7"/>
  <c r="D15" i="7"/>
  <c r="D22" i="7"/>
  <c r="C30" i="7" l="1"/>
  <c r="C34" i="7"/>
  <c r="C33" i="7"/>
  <c r="C32" i="7"/>
  <c r="C37" i="7" l="1"/>
  <c r="C36" i="7"/>
  <c r="C38" i="7" s="1"/>
  <c r="C39" i="7" l="1"/>
  <c r="C40" i="7" l="1"/>
  <c r="E39" i="7"/>
  <c r="C41" i="7" l="1"/>
  <c r="D11" i="10" s="1"/>
  <c r="E31" i="7"/>
  <c r="E17" i="7"/>
  <c r="E11" i="7"/>
  <c r="E40" i="7"/>
  <c r="E26" i="7"/>
  <c r="E13" i="7"/>
  <c r="E25" i="7"/>
  <c r="E35" i="7"/>
  <c r="E18" i="7"/>
  <c r="E16" i="7"/>
  <c r="E14" i="7"/>
  <c r="E12" i="7"/>
  <c r="E15" i="7"/>
  <c r="E22" i="7"/>
  <c r="E20" i="7"/>
  <c r="E24" i="7"/>
  <c r="E29" i="7"/>
  <c r="E27" i="7"/>
  <c r="E37" i="7"/>
  <c r="E33" i="7"/>
  <c r="E32" i="7"/>
  <c r="E30" i="7"/>
  <c r="E34" i="7"/>
  <c r="E38" i="7"/>
  <c r="E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<sst xmlns="http://schemas.openxmlformats.org/spreadsheetml/2006/main" count="1679" uniqueCount="659">
  <si>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</si>
  <si>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</si>
  <si>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</si>
  <si>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</si>
  <si>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</si>
  <si>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</si>
  <si>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</si>
  <si>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</si>
  <si>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</si>
  <si>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</si>
  <si>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</si>
  <si>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</si>
  <si>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</si>
  <si>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</si>
  <si>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</si>
  <si>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</si>
  <si>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</si>
  <si>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</si>
  <si>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</si>
  <si>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</si>
  <si>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</si>
  <si>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</si>
  <si>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</si>
  <si>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</si>
  <si>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</si>
  <si>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</si>
  <si>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</si>
  <si>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</si>
  <si>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</si>
  <si>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</si>
  <si>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</si>
  <si>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</si>
  <si>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</si>
  <si>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</si>
  <si>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</si>
  <si>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</si>
  <si>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</si>
  <si>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</si>
  <si>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</si>
  <si>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</si>
  <si>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</si>
  <si>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</si>
  <si>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</si>
  <si>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</si>
  <si>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</si>
  <si>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</si>
  <si>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</si>
  <si>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 система газового пожаротушения ЗПС 500 кВ</t>
  </si>
  <si>
    <t>Сопоставимый уровень цен: 4 кв. 2016 г.</t>
  </si>
  <si>
    <t>Единица измерения  — 1 ПС</t>
  </si>
  <si>
    <t>Параметр</t>
  </si>
  <si>
    <t>Объект-представитель</t>
  </si>
  <si>
    <t>Наименование объекта-представителя</t>
  </si>
  <si>
    <t>ПС 500 кВ Очаково</t>
  </si>
  <si>
    <t>Наименование субъекта Российской Федерации</t>
  </si>
  <si>
    <t>Москва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</si>
  <si>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</si>
  <si>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</si>
  <si>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</si>
  <si>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</si>
  <si>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Модуль  К2-1 МП (60-100-50) ЭмР-ЭМП - 6 шт
Модуль  1 МП (60-100-50) - 12 шт
Зарядка с хладоном 227еа ~ 4147 кг
Баллон испытательный переносной  БИП -125  - 6 шт
Коллектор - 5 шт
Трубы стальные - 383,05 м
Пульт контроля С2000-М - 1 шт
Блок контрольно-пусковой С2000КПБ - 6 шт
Блок контроля и индикации С2000-БКИ - 3 шт
Расширитель адресный - 31 шт
Извещатели - 492 шт
Оповещатели - 77 шт
Кабель - 565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</si>
  <si>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</si>
  <si>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</si>
  <si>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</si>
  <si>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</si>
  <si>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</si>
  <si>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</si>
  <si>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</si>
  <si>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</si>
  <si>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</si>
  <si>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</si>
  <si>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2016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</si>
  <si>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</si>
  <si>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</si>
  <si>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</si>
  <si>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</si>
  <si>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</si>
  <si>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</si>
  <si>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</si>
  <si>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</si>
  <si>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</si>
  <si>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 система газового пожаротушения ЗПС 500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</si>
  <si>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</si>
  <si>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</si>
  <si>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</si>
  <si>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2016 г., тыс. руб.</t>
  </si>
  <si>
    <t>Строительные работы</t>
  </si>
  <si>
    <t>Монтажные работы</t>
  </si>
  <si>
    <t>Прочее</t>
  </si>
  <si>
    <t>Всего</t>
  </si>
  <si>
    <t>Система газового пожаротушения ЗПС 110 кВ</t>
  </si>
  <si>
    <t>Всего по объекту:</t>
  </si>
  <si>
    <t>Всего по объекту в сопоставимом уровне цен 4 кв. 2016 г.: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</si>
  <si>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</si>
  <si>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</si>
  <si>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 система газового пожаротушения ЗПС 500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</si>
  <si>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</si>
  <si>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</si>
  <si>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</si>
  <si>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</si>
  <si>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</si>
  <si>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</si>
  <si>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</si>
  <si>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</si>
  <si>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</si>
  <si>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</si>
  <si>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</si>
  <si>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</si>
  <si>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</si>
  <si>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</si>
  <si>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</si>
  <si>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</si>
  <si>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</si>
  <si>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</si>
  <si>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</si>
  <si>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</si>
  <si>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</si>
  <si>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</si>
  <si>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</si>
  <si>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1-3-2</t>
  </si>
  <si>
    <t>Затраты труда рабочих (ср 3,2)</t>
  </si>
  <si>
    <t>1-4-7</t>
  </si>
  <si>
    <t>Затраты труда рабочих (ср 4,7)</t>
  </si>
  <si>
    <t>1-4-5</t>
  </si>
  <si>
    <t>Затраты труда рабочих (ср 4,5)</t>
  </si>
  <si>
    <t>1-5-1</t>
  </si>
  <si>
    <t>Затраты труда рабочих (ср 5,1)</t>
  </si>
  <si>
    <t>Затраты труда машинистов</t>
  </si>
  <si>
    <t>Машины и механизмы</t>
  </si>
  <si>
    <t>91.06.03-058</t>
  </si>
  <si>
    <t>Лебедки электрические тяговым усилием 156,96 кН (16 т)</t>
  </si>
  <si>
    <t>маш.час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</si>
  <si>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</si>
  <si>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</si>
  <si>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</si>
  <si>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</si>
  <si>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</si>
  <si>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</si>
  <si>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91.05.04-006</t>
  </si>
  <si>
    <t>Краны мостовые электрические, грузоподъемность 10 т</t>
  </si>
  <si>
    <t>91.18.01-015</t>
  </si>
  <si>
    <t>Компрессоры самоходные с двигателем внутреннего сгорания, давление 800 кПа (8 ат), производительность 6,3 м3/мин</t>
  </si>
  <si>
    <t>91.19.08-007</t>
  </si>
  <si>
    <t>Насосы мощностью 7,2 м3/ч</t>
  </si>
  <si>
    <t>91.21.12-002</t>
  </si>
  <si>
    <t>Ножницы листовые кривошипные гильотинные</t>
  </si>
  <si>
    <t>91.21.16-014</t>
  </si>
  <si>
    <t>Прессы листогибочные кривошипные 1000 кН (100 тс)</t>
  </si>
  <si>
    <t>91.18.01-011</t>
  </si>
  <si>
    <t>Компрессоры передвижные с электродвигателем давление 600 кПа (6 ат), производительность 0,5 м3/мин</t>
  </si>
  <si>
    <t>91.21.16-013</t>
  </si>
  <si>
    <t>Прессы кривошипные простого действия 25 кН (2,5 тс)</t>
  </si>
  <si>
    <t>91.06.03-055</t>
  </si>
  <si>
    <t>Лебедки электрические тяговым усилием 19,62 кН (2 т)</t>
  </si>
  <si>
    <t>91.21.01-012</t>
  </si>
  <si>
    <t>Агрегаты окрасочные высокого давления для окраски поверхностей конструкций, мощность 1 кВт</t>
  </si>
  <si>
    <t>91.06.03-061</t>
  </si>
  <si>
    <t>Лебедки электрические тяговым усилием до 12,26 кН (1,25 т)</t>
  </si>
  <si>
    <t>91.21.19-035</t>
  </si>
  <si>
    <t>Станки трубонарезные</t>
  </si>
  <si>
    <t>91.21.19-031</t>
  </si>
  <si>
    <t>Станки сверлильные</t>
  </si>
  <si>
    <t>91.06.01-003</t>
  </si>
  <si>
    <t>Домкраты гидравлические, грузоподъемность 63-100 т</t>
  </si>
  <si>
    <t>91.21.19-033</t>
  </si>
  <si>
    <t>Станки токарно-винторезные</t>
  </si>
  <si>
    <t>91.17.04-042</t>
  </si>
  <si>
    <t>Аппараты для газовой сварки и резки</t>
  </si>
  <si>
    <t>91.06.03-060</t>
  </si>
  <si>
    <t>Лебедки электрические тяговым усилием до 5,79 кН (0,59 т)</t>
  </si>
  <si>
    <t>91.06.05-011</t>
  </si>
  <si>
    <t>Погрузчики, грузоподъемность 5 т</t>
  </si>
  <si>
    <t>Прайс из СД ОП</t>
  </si>
  <si>
    <t>Модуль  К2-1 МП (60-160-50) ЭмР-ЭМП на раме в комплекте</t>
  </si>
  <si>
    <t>к-т</t>
  </si>
  <si>
    <t>01.3.02.11-0022</t>
  </si>
  <si>
    <t>Фреон</t>
  </si>
  <si>
    <t>т</t>
  </si>
  <si>
    <t>Модуль  1 МП (60-160-50) запас</t>
  </si>
  <si>
    <t>Модуль  К2-1 МП (60-100-50) ЭмР-ЭМП на раме в комплекте</t>
  </si>
  <si>
    <t>Модуль  1 МП (60-100-50) запас</t>
  </si>
  <si>
    <t>Модуль  К2-1 МП (60-60-50) ЭмР-ЭМП на раме в комплекте</t>
  </si>
  <si>
    <t>Модуль  1 МП (60-60-50) запас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</si>
  <si>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</si>
  <si>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</si>
  <si>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шт</t>
  </si>
  <si>
    <t>61.2.02.01-0095</t>
  </si>
  <si>
    <t>Извещатель пожарный дымовой: ИПДЛ</t>
  </si>
  <si>
    <t>10 шт</t>
  </si>
  <si>
    <t>19.3.01.05-0033</t>
  </si>
  <si>
    <t>Клапаны обратные для регулирования воздушных потоков в вентиляционных системах во взрывобезопасном исполнении из горячекатаной стали, тип АЗЕ 101, диаметр 800 мм</t>
  </si>
  <si>
    <t>61.2.02.03-0025</t>
  </si>
  <si>
    <t>Извещатель пожарный ручной: ИПР-513-3 исп. 02</t>
  </si>
  <si>
    <t>Коллектор на 8модуля 1МП (60-60-50)</t>
  </si>
  <si>
    <t>61.2.04.05-0018</t>
  </si>
  <si>
    <t>Оповещатель охранно-пожарный звуковой, тип СВИРЕЛЬ-2 исп.00 6-15В/600мА</t>
  </si>
  <si>
    <t>Насадок НГ-3.1-1/2 В латунный с муфтой</t>
  </si>
  <si>
    <t>61.2.07.06-0006</t>
  </si>
  <si>
    <t>Расширитель адресный на восемь шлейфов с контролем на замыкание и обрыв</t>
  </si>
  <si>
    <t>Насадок НГ-2.1-1 В латунный с муфтой</t>
  </si>
  <si>
    <t>18.4.01.01-0023</t>
  </si>
  <si>
    <t>Баллоны стальные для газов, рабочее давление до 19,6 МПа, (200 кг/см2), объем 40 л</t>
  </si>
  <si>
    <t>Устройство для взведения</t>
  </si>
  <si>
    <t>Коллектор на 2 модуля 1МП (60-100-50)</t>
  </si>
  <si>
    <t>61.2.07.02-0050</t>
  </si>
  <si>
    <t>Блок разветвительно-изолирующий, марка "БРИЗ" исп. 01, встраиваемый в розетку адресных извещателей "ДИП-34А", "С2000-ИП", диаметр не более 100 мм, высота не более 15 мм</t>
  </si>
  <si>
    <t>Насадок НГ-3.1-3/4 В латунный с муфтой</t>
  </si>
  <si>
    <t>Насадок НГ-3.1-1 В латунный с муфтой</t>
  </si>
  <si>
    <t>Коллектор на 2 модуля 1МП (60-60-50)</t>
  </si>
  <si>
    <t>62.1.04.01-0003</t>
  </si>
  <si>
    <t>Датчик-реле давления ДРД-1, ДРД-6</t>
  </si>
  <si>
    <t>23.8.02.01-0005</t>
  </si>
  <si>
    <t>Заглушка трубопровода стальная изолированная пенополиуретаном в полиэтиленовой оболочке, наружный диаметр 76 мм, диаметр изоляции 160 мм</t>
  </si>
  <si>
    <t>Комплект деталей для принудительного пуска (В481-8/650)</t>
  </si>
  <si>
    <t>61.2.07.02-0034</t>
  </si>
  <si>
    <t>Блок контрольно-пусковой, марка "С2000-КПБ"</t>
  </si>
  <si>
    <t>61.2.04.07-0008</t>
  </si>
  <si>
    <t>Оповещатель световой МОЛНИЯ-12(24)</t>
  </si>
  <si>
    <t>Насадок НГ-2.1-3/4 В латунный с муфтой</t>
  </si>
  <si>
    <t>61.2.07.02-0035</t>
  </si>
  <si>
    <t>Шкаф контрольно-пусковой для систем пожаротушения и дымоудаления, мощность управляемой нагрузки 10 кВт, номинальный коммутируемый ток 25 А</t>
  </si>
  <si>
    <t>Комплект деталей для принудительного пуска (В481-2/650)</t>
  </si>
  <si>
    <t>61.2.04.10-0004</t>
  </si>
  <si>
    <t>Пульт контроля и управления охранно-пожарный с двухстрочным ЖК индикатором</t>
  </si>
  <si>
    <t>01.3.02.11-0023</t>
  </si>
  <si>
    <t>Фреон R410A (разовый баллон 11,30 кг)</t>
  </si>
  <si>
    <t>23.8.01.03-0002</t>
  </si>
  <si>
    <t>Заглушка универсальная для труб из термостойкого полиэтилена с внутренней резьбой, размер 1/2"</t>
  </si>
  <si>
    <t>24.3.05.18-0001</t>
  </si>
  <si>
    <t>Штуцеры, длина 200 мм</t>
  </si>
  <si>
    <t>23.8.01.03-0001</t>
  </si>
  <si>
    <t>Заглушка универсальная для труб из термостойкого полиэтилена с внутренней резьбой, размер 1"</t>
  </si>
  <si>
    <t>23.8.01.03-0006</t>
  </si>
  <si>
    <t>Заглушка универсальная для труб из термостойкого полиэтилена с наружной резьбой, размер 3/4"</t>
  </si>
  <si>
    <t>Материалы</t>
  </si>
  <si>
    <t>25.1.01.04-0031</t>
  </si>
  <si>
    <t>Шпалы непропитанные для железных дорог, тип I</t>
  </si>
  <si>
    <t>23.8.04.12-0112</t>
  </si>
  <si>
    <t>Тройники равнопроходные, номинальное давление до 16 МПа, номинальный диаметр 40 мм, наружный диаметр и толщина стенки 45,0х2,5 мм</t>
  </si>
  <si>
    <t>07.2.07.13-0171</t>
  </si>
  <si>
    <t>Подкладки металлические</t>
  </si>
  <si>
    <t>кг</t>
  </si>
  <si>
    <t>23.8.04.08-0051</t>
  </si>
  <si>
    <t>Переходы концентрические, номинальное давление 16 МПа, наружный диаметр и толщина стенки 57х4-45х2,5 мм</t>
  </si>
  <si>
    <t>21.1.08.01-0313</t>
  </si>
  <si>
    <t>Кабель пожарной сигнализации КПСЭнг(A)-FRLS 1х2х1,5</t>
  </si>
  <si>
    <t>1000 м</t>
  </si>
  <si>
    <t>23.7.01.03-0004</t>
  </si>
  <si>
    <t>Трубопроводы из стальных водогазопроводных неоцинкованных труб с гильзами и креплениями для газоснабжения, диаметр 32 мм</t>
  </si>
  <si>
    <t>м</t>
  </si>
  <si>
    <t>08.3.05.02-0058</t>
  </si>
  <si>
    <t>Прокат толстолистовой горячекатаный в листах, марка стали Ст3, толщина 6-8 мм</t>
  </si>
  <si>
    <t>23.7.01.03-0005</t>
  </si>
  <si>
    <t>Трубопроводы из стальных водогазопроводных неоцинкованных труб с гильзами и креплениями для газоснабжения, диаметр 40 мм</t>
  </si>
  <si>
    <t>23.7.01.03-0002</t>
  </si>
  <si>
    <t>Трубопроводы из стальных водогазопроводных неоцинкованных труб с гильзами и креплениями для газоснабжения, диаметр 20 мм</t>
  </si>
  <si>
    <t>23.7.01.03-0003</t>
  </si>
  <si>
    <t>Трубопроводы из стальных водогазопроводных неоцинкованных труб с гильзами и креплениями для газоснабжения, диаметр 25 мм</t>
  </si>
  <si>
    <t>23.7.01.03-0006</t>
  </si>
  <si>
    <t>Трубопроводы из стальных водогазопроводных неоцинкованных труб с гильзами и креплениями для газоснабжения, диаметр 50 мм</t>
  </si>
  <si>
    <t>23.7.01.04-0004</t>
  </si>
  <si>
    <t>Трубопроводы из стальных электросварных труб с гильзами для отопления и водоснабжения, наружный диаметр 89 мм, толщина стенки 3,5 мм</t>
  </si>
  <si>
    <t>23.7.01.04-0006</t>
  </si>
  <si>
    <t>Трубопроводы из стальных электросварных труб с гильзами для отопления и водоснабжения, наружный диаметр 133 мм, толщина стенки 4 мм</t>
  </si>
  <si>
    <t>23.7.01.04-0003</t>
  </si>
  <si>
    <t>Трубопроводы из стальных электросварных труб с гильзами для отопления и водоснабжения, наружный диаметр 76 мм, толщина стенки 3,5 мм</t>
  </si>
  <si>
    <t>01.7.15.07-0012</t>
  </si>
  <si>
    <t>Дюбели пластмассовые с шурупами, размер 12х70 мм</t>
  </si>
  <si>
    <t>100 шт</t>
  </si>
  <si>
    <t>01.7.11.07-0040</t>
  </si>
  <si>
    <t>Электроды сварочные Э50А, диаметр 4 мм</t>
  </si>
  <si>
    <t>23.8.04.12-0113</t>
  </si>
  <si>
    <t>Тройники равнопроходные, номинальное давление до 16 МПа, номинальный диаметр 50 мм, наружный диаметр и толщина стенки 57,0х4,0 мм</t>
  </si>
  <si>
    <t>08.3.05.02-0052</t>
  </si>
  <si>
    <t>Прокат толстолистовой горячекатаный марка стали Ст3, толщина 2-6 мм</t>
  </si>
  <si>
    <t>23.8.04.08-0053</t>
  </si>
  <si>
    <t>Переходы концентрические, номинальное давление 16 МПа, наружный диаметр и толщина стенки 76х3,5-38х2,5 мм</t>
  </si>
  <si>
    <t>23.8.04.12-0111</t>
  </si>
  <si>
    <t>Тройники равнопроходные, номинальное давление до 16 МПа, номинальный диаметр 40 мм, наружный диаметр и толщина стенки 48,3х3,6 мм</t>
  </si>
  <si>
    <t>08.3.08.02-0091</t>
  </si>
  <si>
    <t>Уголок перфорированный, марка стали Ст3, размер 35х35 мм</t>
  </si>
  <si>
    <t>14.4.04.09-0017</t>
  </si>
  <si>
    <t>Эмаль ХВ-124, защитная, зеленая</t>
  </si>
  <si>
    <t>999-9950</t>
  </si>
  <si>
    <t>Вспомогательные ненормируемые ресурсы (2% от Оплаты труда рабочих)</t>
  </si>
  <si>
    <t>руб</t>
  </si>
  <si>
    <t>23.7.01.04-0005</t>
  </si>
  <si>
    <t>Трубопроводы из стальных электросварных труб с гильзами для отопления и водоснабжения, наружный диаметр 108 мм, толщина стенки 4 мм</t>
  </si>
  <si>
    <t>01.7.11.07-0032</t>
  </si>
  <si>
    <t>Электроды сварочные Э42, диаметр 4 мм</t>
  </si>
  <si>
    <t>08.1.02.11-0023</t>
  </si>
  <si>
    <t>Поковки простые строительные (скобы, закрепы, хомуты), масса до 1,6 кг</t>
  </si>
  <si>
    <t>23.7.01.04-0002</t>
  </si>
  <si>
    <t>Трубопроводы из стальных электросварных труб с гильзами для отопления и водоснабжения, наружный диаметр 57 мм, толщина стенки 3,5 мм</t>
  </si>
  <si>
    <t>23.8.04.08-0059</t>
  </si>
  <si>
    <t>Переходы концентрические, номинальное давление 16 МПа, наружный диаметр и толщина стенки 89х3,5-45х2,5 мм</t>
  </si>
  <si>
    <t>23.8.04.08-0055</t>
  </si>
  <si>
    <t>Переходы концентрические, номинальное давление 16 МПа, наружный диаметр и толщина стенки 76х3,5-45х2,5 мм</t>
  </si>
  <si>
    <t>23.8.04.06-0309</t>
  </si>
  <si>
    <t>Отводы 90 °C радиусом кривизны R=1,5 Ду на давление до 16 МПа, номинальный диаметр 30 мм, наружный диаметр 33,7 мм, толщина стенки 2,3 мм</t>
  </si>
  <si>
    <t>23.8.04.12-0116</t>
  </si>
  <si>
    <t>Тройники равнопроходные, номинальное давление до 16 МПа, номинальный диаметр 65 мм, наружный диаметр и толщина стенки 76,1х5,0 мм</t>
  </si>
  <si>
    <t>23.8.04.06-0061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</si>
  <si>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2,5 мм</t>
  </si>
  <si>
    <t>10.3.02.03-0012</t>
  </si>
  <si>
    <t>Припои оловянно-свинцовые бессурьмянистые, марка ПОС40</t>
  </si>
  <si>
    <t>23.8.04.12-0125</t>
  </si>
  <si>
    <t>Тройники равнопроходные, номинальное давление до 16 МПа, номинальный диаметр 125 мм, наружный диаметр и толщина стенки 133х4,0 мм</t>
  </si>
  <si>
    <t>14.4.01.01-0003</t>
  </si>
  <si>
    <t>Грунтовка ГФ-021</t>
  </si>
  <si>
    <t>23.8.04.12-0103</t>
  </si>
  <si>
    <t>Тройники равнопроходные, номинальное давление до 16 МПа, номинальный диаметр 80 мм, наружный диаметр и толщина стенки 88,9х3,2 мм</t>
  </si>
  <si>
    <t>21.2.03.09-0105</t>
  </si>
  <si>
    <t>Провод силовой ПРТО 1х1,5-660</t>
  </si>
  <si>
    <t>23.8.04.12-0115</t>
  </si>
  <si>
    <t>Тройники равнопроходные, номинальное давление до 16 МПа, номинальный диаметр 65 мм, наружный диаметр и толщина стенки 76,1х2,9 мм</t>
  </si>
  <si>
    <t>23.8.04.12-0104</t>
  </si>
  <si>
    <t>Тройники равнопроходные, номинальное давление до 16 МПа, номинальный диаметр 100 мм, наружный диаметр и толщина стенки 114,3х3,6 мм</t>
  </si>
  <si>
    <t>23.7.01.04-0001</t>
  </si>
  <si>
    <t>Трубопроводы из стальных электросварных труб с гильзами для отопления и водоснабжения, наружный диаметр 45 мм, толщина стенки 3,5 мм</t>
  </si>
  <si>
    <t>01.3.02.08-0001</t>
  </si>
  <si>
    <t>Кислород газообразный технический</t>
  </si>
  <si>
    <t>м3</t>
  </si>
  <si>
    <t>08.3.11.01-0032</t>
  </si>
  <si>
    <t>Сталь швеллерная, перфорированная ШП, марка Ст3, размер 60х35 мм</t>
  </si>
  <si>
    <t>23.8.04.06-0063</t>
  </si>
  <si>
    <t>Отвод крутоизогнутый, радиус кривизны 1,5 мм, номинальное давление до 16 МПа, номинальный диаметр 50 мм, наружный диаметр 57 мм, толщина стенки 3 мм</t>
  </si>
  <si>
    <t>01.7.11.07-0044</t>
  </si>
  <si>
    <t>Электроды сварочные Э42, диаметр 5 мм</t>
  </si>
  <si>
    <t>10.3.02.03-0011</t>
  </si>
  <si>
    <t>Припои оловянно-свинцовые бессурьмянистые, марка ПОС30</t>
  </si>
  <si>
    <t>23.3.03.02-0111</t>
  </si>
  <si>
    <t>Трубы стальные бесшовные горячедеформированные со снятой фаской из стали марок 15, 20, 35, наружный диаметр 133 мм, толщина стенки 4 мм</t>
  </si>
  <si>
    <t>23.8.04.08-0165</t>
  </si>
  <si>
    <t>Переходы стальные концентрические бесшовные приварные, наружный диаметр и толщина стенки 133х4,0-108х4,0 мм</t>
  </si>
  <si>
    <t>23.8.04.08-0090</t>
  </si>
  <si>
    <t>Переходы концентрические, номинальное давление 16 МПа, наружный диаметр и толщина стенки 159х4,5-133х4 мм</t>
  </si>
  <si>
    <t>23.8.04.08-0052</t>
  </si>
  <si>
    <t>Переходы концентрические, номинальное давление 16 МПа, наружный диаметр и толщина стенки 57х5-45х4 мм</t>
  </si>
  <si>
    <t>21.1.08.01-0095</t>
  </si>
  <si>
    <t>Кабель пожарной сигнализации КПСВВнг-LS 2х2х0,75</t>
  </si>
  <si>
    <t>23.8.04.06-0080</t>
  </si>
  <si>
    <t>Отвод крутоизогнутый, радиус кривизны 1,5 мм, номинальное давление до 16 МПа, номинальный диаметр 125 мм, наружный диаметр 133 мм, толщина стенки 6 мм</t>
  </si>
  <si>
    <t>14.5.09.07-0030</t>
  </si>
  <si>
    <t>Растворитель Р-4</t>
  </si>
  <si>
    <t>23.8.04.08-0084</t>
  </si>
  <si>
    <t>Переходы концентрические, номинальное давление 16 МПа, наружный диаметр и толщина стенки 159х4,5-76х3,5 мм</t>
  </si>
  <si>
    <t>01.7.03.01-0002</t>
  </si>
  <si>
    <t>Вода водопроводная</t>
  </si>
  <si>
    <t>22.2.02.23-0011</t>
  </si>
  <si>
    <t>Глухари</t>
  </si>
  <si>
    <t>23.8.04.06-0066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</si>
  <si>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3,5 мм</t>
  </si>
  <si>
    <t>14.4.04.08-0003</t>
  </si>
  <si>
    <t>Эмаль ПФ-115, серая</t>
  </si>
  <si>
    <t>01.7.15.03-0033</t>
  </si>
  <si>
    <t>Болты с гайками и шайбами оцинкованные, диаметр 10 мм</t>
  </si>
  <si>
    <t>01.7.06.05-0042</t>
  </si>
  <si>
    <t>Лента липкая изоляционная на поликасиновом компаунде, ширина 20-30 мм, толщина от 0,14 до 0,19 мм</t>
  </si>
  <si>
    <t>01.7.15.07-0062</t>
  </si>
  <si>
    <t>Дюбели с калиброванной головкой (россыпью), размер 3х58,5 мм</t>
  </si>
  <si>
    <t>23.8.04.08-0058</t>
  </si>
  <si>
    <t>Переходы концентрические, номинальное давление 16 МПа, наружный диаметр и толщина стенки 76х6-57х5 мм</t>
  </si>
  <si>
    <t>01.7.07.10-0001</t>
  </si>
  <si>
    <t>Патроны для строительно-монтажного пистолета</t>
  </si>
  <si>
    <t>1000 шт</t>
  </si>
  <si>
    <t>01.3.02.03-0001</t>
  </si>
  <si>
    <t>Ацетилен газообразный технический</t>
  </si>
  <si>
    <t>23.8.04.06-0067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</si>
  <si>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5 мм</t>
  </si>
  <si>
    <t>01.3.02.09-0022</t>
  </si>
  <si>
    <t>Пропан-бутан смесь техническая</t>
  </si>
  <si>
    <t>01.7.07.29-0101</t>
  </si>
  <si>
    <t>Очес льняной</t>
  </si>
  <si>
    <t>23.8.04.12-0031</t>
  </si>
  <si>
    <t>Тройники переходные диаметром условного прохода: 50/40 мм, и наружным диаметром 67/45 мм</t>
  </si>
  <si>
    <t>14.4.02.04-0142</t>
  </si>
  <si>
    <t>Краска масляная земляная МА-0115, мумия, сурик железный</t>
  </si>
  <si>
    <t>18.5.08.18-0061</t>
  </si>
  <si>
    <t>Колпачки изоляции места соединения однопроволочных жил</t>
  </si>
  <si>
    <t>23.8.04.06-0062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</si>
  <si>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4 мм</t>
  </si>
  <si>
    <t>01.7.15.03-0031</t>
  </si>
  <si>
    <t>Болты с гайками и шайбами оцинкованные, диаметр 6 мм</t>
  </si>
  <si>
    <t>14.5.05.01-0011</t>
  </si>
  <si>
    <t>Олифа комбинированная для отделочных работ внутри помещений</t>
  </si>
  <si>
    <t>01.7.15.03-0034</t>
  </si>
  <si>
    <t>Болты с гайками и шайбами оцинкованные, диаметр 12 мм</t>
  </si>
  <si>
    <t>01.7.15.03-0042</t>
  </si>
  <si>
    <t>Болты с гайками и шайбами строительные</t>
  </si>
  <si>
    <t>14.5.09.11-0102</t>
  </si>
  <si>
    <t>Уайт-спирит</t>
  </si>
  <si>
    <t>01.3.05.17-0002</t>
  </si>
  <si>
    <t>Канифоль сосновая</t>
  </si>
  <si>
    <t>01.7.11.04-0052</t>
  </si>
  <si>
    <t>Проволока сварочная СВ-08Г2С, диаметр 2 мм</t>
  </si>
  <si>
    <t>14.5.09.02-0002</t>
  </si>
  <si>
    <t>Ксилол нефтяной, марка А</t>
  </si>
  <si>
    <t>01.7.15.07-0007</t>
  </si>
  <si>
    <t>Дюбели пластмассовые, диаметр 14 мм</t>
  </si>
  <si>
    <t>03.1.01.01-0002</t>
  </si>
  <si>
    <t>Гипс строительный Г-3</t>
  </si>
  <si>
    <t>01.7.06.07-0002</t>
  </si>
  <si>
    <t>Лента монтажная, тип ЛМ-5</t>
  </si>
  <si>
    <t>10 м</t>
  </si>
  <si>
    <t>01.7.19.04-0031</t>
  </si>
  <si>
    <t>Прокладки резиновые (пластина техническая прессованная)</t>
  </si>
  <si>
    <t>14.4.03.03-0002</t>
  </si>
  <si>
    <t>Лак битумный БТ-123</t>
  </si>
  <si>
    <t>14.5.05.02-0001</t>
  </si>
  <si>
    <t>Олифа натуральная</t>
  </si>
  <si>
    <t>14.1.04.02-0002</t>
  </si>
  <si>
    <t>Клей 88-СА</t>
  </si>
  <si>
    <t>01.1.02.08-0031</t>
  </si>
  <si>
    <t>Прокладки паронитовые</t>
  </si>
  <si>
    <t>01.7.07.08-0003</t>
  </si>
  <si>
    <t>Мыло хозяйственное твердое 72%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</si>
  <si>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</si>
  <si>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</si>
  <si>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</si>
  <si>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</si>
  <si>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</si>
  <si>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</si>
  <si>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</si>
  <si>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</si>
  <si>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</si>
  <si>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</si>
  <si>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</si>
  <si>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</si>
  <si>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</si>
  <si>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</si>
  <si>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</si>
  <si>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</si>
  <si>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</si>
  <si>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</si>
  <si>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</si>
  <si>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</si>
  <si>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</si>
  <si>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</si>
  <si>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</si>
  <si>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</si>
  <si>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</si>
  <si>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</si>
  <si>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</si>
  <si>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</si>
  <si>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</si>
  <si>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</si>
  <si>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</si>
  <si>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</si>
  <si>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</si>
  <si>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</si>
  <si>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</si>
  <si>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</si>
  <si>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</si>
  <si>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</si>
  <si>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</si>
  <si>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</si>
  <si>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</si>
  <si>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</si>
  <si>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</si>
  <si>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</si>
  <si>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 система газового пожаротушения ЗПС 500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</si>
  <si>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</si>
  <si>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</si>
  <si>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</si>
  <si>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</si>
  <si>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</si>
  <si>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</si>
  <si>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</si>
  <si>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</si>
  <si>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</si>
  <si>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</si>
  <si>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</si>
  <si>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</si>
  <si>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</si>
  <si>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</si>
  <si>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</si>
  <si>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</si>
  <si>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</si>
  <si>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</si>
  <si>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</si>
  <si>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</si>
  <si>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</si>
  <si>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</si>
  <si>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</si>
  <si>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</si>
  <si>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</si>
  <si>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</si>
  <si>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ед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</si>
  <si>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</si>
  <si>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</si>
  <si>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</si>
  <si>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</si>
  <si>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</si>
  <si>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</si>
  <si>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</si>
  <si>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</si>
  <si>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</si>
  <si>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</si>
  <si>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</si>
  <si>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</si>
  <si>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</si>
  <si>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</si>
  <si>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 ПС ГПТ 500 кВ</t>
  </si>
  <si>
    <t>УНЦ постоянной части ПС 500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</si>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</sst>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"/>
    <numFmt numFmtId="171" formatCode="0.000"/>
  </numFmts>
  <fonts count="28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6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5" xfId="0" applyFont="1" applyBorder="1"/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left"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0" fontId="1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19" fillId="0" borderId="0" xfId="0" applyFont="1" applyAlignment="1">
      <alignment horizontal="justify" vertical="center"/>
    </xf>
    <xf numFmtId="0" fontId="16" fillId="0" borderId="0" xfId="0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/>
    </xf>
    <xf numFmtId="4" fontId="16" fillId="0" borderId="1" xfId="0" applyNumberFormat="1" applyFont="1" applyBorder="1" applyAlignment="1">
      <alignment vertical="top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4" fontId="18" fillId="0" borderId="1" xfId="0" applyNumberFormat="1" applyFont="1" applyBorder="1" applyAlignment="1">
      <alignment vertical="top"/>
    </xf>
    <xf numFmtId="10" fontId="16" fillId="0" borderId="0" xfId="0" applyNumberFormat="1" applyFont="1"/>
    <xf numFmtId="10" fontId="18" fillId="0" borderId="0" xfId="0" applyNumberFormat="1" applyFont="1"/>
    <xf numFmtId="0" fontId="16" fillId="0" borderId="5" xfId="0" applyFont="1" applyBorder="1" applyAlignment="1">
      <alignment horizontal="center" vertical="center" wrapText="1"/>
    </xf>
    <xf numFmtId="0" fontId="18" fillId="0" borderId="0" xfId="0" applyFont="1"/>
    <xf numFmtId="14" fontId="16" fillId="0" borderId="1" xfId="0" applyNumberFormat="1" applyFont="1" applyBorder="1" applyAlignment="1">
      <alignment vertical="top"/>
    </xf>
    <xf numFmtId="170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16" fillId="0" borderId="0" xfId="0" applyNumberFormat="1" applyFont="1"/>
    <xf numFmtId="167" fontId="16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4" fillId="0" borderId="0" xfId="0" applyNumberFormat="1" applyFont="1"/>
    <xf numFmtId="4" fontId="4" fillId="0" borderId="0" xfId="0" applyNumberFormat="1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vertical="center" wrapText="1"/>
    </xf>
    <xf numFmtId="0" fontId="16" fillId="0" borderId="0" xfId="0" applyFont="1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395432</xdr:colOff>
      <xdr:row>28</xdr:row>
      <xdr:rowOff>127576</xdr:rowOff>
    </xdr:from>
    <xdr:to>
      <xdr:col>2</xdr:col>
      <xdr:colOff>1340234</xdr:colOff>
      <xdr:row>31</xdr:row>
      <xdr:rowOff>36128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2CD28AE-F081-476D-8A80-3D3B5723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705" y="11765394"/>
          <a:ext cx="944802" cy="532007"/>
        </a:xfrm>
        <a:prstGeom prst="rect">
          <a:avLst/>
        </a:prstGeom>
      </xdr:spPr>
    </xdr:pic>
    <xdr:clientData/>
  </xdr:twoCellAnchor>
  <xdr:twoCellAnchor editAs="oneCell">
    <xdr:from>
      <xdr:col>2</xdr:col>
      <xdr:colOff>490683</xdr:colOff>
      <xdr:row>26</xdr:row>
      <xdr:rowOff>325004</xdr:rowOff>
    </xdr:from>
    <xdr:to>
      <xdr:col>2</xdr:col>
      <xdr:colOff>1328882</xdr:colOff>
      <xdr:row>28</xdr:row>
      <xdr:rowOff>87736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C5E7336-7F20-4225-AD17-24D5B7F11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2956" y="11270095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401411</xdr:colOff>
      <xdr:row>19</xdr:row>
      <xdr:rowOff>126094</xdr:rowOff>
    </xdr:from>
    <xdr:to>
      <xdr:col>2</xdr:col>
      <xdr:colOff>1346213</xdr:colOff>
      <xdr:row>22</xdr:row>
      <xdr:rowOff>42067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34BC92A-7061-4B36-BAB3-45DA1F7B3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5977165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496662</xdr:colOff>
      <xdr:row>17</xdr:row>
      <xdr:rowOff>39008</xdr:rowOff>
    </xdr:from>
    <xdr:to>
      <xdr:col>2</xdr:col>
      <xdr:colOff>1334861</xdr:colOff>
      <xdr:row>19</xdr:row>
      <xdr:rowOff>86254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DB3E148-B6AD-4B31-B5DB-7B36EC2CC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6" y="5481865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174</xdr:row>
      <xdr:rowOff>114301</xdr:rowOff>
    </xdr:from>
    <xdr:to>
      <xdr:col>2</xdr:col>
      <xdr:colOff>1040052</xdr:colOff>
      <xdr:row>177</xdr:row>
      <xdr:rowOff>26192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99C1285-A113-42B0-9E69-0863A863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1214" y="69469908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172</xdr:row>
      <xdr:rowOff>27215</xdr:rowOff>
    </xdr:from>
    <xdr:to>
      <xdr:col>2</xdr:col>
      <xdr:colOff>1028700</xdr:colOff>
      <xdr:row>174</xdr:row>
      <xdr:rowOff>74461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AB422D5-9240-4368-9A29-8E4C764F3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6465" y="68974608"/>
          <a:ext cx="838199" cy="455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933450</xdr:colOff>
      <xdr:row>43</xdr:row>
      <xdr:rowOff>152400</xdr:rowOff>
    </xdr:from>
    <xdr:to>
      <xdr:col>1</xdr:col>
      <xdr:colOff>1878252</xdr:colOff>
      <xdr:row>46</xdr:row>
      <xdr:rowOff>105113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4B48756-E01D-43DC-9CE5-9458CA6A9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17729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1028701</xdr:colOff>
      <xdr:row>41</xdr:row>
      <xdr:rowOff>38100</xdr:rowOff>
    </xdr:from>
    <xdr:to>
      <xdr:col>1</xdr:col>
      <xdr:colOff>1866900</xdr:colOff>
      <xdr:row>43</xdr:row>
      <xdr:rowOff>112560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68638C8-3961-48DF-AA12-0BB2E774D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6" y="1127760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544606</xdr:colOff>
      <xdr:row>197</xdr:row>
      <xdr:rowOff>79562</xdr:rowOff>
    </xdr:from>
    <xdr:to>
      <xdr:col>1</xdr:col>
      <xdr:colOff>1489408</xdr:colOff>
      <xdr:row>200</xdr:row>
      <xdr:rowOff>60850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49C1B2F-9C27-4CE2-B0A7-E99931D2A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606" y="16195862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639857</xdr:colOff>
      <xdr:row>194</xdr:row>
      <xdr:rowOff>393887</xdr:rowOff>
    </xdr:from>
    <xdr:to>
      <xdr:col>1</xdr:col>
      <xdr:colOff>1478056</xdr:colOff>
      <xdr:row>197</xdr:row>
      <xdr:rowOff>39722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0D0213F-E256-42C4-A11E-6C2079C6A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857" y="15700562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751609</xdr:colOff>
      <xdr:row>52</xdr:row>
      <xdr:rowOff>20782</xdr:rowOff>
    </xdr:from>
    <xdr:to>
      <xdr:col>2</xdr:col>
      <xdr:colOff>524836</xdr:colOff>
      <xdr:row>54</xdr:row>
      <xdr:rowOff>170922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9CF1735-6E00-4A19-8017-05628923D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609" y="16473055"/>
          <a:ext cx="950863" cy="531140"/>
        </a:xfrm>
        <a:prstGeom prst="rect">
          <a:avLst/>
        </a:prstGeom>
      </xdr:spPr>
    </xdr:pic>
    <xdr:clientData/>
  </xdr:twoCellAnchor>
  <xdr:twoCellAnchor editAs="oneCell">
    <xdr:from>
      <xdr:col>1</xdr:col>
      <xdr:colOff>846860</xdr:colOff>
      <xdr:row>49</xdr:row>
      <xdr:rowOff>141143</xdr:rowOff>
    </xdr:from>
    <xdr:to>
      <xdr:col>2</xdr:col>
      <xdr:colOff>513484</xdr:colOff>
      <xdr:row>51</xdr:row>
      <xdr:rowOff>171442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E123A6F-FE14-49CC-8B7C-598D92F28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860" y="15969961"/>
          <a:ext cx="844260" cy="4632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95250</xdr:rowOff>
    </xdr:from>
    <xdr:to>
      <xdr:col>1</xdr:col>
      <xdr:colOff>801927</xdr:colOff>
      <xdr:row>15</xdr:row>
      <xdr:rowOff>162263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AEC1D41-C512-4021-8421-C71FB61B2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575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DDA4935-0C98-4A5F-8FC7-9ECE78A20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762000</xdr:colOff>
      <xdr:row>27</xdr:row>
      <xdr:rowOff>98425</xdr:rowOff>
    </xdr:from>
    <xdr:to>
      <xdr:col>1</xdr:col>
      <xdr:colOff>1706802</xdr:colOff>
      <xdr:row>30</xdr:row>
      <xdr:rowOff>51138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05519F8-C36A-4D86-9590-4EECAD58A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250" y="94011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24</xdr:row>
      <xdr:rowOff>174625</xdr:rowOff>
    </xdr:from>
    <xdr:to>
      <xdr:col>1</xdr:col>
      <xdr:colOff>1695450</xdr:colOff>
      <xdr:row>27</xdr:row>
      <xdr:rowOff>58585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A2FE849-61A7-451D-B2B2-2F2E0DBEB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1" y="890587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8" t="s">
        <v>0</v>
      </c>
      <c r="B2" s="208"/>
      <c r="C2" s="208"/>
    </row>
    <row r="3" spans="1:3" x14ac:dyDescent="0.25">
      <c r="A3" s="1"/>
      <c r="B3" s="1"/>
      <c r="C3" s="1"/>
    </row>
    <row r="4" spans="1:3" x14ac:dyDescent="0.25">
      <c r="A4" s="209" t="s">
        <v>1</v>
      </c>
      <c r="B4" s="209"/>
      <c r="C4" s="20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10" t="s">
        <v>3</v>
      </c>
      <c r="C6" s="210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20" sqref="D20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95"/>
      <c r="B1" s="195"/>
      <c r="C1" s="195"/>
      <c r="D1" s="195" t="s">
        <v>498</v>
      </c>
    </row>
    <row r="2" spans="1:4" ht="15.75" customHeight="1" x14ac:dyDescent="0.25">
      <c r="A2" s="195"/>
      <c r="B2" s="195"/>
      <c r="C2" s="195"/>
      <c r="D2" s="195"/>
    </row>
    <row r="3" spans="1:4" ht="15.75" customHeight="1" x14ac:dyDescent="0.25">
      <c r="A3" s="195"/>
      <c r="B3" s="196" t="s">
        <v>499</v>
      </c>
      <c r="C3" s="195"/>
      <c r="D3" s="195"/>
    </row>
    <row r="4" spans="1:4" ht="15.75" customHeight="1" x14ac:dyDescent="0.25">
      <c r="A4" s="195"/>
      <c r="B4" s="195"/>
      <c r="C4" s="195"/>
      <c r="D4" s="195"/>
    </row>
    <row r="5" spans="1:4" ht="31.5" customHeight="1" x14ac:dyDescent="0.25">
      <c r="A5" s="256" t="s">
        <v>500</v>
      </c>
      <c r="B5" s="256"/>
      <c r="C5" s="256"/>
      <c r="D5" s="197" t="str">
        <f>'Прил.5 Расчет СМР и ОБ'!D6:J6</f>
        <v>Постоянная часть ПС система газового пожаротушения ЗПС 500 кВ</v>
      </c>
    </row>
    <row r="6" spans="1:4" ht="15.75" customHeight="1" x14ac:dyDescent="0.25">
      <c r="A6" s="195" t="s">
        <v>49</v>
      </c>
      <c r="B6" s="195"/>
      <c r="C6" s="195"/>
      <c r="D6" s="195"/>
    </row>
    <row r="7" spans="1:4" ht="15.75" customHeight="1" x14ac:dyDescent="0.25">
      <c r="A7" s="195"/>
      <c r="B7" s="195"/>
      <c r="C7" s="195"/>
      <c r="D7" s="195"/>
    </row>
    <row r="8" spans="1:4" x14ac:dyDescent="0.25">
      <c r="A8" s="220" t="s">
        <v>5</v>
      </c>
      <c r="B8" s="220" t="s">
        <v>6</v>
      </c>
      <c r="C8" s="220" t="s">
        <v>501</v>
      </c>
      <c r="D8" s="220" t="s">
        <v>502</v>
      </c>
    </row>
    <row r="9" spans="1:4" x14ac:dyDescent="0.25">
      <c r="A9" s="220"/>
      <c r="B9" s="220"/>
      <c r="C9" s="220"/>
      <c r="D9" s="220"/>
    </row>
    <row r="10" spans="1:4" ht="15.75" customHeight="1" x14ac:dyDescent="0.25">
      <c r="A10" s="198">
        <v>1</v>
      </c>
      <c r="B10" s="198">
        <v>2</v>
      </c>
      <c r="C10" s="198">
        <v>3</v>
      </c>
      <c r="D10" s="198">
        <v>4</v>
      </c>
    </row>
    <row r="11" spans="1:4" ht="63" customHeight="1" x14ac:dyDescent="0.25">
      <c r="A11" s="116" t="s">
        <v>503</v>
      </c>
      <c r="B11" s="199" t="s">
        <v>504</v>
      </c>
      <c r="C11" s="200" t="str">
        <f>D5</f>
        <v>Постоянная часть ПС система газового пожаротушения ЗПС 500 кВ</v>
      </c>
      <c r="D11" s="201">
        <f>'Прил.4 РМ'!C41/1000</f>
        <v>6948.3269399999981</v>
      </c>
    </row>
    <row r="13" spans="1:4" x14ac:dyDescent="0.25">
      <c r="A13" s="202" t="s">
        <v>505</v>
      </c>
      <c r="B13" s="203"/>
      <c r="C13" s="203"/>
      <c r="D13" s="204"/>
    </row>
    <row r="14" spans="1:4" x14ac:dyDescent="0.25">
      <c r="A14" s="205" t="s">
        <v>76</v>
      </c>
      <c r="B14" s="203"/>
      <c r="C14" s="203"/>
      <c r="D14" s="204"/>
    </row>
    <row r="15" spans="1:4" ht="21" customHeight="1" x14ac:dyDescent="0.25">
      <c r="A15" s="202"/>
      <c r="B15" s="203"/>
      <c r="C15" s="203"/>
      <c r="D15" s="204"/>
    </row>
    <row r="16" spans="1:4" x14ac:dyDescent="0.25">
      <c r="A16" s="202" t="s">
        <v>77</v>
      </c>
      <c r="B16" s="203"/>
      <c r="C16" s="203"/>
      <c r="D16" s="204"/>
    </row>
    <row r="17" spans="1:4" x14ac:dyDescent="0.25">
      <c r="A17" s="205" t="s">
        <v>78</v>
      </c>
      <c r="B17" s="203"/>
      <c r="C17" s="203"/>
      <c r="D17" s="20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6" zoomScale="60" zoomScaleNormal="85" workbookViewId="0">
      <selection activeCell="D29" sqref="D29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5" t="s">
        <v>506</v>
      </c>
      <c r="C4" s="215"/>
      <c r="D4" s="215"/>
    </row>
    <row r="5" spans="2:5" ht="18.75" customHeight="1" x14ac:dyDescent="0.25">
      <c r="B5" s="123"/>
    </row>
    <row r="6" spans="2:5" ht="15.75" customHeight="1" x14ac:dyDescent="0.25">
      <c r="B6" s="216" t="s">
        <v>507</v>
      </c>
      <c r="C6" s="216"/>
      <c r="D6" s="216"/>
    </row>
    <row r="7" spans="2:5" x14ac:dyDescent="0.25">
      <c r="B7" s="257"/>
      <c r="C7" s="257"/>
      <c r="D7" s="257"/>
      <c r="E7" s="257"/>
    </row>
    <row r="8" spans="2:5" x14ac:dyDescent="0.25">
      <c r="B8" s="137"/>
      <c r="C8" s="137"/>
      <c r="D8" s="137"/>
      <c r="E8" s="137"/>
    </row>
    <row r="9" spans="2:5" ht="47.25" customHeight="1" x14ac:dyDescent="0.25">
      <c r="B9" s="116" t="s">
        <v>508</v>
      </c>
      <c r="C9" s="116" t="s">
        <v>509</v>
      </c>
      <c r="D9" s="116" t="s">
        <v>510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511</v>
      </c>
      <c r="C11" s="116" t="s">
        <v>512</v>
      </c>
      <c r="D11" s="116">
        <v>44.29</v>
      </c>
    </row>
    <row r="12" spans="2:5" ht="29.25" customHeight="1" x14ac:dyDescent="0.25">
      <c r="B12" s="116" t="s">
        <v>513</v>
      </c>
      <c r="C12" s="116" t="s">
        <v>512</v>
      </c>
      <c r="D12" s="116">
        <v>13.47</v>
      </c>
    </row>
    <row r="13" spans="2:5" ht="29.25" customHeight="1" x14ac:dyDescent="0.25">
      <c r="B13" s="116" t="s">
        <v>514</v>
      </c>
      <c r="C13" s="116" t="s">
        <v>512</v>
      </c>
      <c r="D13" s="116">
        <v>8.0399999999999991</v>
      </c>
    </row>
    <row r="14" spans="2:5" ht="30.75" customHeight="1" x14ac:dyDescent="0.25">
      <c r="B14" s="116" t="s">
        <v>515</v>
      </c>
      <c r="C14" s="152" t="s">
        <v>516</v>
      </c>
      <c r="D14" s="116">
        <v>6.26</v>
      </c>
    </row>
    <row r="15" spans="2:5" ht="89.25" customHeight="1" x14ac:dyDescent="0.25">
      <c r="B15" s="116" t="s">
        <v>517</v>
      </c>
      <c r="C15" s="116" t="s">
        <v>518</v>
      </c>
      <c r="D15" s="124">
        <v>3.9E-2</v>
      </c>
    </row>
    <row r="16" spans="2:5" ht="78.75" customHeight="1" x14ac:dyDescent="0.25">
      <c r="B16" s="116" t="s">
        <v>519</v>
      </c>
      <c r="C16" s="116" t="s">
        <v>520</v>
      </c>
      <c r="D16" s="124">
        <v>2.1000000000000001E-2</v>
      </c>
    </row>
    <row r="17" spans="2:4" ht="34.5" customHeight="1" x14ac:dyDescent="0.25">
      <c r="B17" s="116" t="s">
        <v>443</v>
      </c>
      <c r="C17" s="116"/>
      <c r="D17" s="116" t="s">
        <v>521</v>
      </c>
    </row>
    <row r="18" spans="2:4" ht="31.5" customHeight="1" x14ac:dyDescent="0.25">
      <c r="B18" s="116" t="s">
        <v>522</v>
      </c>
      <c r="C18" s="116" t="s">
        <v>523</v>
      </c>
      <c r="D18" s="124">
        <v>2.1399999999999999E-2</v>
      </c>
    </row>
    <row r="19" spans="2:4" ht="31.5" customHeight="1" x14ac:dyDescent="0.25">
      <c r="B19" s="116" t="s">
        <v>449</v>
      </c>
      <c r="C19" s="116" t="s">
        <v>524</v>
      </c>
      <c r="D19" s="124">
        <v>2E-3</v>
      </c>
    </row>
    <row r="20" spans="2:4" ht="24" customHeight="1" x14ac:dyDescent="0.25">
      <c r="B20" s="116" t="s">
        <v>451</v>
      </c>
      <c r="C20" s="116" t="s">
        <v>525</v>
      </c>
      <c r="D20" s="124">
        <v>0.03</v>
      </c>
    </row>
    <row r="21" spans="2:4" ht="18.75" customHeight="1" x14ac:dyDescent="0.25">
      <c r="B21" s="148"/>
    </row>
    <row r="22" spans="2:4" ht="18.75" customHeight="1" x14ac:dyDescent="0.25">
      <c r="B22" s="148"/>
    </row>
    <row r="23" spans="2:4" ht="18.75" customHeight="1" x14ac:dyDescent="0.25">
      <c r="B23" s="148"/>
    </row>
    <row r="24" spans="2:4" ht="18.75" customHeight="1" x14ac:dyDescent="0.25">
      <c r="B24" s="148"/>
    </row>
    <row r="27" spans="2:4" x14ac:dyDescent="0.25">
      <c r="B27" s="4" t="s">
        <v>526</v>
      </c>
      <c r="C27" s="12"/>
    </row>
    <row r="28" spans="2:4" x14ac:dyDescent="0.25">
      <c r="B28" s="146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490</v>
      </c>
      <c r="C30" s="12"/>
    </row>
    <row r="31" spans="2:4" x14ac:dyDescent="0.25">
      <c r="B31" s="146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M13" sqref="M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6" t="s">
        <v>527</v>
      </c>
      <c r="B2" s="216"/>
      <c r="C2" s="216"/>
      <c r="D2" s="216"/>
      <c r="E2" s="216"/>
      <c r="F2" s="216"/>
    </row>
    <row r="4" spans="1:7" ht="18" customHeight="1" x14ac:dyDescent="0.25">
      <c r="A4" s="111" t="s">
        <v>528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13" t="s">
        <v>13</v>
      </c>
      <c r="B5" s="113" t="s">
        <v>529</v>
      </c>
      <c r="C5" s="113" t="s">
        <v>530</v>
      </c>
      <c r="D5" s="113" t="s">
        <v>531</v>
      </c>
      <c r="E5" s="113" t="s">
        <v>532</v>
      </c>
      <c r="F5" s="113" t="s">
        <v>533</v>
      </c>
      <c r="G5" s="112"/>
    </row>
    <row r="6" spans="1:7" ht="15.75" customHeight="1" x14ac:dyDescent="0.2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ht="110.25" customHeight="1" x14ac:dyDescent="0.25">
      <c r="A7" s="114" t="s">
        <v>534</v>
      </c>
      <c r="B7" s="115" t="s">
        <v>535</v>
      </c>
      <c r="C7" s="116" t="s">
        <v>536</v>
      </c>
      <c r="D7" s="116" t="s">
        <v>537</v>
      </c>
      <c r="E7" s="117">
        <v>47872.94</v>
      </c>
      <c r="F7" s="115" t="s">
        <v>538</v>
      </c>
      <c r="G7" s="112"/>
    </row>
    <row r="8" spans="1:7" ht="31.5" customHeight="1" x14ac:dyDescent="0.25">
      <c r="A8" s="114" t="s">
        <v>539</v>
      </c>
      <c r="B8" s="115" t="s">
        <v>540</v>
      </c>
      <c r="C8" s="116" t="s">
        <v>541</v>
      </c>
      <c r="D8" s="116" t="s">
        <v>542</v>
      </c>
      <c r="E8" s="117">
        <f>1973/12</f>
        <v>164.41666666667001</v>
      </c>
      <c r="F8" s="115" t="s">
        <v>543</v>
      </c>
      <c r="G8" s="118"/>
    </row>
    <row r="9" spans="1:7" ht="15.75" customHeight="1" x14ac:dyDescent="0.25">
      <c r="A9" s="114" t="s">
        <v>544</v>
      </c>
      <c r="B9" s="115" t="s">
        <v>545</v>
      </c>
      <c r="C9" s="116" t="s">
        <v>546</v>
      </c>
      <c r="D9" s="116" t="s">
        <v>537</v>
      </c>
      <c r="E9" s="117">
        <v>1</v>
      </c>
      <c r="F9" s="115"/>
      <c r="G9" s="118"/>
    </row>
    <row r="10" spans="1:7" ht="15.75" customHeight="1" x14ac:dyDescent="0.25">
      <c r="A10" s="114" t="s">
        <v>547</v>
      </c>
      <c r="B10" s="115" t="s">
        <v>548</v>
      </c>
      <c r="C10" s="116"/>
      <c r="D10" s="116"/>
      <c r="E10" s="157">
        <v>4</v>
      </c>
      <c r="F10" s="115" t="s">
        <v>549</v>
      </c>
      <c r="G10" s="118"/>
    </row>
    <row r="11" spans="1:7" ht="78.75" customHeight="1" x14ac:dyDescent="0.25">
      <c r="A11" s="114" t="s">
        <v>550</v>
      </c>
      <c r="B11" s="115" t="s">
        <v>551</v>
      </c>
      <c r="C11" s="116" t="s">
        <v>552</v>
      </c>
      <c r="D11" s="116" t="s">
        <v>537</v>
      </c>
      <c r="E11" s="158">
        <v>1.34</v>
      </c>
      <c r="F11" s="115" t="s">
        <v>553</v>
      </c>
      <c r="G11" s="112"/>
    </row>
    <row r="12" spans="1:7" ht="78.75" customHeight="1" x14ac:dyDescent="0.25">
      <c r="A12" s="114" t="s">
        <v>554</v>
      </c>
      <c r="B12" s="119" t="s">
        <v>555</v>
      </c>
      <c r="C12" s="116" t="s">
        <v>556</v>
      </c>
      <c r="D12" s="116" t="s">
        <v>537</v>
      </c>
      <c r="E12" s="173">
        <v>1.139</v>
      </c>
      <c r="F12" s="120" t="s">
        <v>557</v>
      </c>
      <c r="G12" s="118"/>
    </row>
    <row r="13" spans="1:7" ht="63" customHeight="1" x14ac:dyDescent="0.25">
      <c r="A13" s="114" t="s">
        <v>558</v>
      </c>
      <c r="B13" s="121" t="s">
        <v>559</v>
      </c>
      <c r="C13" s="116" t="s">
        <v>560</v>
      </c>
      <c r="D13" s="116" t="s">
        <v>561</v>
      </c>
      <c r="E13" s="122">
        <v>444.39870291576</v>
      </c>
      <c r="F13" s="115" t="s">
        <v>562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1" customFormat="1" ht="29.45" customHeight="1" x14ac:dyDescent="0.2">
      <c r="A1" s="258" t="s">
        <v>563</v>
      </c>
      <c r="B1" s="258"/>
      <c r="C1" s="258"/>
      <c r="D1" s="258"/>
      <c r="E1" s="258"/>
      <c r="F1" s="258"/>
      <c r="G1" s="258"/>
      <c r="H1" s="258"/>
      <c r="I1" s="258"/>
    </row>
    <row r="2" spans="1:13" s="31" customFormat="1" ht="13.5" customHeight="1" x14ac:dyDescent="0.2">
      <c r="A2" s="32"/>
      <c r="B2" s="32"/>
      <c r="C2" s="32"/>
      <c r="D2" s="32"/>
      <c r="E2" s="32"/>
      <c r="F2" s="32"/>
      <c r="G2" s="32"/>
      <c r="H2" s="32"/>
      <c r="I2" s="32"/>
    </row>
    <row r="3" spans="1:13" s="31" customFormat="1" ht="34.5" customHeight="1" x14ac:dyDescent="0.2">
      <c r="A3" s="211" t="e">
        <f>#REF!</f>
        <v>#REF!</v>
      </c>
      <c r="B3" s="211"/>
      <c r="C3" s="211"/>
      <c r="D3" s="211"/>
      <c r="E3" s="211"/>
      <c r="F3" s="211"/>
      <c r="G3" s="211"/>
      <c r="H3" s="211"/>
      <c r="I3" s="211"/>
    </row>
    <row r="4" spans="1:13" s="4" customFormat="1" ht="15.75" customHeight="1" x14ac:dyDescent="0.2">
      <c r="A4" s="259"/>
      <c r="B4" s="259"/>
      <c r="C4" s="259"/>
      <c r="D4" s="259"/>
      <c r="E4" s="259"/>
      <c r="F4" s="259"/>
      <c r="G4" s="259"/>
      <c r="H4" s="259"/>
      <c r="I4" s="259"/>
    </row>
    <row r="5" spans="1:13" s="33" customFormat="1" ht="36.6" customHeight="1" x14ac:dyDescent="0.35">
      <c r="A5" s="260" t="s">
        <v>13</v>
      </c>
      <c r="B5" s="260" t="s">
        <v>564</v>
      </c>
      <c r="C5" s="260" t="s">
        <v>565</v>
      </c>
      <c r="D5" s="260" t="s">
        <v>566</v>
      </c>
      <c r="E5" s="255" t="s">
        <v>567</v>
      </c>
      <c r="F5" s="255"/>
      <c r="G5" s="255"/>
      <c r="H5" s="255"/>
      <c r="I5" s="255"/>
    </row>
    <row r="6" spans="1:13" s="28" customFormat="1" ht="31.5" customHeight="1" x14ac:dyDescent="0.2">
      <c r="A6" s="260"/>
      <c r="B6" s="260"/>
      <c r="C6" s="260"/>
      <c r="D6" s="260"/>
      <c r="E6" s="34" t="s">
        <v>86</v>
      </c>
      <c r="F6" s="34" t="s">
        <v>87</v>
      </c>
      <c r="G6" s="34" t="s">
        <v>43</v>
      </c>
      <c r="H6" s="34" t="s">
        <v>568</v>
      </c>
      <c r="I6" s="34" t="s">
        <v>569</v>
      </c>
    </row>
    <row r="7" spans="1:13" s="28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8" customFormat="1" ht="13.15" customHeight="1" x14ac:dyDescent="0.2">
      <c r="A8" s="35">
        <v>1</v>
      </c>
      <c r="B8" s="36"/>
      <c r="C8" s="8" t="s">
        <v>439</v>
      </c>
      <c r="D8" s="37"/>
      <c r="E8" s="30">
        <f>'4.3 Отдел 2. Тех.характеристики'!H4/1000</f>
        <v>3.98509</v>
      </c>
      <c r="F8" s="30">
        <f>'4.3 Отдел 2. Тех.характеристики'!I4/1000</f>
        <v>3.1536300000000002</v>
      </c>
      <c r="G8" s="30">
        <f>'4.3 Отдел 2. Тех.характеристики'!J4/1000</f>
        <v>94.532139999999998</v>
      </c>
      <c r="H8" s="30"/>
      <c r="I8" s="30">
        <f>E8+F8+G8</f>
        <v>101.67086</v>
      </c>
      <c r="K8" s="38"/>
      <c r="L8" s="38"/>
      <c r="M8" s="38"/>
    </row>
    <row r="9" spans="1:13" s="28" customFormat="1" ht="38.25" customHeight="1" x14ac:dyDescent="0.2">
      <c r="A9" s="35">
        <v>2</v>
      </c>
      <c r="B9" s="8" t="s">
        <v>570</v>
      </c>
      <c r="C9" s="8" t="s">
        <v>571</v>
      </c>
      <c r="D9" s="110">
        <v>3.9E-2</v>
      </c>
      <c r="E9" s="30">
        <f>E8*D9</f>
        <v>0.15541851000000001</v>
      </c>
      <c r="F9" s="30">
        <f>F8*D9</f>
        <v>0.12299156999999999</v>
      </c>
      <c r="G9" s="30"/>
      <c r="H9" s="30"/>
      <c r="I9" s="30">
        <f>E9+F9</f>
        <v>0.27841008</v>
      </c>
    </row>
    <row r="10" spans="1:13" s="28" customFormat="1" ht="13.15" customHeight="1" x14ac:dyDescent="0.2">
      <c r="A10" s="35"/>
      <c r="B10" s="8"/>
      <c r="C10" s="8"/>
      <c r="D10" s="16"/>
      <c r="E10" s="30"/>
      <c r="F10" s="30"/>
      <c r="G10" s="30"/>
      <c r="H10" s="30"/>
      <c r="I10" s="30"/>
    </row>
    <row r="11" spans="1:13" s="28" customFormat="1" ht="51" customHeight="1" x14ac:dyDescent="0.2">
      <c r="A11" s="35">
        <v>3</v>
      </c>
      <c r="B11" s="8" t="s">
        <v>572</v>
      </c>
      <c r="C11" s="8" t="s">
        <v>519</v>
      </c>
      <c r="D11" s="110">
        <v>2.1000000000000001E-2</v>
      </c>
      <c r="E11" s="30">
        <f>(E8+E9)*D11</f>
        <v>8.6950678710000007E-2</v>
      </c>
      <c r="F11" s="30"/>
      <c r="G11" s="30"/>
      <c r="H11" s="30" t="s">
        <v>107</v>
      </c>
      <c r="I11" s="30">
        <f>E11</f>
        <v>8.6950678710000007E-2</v>
      </c>
    </row>
    <row r="12" spans="1:13" s="28" customFormat="1" ht="45" customHeight="1" x14ac:dyDescent="0.2">
      <c r="A12" s="35">
        <v>4</v>
      </c>
      <c r="B12" s="8" t="s">
        <v>573</v>
      </c>
      <c r="C12" s="8" t="s">
        <v>574</v>
      </c>
      <c r="D12" s="16">
        <v>5.6000000000000001E-2</v>
      </c>
      <c r="E12" s="30"/>
      <c r="F12" s="30"/>
      <c r="G12" s="30"/>
      <c r="H12" s="30">
        <f>(G8+F8)*D12</f>
        <v>5.4704031200000003</v>
      </c>
      <c r="I12" s="30">
        <f>H12</f>
        <v>5.4704031200000003</v>
      </c>
      <c r="J12" s="39" t="s">
        <v>575</v>
      </c>
    </row>
    <row r="13" spans="1:13" s="28" customFormat="1" ht="13.15" customHeight="1" x14ac:dyDescent="0.2">
      <c r="A13" s="35"/>
      <c r="B13" s="8"/>
      <c r="C13" s="8"/>
      <c r="D13" s="16"/>
      <c r="E13" s="30"/>
      <c r="F13" s="30"/>
      <c r="G13" s="30"/>
      <c r="H13" s="30"/>
      <c r="I13" s="30"/>
    </row>
    <row r="14" spans="1:13" s="28" customFormat="1" ht="39.6" customHeight="1" x14ac:dyDescent="0.2">
      <c r="A14" s="35">
        <v>5</v>
      </c>
      <c r="B14" s="8" t="s">
        <v>523</v>
      </c>
      <c r="C14" s="8" t="s">
        <v>576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0"/>
      <c r="F14" s="30"/>
      <c r="G14" s="30"/>
      <c r="H14" s="30">
        <f>(I8+I9+I11+I12)*D14*1</f>
        <v>2.3006417510044002</v>
      </c>
      <c r="I14" s="30">
        <f>H14</f>
        <v>2.3006417510044002</v>
      </c>
      <c r="J14" s="40">
        <f>(I8+I9+I11+I12)/1000</f>
        <v>0.10750662387871</v>
      </c>
    </row>
    <row r="15" spans="1:13" s="28" customFormat="1" ht="13.15" customHeight="1" x14ac:dyDescent="0.2">
      <c r="A15" s="35"/>
      <c r="B15" s="8"/>
      <c r="C15" s="8"/>
      <c r="D15" s="16"/>
      <c r="E15" s="30"/>
      <c r="F15" s="30"/>
      <c r="G15" s="30"/>
      <c r="H15" s="30"/>
      <c r="I15" s="30"/>
    </row>
    <row r="16" spans="1:13" s="28" customFormat="1" ht="39.6" customHeight="1" x14ac:dyDescent="0.2">
      <c r="A16" s="35">
        <v>6</v>
      </c>
      <c r="B16" s="8" t="s">
        <v>577</v>
      </c>
      <c r="C16" s="8" t="s">
        <v>578</v>
      </c>
      <c r="D16" s="16">
        <v>0</v>
      </c>
      <c r="E16" s="30"/>
      <c r="F16" s="30"/>
      <c r="G16" s="30"/>
      <c r="H16" s="30">
        <f>(E8+F8)*D16</f>
        <v>0</v>
      </c>
      <c r="I16" s="30">
        <f>H16</f>
        <v>0</v>
      </c>
      <c r="J16" s="39" t="s">
        <v>579</v>
      </c>
    </row>
    <row r="17" spans="1:10" s="28" customFormat="1" ht="81.75" customHeight="1" x14ac:dyDescent="0.2">
      <c r="A17" s="35">
        <v>7</v>
      </c>
      <c r="B17" s="8" t="s">
        <v>577</v>
      </c>
      <c r="C17" s="8" t="s">
        <v>580</v>
      </c>
      <c r="D17" s="16">
        <v>0</v>
      </c>
      <c r="E17" s="30"/>
      <c r="F17" s="30"/>
      <c r="G17" s="30"/>
      <c r="H17" s="30">
        <f>(E9+F9)*D17</f>
        <v>0</v>
      </c>
      <c r="I17" s="30">
        <f>H17</f>
        <v>0</v>
      </c>
      <c r="J17" s="39"/>
    </row>
    <row r="18" spans="1:10" s="28" customFormat="1" ht="13.15" customHeight="1" x14ac:dyDescent="0.2">
      <c r="A18" s="35"/>
      <c r="B18" s="8"/>
      <c r="C18" s="8"/>
      <c r="D18" s="16"/>
      <c r="E18" s="30"/>
      <c r="F18" s="30"/>
      <c r="G18" s="30"/>
      <c r="H18" s="30"/>
      <c r="I18" s="30"/>
    </row>
    <row r="19" spans="1:10" s="42" customFormat="1" ht="13.15" customHeight="1" x14ac:dyDescent="0.2">
      <c r="A19" s="35">
        <v>8</v>
      </c>
      <c r="B19" s="8"/>
      <c r="C19" s="8" t="s">
        <v>581</v>
      </c>
      <c r="D19" s="41"/>
      <c r="E19" s="30">
        <f>SUM(E8:E18)</f>
        <v>4.2274591887100001</v>
      </c>
      <c r="F19" s="30"/>
      <c r="G19" s="30">
        <f>SUM(G8:G18)</f>
        <v>94.532139999999998</v>
      </c>
      <c r="H19" s="30">
        <f>SUM(H8:H18)</f>
        <v>7.7710448710044</v>
      </c>
      <c r="I19" s="30">
        <f>SUM(I8:I18)</f>
        <v>109.80726562971</v>
      </c>
    </row>
    <row r="20" spans="1:10" s="28" customFormat="1" ht="51" customHeight="1" x14ac:dyDescent="0.2">
      <c r="A20" s="35">
        <v>9</v>
      </c>
      <c r="B20" s="8" t="s">
        <v>582</v>
      </c>
      <c r="C20" s="8" t="s">
        <v>451</v>
      </c>
      <c r="D20" s="43">
        <v>0.03</v>
      </c>
      <c r="E20" s="30">
        <f>E19*3%</f>
        <v>0.12682377566129999</v>
      </c>
      <c r="F20" s="30"/>
      <c r="G20" s="30">
        <f>G19*3%</f>
        <v>2.8359641999999998</v>
      </c>
      <c r="H20" s="30">
        <f>H19*3%</f>
        <v>0.23313134613013001</v>
      </c>
      <c r="I20" s="30">
        <f>I19*3%</f>
        <v>3.2942179688914002</v>
      </c>
    </row>
    <row r="21" spans="1:10" s="31" customFormat="1" ht="13.15" customHeight="1" x14ac:dyDescent="0.2">
      <c r="A21" s="35">
        <v>10</v>
      </c>
      <c r="B21" s="8"/>
      <c r="C21" s="8" t="s">
        <v>583</v>
      </c>
      <c r="D21" s="44"/>
      <c r="E21" s="30"/>
      <c r="F21" s="30"/>
      <c r="G21" s="30"/>
      <c r="H21" s="30"/>
      <c r="I21" s="30">
        <f>I19+I20</f>
        <v>113.10148359861</v>
      </c>
    </row>
    <row r="22" spans="1:10" s="31" customFormat="1" ht="13.15" customHeight="1" x14ac:dyDescent="0.2">
      <c r="A22" s="45"/>
      <c r="B22" s="46"/>
      <c r="C22" s="46"/>
      <c r="D22" s="47"/>
      <c r="E22" s="48"/>
      <c r="F22" s="48"/>
      <c r="G22" s="48"/>
      <c r="H22" s="48"/>
      <c r="I22" s="48"/>
    </row>
    <row r="23" spans="1:10" x14ac:dyDescent="0.25">
      <c r="A23" s="4" t="s">
        <v>584</v>
      </c>
      <c r="B23" s="49"/>
      <c r="C23" s="4"/>
      <c r="D23" s="28"/>
      <c r="E23" s="28"/>
      <c r="F23" s="28"/>
      <c r="G23" s="28"/>
      <c r="H23" s="28"/>
      <c r="I23" s="28"/>
    </row>
    <row r="24" spans="1:10" x14ac:dyDescent="0.25">
      <c r="A24" s="29" t="s">
        <v>585</v>
      </c>
      <c r="B24" s="49"/>
      <c r="C24" s="4"/>
      <c r="D24" s="28"/>
      <c r="E24" s="28"/>
      <c r="F24" s="28"/>
      <c r="G24" s="28"/>
      <c r="H24" s="28"/>
      <c r="I24" s="28"/>
    </row>
    <row r="25" spans="1:10" x14ac:dyDescent="0.25">
      <c r="A25" s="4"/>
      <c r="B25" s="49"/>
      <c r="C25" s="4"/>
      <c r="D25" s="28"/>
      <c r="E25" s="28"/>
      <c r="F25" s="28"/>
      <c r="G25" s="28"/>
      <c r="H25" s="28"/>
      <c r="I25" s="28"/>
    </row>
    <row r="26" spans="1:10" x14ac:dyDescent="0.25">
      <c r="A26" s="4" t="s">
        <v>586</v>
      </c>
      <c r="B26" s="49"/>
      <c r="C26" s="4"/>
      <c r="D26" s="28"/>
      <c r="E26" s="28"/>
      <c r="F26" s="28"/>
      <c r="G26" s="28"/>
      <c r="H26" s="28"/>
      <c r="I26" s="28"/>
    </row>
    <row r="27" spans="1:10" x14ac:dyDescent="0.25">
      <c r="A27" s="29" t="s">
        <v>587</v>
      </c>
      <c r="B27" s="49"/>
      <c r="C27" s="4"/>
      <c r="D27" s="28"/>
      <c r="E27" s="28"/>
      <c r="F27" s="28"/>
      <c r="G27" s="28"/>
      <c r="H27" s="28"/>
      <c r="I27" s="28"/>
    </row>
    <row r="28" spans="1:10" x14ac:dyDescent="0.25">
      <c r="B28" s="50"/>
    </row>
    <row r="29" spans="1:10" x14ac:dyDescent="0.25">
      <c r="B29" s="50"/>
    </row>
    <row r="30" spans="1:10" x14ac:dyDescent="0.25">
      <c r="B30" s="50"/>
    </row>
    <row r="31" spans="1:10" x14ac:dyDescent="0.25">
      <c r="B31" s="50"/>
    </row>
    <row r="32" spans="1:10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  <row r="36" spans="2:2" x14ac:dyDescent="0.25">
      <c r="B36" s="50"/>
    </row>
    <row r="37" spans="2:2" x14ac:dyDescent="0.25">
      <c r="B37" s="50"/>
    </row>
    <row r="38" spans="2:2" x14ac:dyDescent="0.25">
      <c r="B38" s="50"/>
    </row>
    <row r="39" spans="2:2" x14ac:dyDescent="0.25">
      <c r="B39" s="50"/>
    </row>
    <row r="40" spans="2:2" x14ac:dyDescent="0.25">
      <c r="B40" s="50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5" t="s">
        <v>588</v>
      </c>
      <c r="O2" s="265"/>
    </row>
    <row r="3" spans="1:16" x14ac:dyDescent="0.25">
      <c r="A3" s="266" t="s">
        <v>589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5" spans="1:16" ht="37.5" customHeight="1" x14ac:dyDescent="0.25">
      <c r="A5" s="267" t="s">
        <v>590</v>
      </c>
      <c r="B5" s="270" t="s">
        <v>591</v>
      </c>
      <c r="C5" s="273" t="s">
        <v>592</v>
      </c>
      <c r="D5" s="276" t="s">
        <v>593</v>
      </c>
      <c r="E5" s="277"/>
      <c r="F5" s="277"/>
      <c r="G5" s="277"/>
      <c r="H5" s="277"/>
      <c r="I5" s="276" t="s">
        <v>594</v>
      </c>
      <c r="J5" s="277"/>
      <c r="K5" s="277"/>
      <c r="L5" s="277"/>
      <c r="M5" s="277"/>
      <c r="N5" s="277"/>
      <c r="O5" s="51" t="s">
        <v>595</v>
      </c>
    </row>
    <row r="6" spans="1:16" s="54" customFormat="1" ht="150" customHeight="1" x14ac:dyDescent="0.25">
      <c r="A6" s="268"/>
      <c r="B6" s="271"/>
      <c r="C6" s="274"/>
      <c r="D6" s="273" t="s">
        <v>596</v>
      </c>
      <c r="E6" s="278" t="s">
        <v>597</v>
      </c>
      <c r="F6" s="279"/>
      <c r="G6" s="280"/>
      <c r="H6" s="52" t="s">
        <v>598</v>
      </c>
      <c r="I6" s="281" t="s">
        <v>599</v>
      </c>
      <c r="J6" s="281" t="s">
        <v>596</v>
      </c>
      <c r="K6" s="282" t="s">
        <v>597</v>
      </c>
      <c r="L6" s="282"/>
      <c r="M6" s="282"/>
      <c r="N6" s="52" t="s">
        <v>598</v>
      </c>
      <c r="O6" s="53" t="s">
        <v>600</v>
      </c>
    </row>
    <row r="7" spans="1:16" s="54" customFormat="1" ht="30.75" customHeight="1" x14ac:dyDescent="0.25">
      <c r="A7" s="269"/>
      <c r="B7" s="272"/>
      <c r="C7" s="275"/>
      <c r="D7" s="275"/>
      <c r="E7" s="51" t="s">
        <v>86</v>
      </c>
      <c r="F7" s="51" t="s">
        <v>87</v>
      </c>
      <c r="G7" s="51" t="s">
        <v>43</v>
      </c>
      <c r="H7" s="55" t="s">
        <v>601</v>
      </c>
      <c r="I7" s="281"/>
      <c r="J7" s="281"/>
      <c r="K7" s="51" t="s">
        <v>86</v>
      </c>
      <c r="L7" s="51" t="s">
        <v>87</v>
      </c>
      <c r="M7" s="51" t="s">
        <v>43</v>
      </c>
      <c r="N7" s="55" t="s">
        <v>601</v>
      </c>
      <c r="O7" s="51" t="s">
        <v>602</v>
      </c>
    </row>
    <row r="8" spans="1:16" s="54" customFormat="1" x14ac:dyDescent="0.25">
      <c r="A8" s="56">
        <v>1</v>
      </c>
      <c r="B8" s="56">
        <v>2</v>
      </c>
      <c r="C8" s="56">
        <v>3</v>
      </c>
      <c r="D8" s="56">
        <v>4</v>
      </c>
      <c r="E8" s="56">
        <v>5</v>
      </c>
      <c r="F8" s="56">
        <v>6</v>
      </c>
      <c r="G8" s="56">
        <v>7</v>
      </c>
      <c r="H8" s="56">
        <v>8</v>
      </c>
      <c r="I8" s="56">
        <v>9</v>
      </c>
      <c r="J8" s="56">
        <v>10</v>
      </c>
      <c r="K8" s="56">
        <v>11</v>
      </c>
      <c r="L8" s="56">
        <v>12</v>
      </c>
      <c r="M8" s="56">
        <v>13</v>
      </c>
      <c r="N8" s="56">
        <v>14</v>
      </c>
      <c r="O8" s="56">
        <v>15</v>
      </c>
    </row>
    <row r="9" spans="1:16" s="54" customFormat="1" ht="102.75" customHeight="1" x14ac:dyDescent="0.25">
      <c r="A9" s="56">
        <v>1</v>
      </c>
      <c r="B9" s="267" t="s">
        <v>603</v>
      </c>
      <c r="C9" s="57" t="s">
        <v>604</v>
      </c>
      <c r="D9" s="58">
        <f t="shared" ref="D9:D15" si="0">SUM(E9:G9)</f>
        <v>583.41863000000001</v>
      </c>
      <c r="E9" s="58">
        <f>340656.93/1000</f>
        <v>340.65692999999999</v>
      </c>
      <c r="F9" s="58">
        <f>242761.7/1000</f>
        <v>242.76169999999999</v>
      </c>
      <c r="G9" s="58">
        <v>0</v>
      </c>
      <c r="H9" s="58">
        <f>(713.49*0.8)/1000</f>
        <v>0.57079199999999997</v>
      </c>
      <c r="I9" s="58">
        <v>11656.266250000001</v>
      </c>
      <c r="J9" s="58">
        <f t="shared" ref="J9:J15" si="1">K9+L9+M9</f>
        <v>3553.0194566999999</v>
      </c>
      <c r="K9" s="58">
        <f>E9*H22</f>
        <v>2074.6007036999999</v>
      </c>
      <c r="L9" s="58">
        <f>F9*H22</f>
        <v>1478.4187529999999</v>
      </c>
      <c r="M9" s="58">
        <f>G9*H24</f>
        <v>0</v>
      </c>
      <c r="N9" s="58">
        <f>H9*H25</f>
        <v>6.48990504</v>
      </c>
      <c r="O9" s="59">
        <f t="shared" ref="O9:O15" si="2">N9/(L9+M9)</f>
        <v>4.389761038157E-3</v>
      </c>
    </row>
    <row r="10" spans="1:16" s="54" customFormat="1" ht="54.75" customHeight="1" x14ac:dyDescent="0.25">
      <c r="A10" s="55">
        <v>2</v>
      </c>
      <c r="B10" s="269"/>
      <c r="C10" s="60" t="s">
        <v>605</v>
      </c>
      <c r="D10" s="58">
        <f t="shared" si="0"/>
        <v>2228.558</v>
      </c>
      <c r="E10" s="58">
        <f>430700/1000</f>
        <v>430.7</v>
      </c>
      <c r="F10" s="58">
        <f>1797858/1000</f>
        <v>1797.8579999999999</v>
      </c>
      <c r="G10" s="58">
        <v>0</v>
      </c>
      <c r="H10" s="58">
        <f>1685/1000</f>
        <v>1.6850000000000001</v>
      </c>
      <c r="I10" s="58">
        <f>15834377.63/1000</f>
        <v>15834.377630000001</v>
      </c>
      <c r="J10" s="58">
        <f t="shared" si="1"/>
        <v>14351.91352</v>
      </c>
      <c r="K10" s="58">
        <f>E10*I22</f>
        <v>2773.7080000000001</v>
      </c>
      <c r="L10" s="58">
        <f>F10*I22</f>
        <v>11578.20552</v>
      </c>
      <c r="M10" s="58">
        <f>G10*I24</f>
        <v>0</v>
      </c>
      <c r="N10" s="58">
        <f>H10*I25</f>
        <v>14.1877</v>
      </c>
      <c r="O10" s="59">
        <f t="shared" si="2"/>
        <v>1.2253798721652001E-3</v>
      </c>
      <c r="P10" s="61"/>
    </row>
    <row r="11" spans="1:16" s="54" customFormat="1" ht="24.6" customHeight="1" x14ac:dyDescent="0.25">
      <c r="A11" s="56">
        <v>3</v>
      </c>
      <c r="B11" s="267" t="s">
        <v>606</v>
      </c>
      <c r="C11" s="60" t="s">
        <v>607</v>
      </c>
      <c r="D11" s="58">
        <f t="shared" si="0"/>
        <v>22378.080000000002</v>
      </c>
      <c r="E11" s="58">
        <v>15858.44</v>
      </c>
      <c r="F11" s="58">
        <v>6519.64</v>
      </c>
      <c r="G11" s="58">
        <v>0</v>
      </c>
      <c r="H11" s="58">
        <v>9.7100000000000009</v>
      </c>
      <c r="I11" s="58">
        <v>170961.79</v>
      </c>
      <c r="J11" s="58">
        <f t="shared" si="1"/>
        <v>129121.52159999999</v>
      </c>
      <c r="K11" s="58">
        <f>E11*J22</f>
        <v>91503.198799999998</v>
      </c>
      <c r="L11" s="58">
        <f>F11*J22</f>
        <v>37618.322800000002</v>
      </c>
      <c r="M11" s="58">
        <f>G11*J24</f>
        <v>0</v>
      </c>
      <c r="N11" s="58">
        <f>H11*J25</f>
        <v>154.48609999999999</v>
      </c>
      <c r="O11" s="59">
        <f t="shared" si="2"/>
        <v>4.1066716562919003E-3</v>
      </c>
    </row>
    <row r="12" spans="1:16" s="54" customFormat="1" ht="31.9" customHeight="1" x14ac:dyDescent="0.25">
      <c r="A12" s="55">
        <v>4</v>
      </c>
      <c r="B12" s="269"/>
      <c r="C12" s="60" t="s">
        <v>608</v>
      </c>
      <c r="D12" s="58">
        <f t="shared" si="0"/>
        <v>93405.18</v>
      </c>
      <c r="E12" s="58">
        <v>53163.12</v>
      </c>
      <c r="F12" s="58">
        <v>40153.81</v>
      </c>
      <c r="G12" s="58">
        <v>88.25</v>
      </c>
      <c r="H12" s="58">
        <v>33.76</v>
      </c>
      <c r="I12" s="58">
        <v>725870.83</v>
      </c>
      <c r="J12" s="58">
        <f t="shared" si="1"/>
        <v>538845.47</v>
      </c>
      <c r="K12" s="58">
        <v>306751.18</v>
      </c>
      <c r="L12" s="58">
        <v>231687.44</v>
      </c>
      <c r="M12" s="58">
        <v>406.85</v>
      </c>
      <c r="N12" s="58">
        <v>537.07000000000005</v>
      </c>
      <c r="O12" s="59">
        <f t="shared" si="2"/>
        <v>2.3140164284093001E-3</v>
      </c>
    </row>
    <row r="13" spans="1:16" s="54" customFormat="1" ht="60" customHeight="1" x14ac:dyDescent="0.25">
      <c r="A13" s="56">
        <v>5</v>
      </c>
      <c r="B13" s="267" t="s">
        <v>609</v>
      </c>
      <c r="C13" s="57" t="s">
        <v>610</v>
      </c>
      <c r="D13" s="58">
        <f t="shared" si="0"/>
        <v>52119.83</v>
      </c>
      <c r="E13" s="58">
        <v>15198.48</v>
      </c>
      <c r="F13" s="58">
        <v>31977.3</v>
      </c>
      <c r="G13" s="58">
        <v>4944.05</v>
      </c>
      <c r="H13" s="58">
        <v>16.13</v>
      </c>
      <c r="I13" s="58">
        <v>2024759.04</v>
      </c>
      <c r="J13" s="58">
        <f t="shared" si="1"/>
        <v>267889.86339999997</v>
      </c>
      <c r="K13" s="58">
        <f>E13*L22</f>
        <v>79488.050399999993</v>
      </c>
      <c r="L13" s="58">
        <f>F13*L22</f>
        <v>167241.27900000001</v>
      </c>
      <c r="M13" s="58">
        <f>G13*L24</f>
        <v>21160.534</v>
      </c>
      <c r="N13" s="58">
        <f>H13*L25</f>
        <v>231.46549999999999</v>
      </c>
      <c r="O13" s="59">
        <f t="shared" si="2"/>
        <v>1.2285736337367E-3</v>
      </c>
    </row>
    <row r="14" spans="1:16" s="54" customFormat="1" ht="39.6" customHeight="1" x14ac:dyDescent="0.25">
      <c r="A14" s="55">
        <v>6</v>
      </c>
      <c r="B14" s="269"/>
      <c r="C14" s="60" t="s">
        <v>611</v>
      </c>
      <c r="D14" s="58">
        <f t="shared" si="0"/>
        <v>89613.6</v>
      </c>
      <c r="E14" s="58">
        <v>44598.73</v>
      </c>
      <c r="F14" s="58">
        <v>40017</v>
      </c>
      <c r="G14" s="58">
        <v>4997.87</v>
      </c>
      <c r="H14" s="58">
        <f>7.69+81.8</f>
        <v>89.49</v>
      </c>
      <c r="I14" s="58">
        <v>738823.57</v>
      </c>
      <c r="J14" s="58">
        <f t="shared" si="1"/>
        <v>511472.85759999999</v>
      </c>
      <c r="K14" s="58">
        <f>E14*M22</f>
        <v>257334.6721</v>
      </c>
      <c r="L14" s="58">
        <f>F14*M22</f>
        <v>230898.09</v>
      </c>
      <c r="M14" s="58">
        <f>G14*M24</f>
        <v>23240.095499999999</v>
      </c>
      <c r="N14" s="58">
        <f>H14*M25</f>
        <v>1423.7859000000001</v>
      </c>
      <c r="O14" s="59">
        <f t="shared" si="2"/>
        <v>5.6024083795152002E-3</v>
      </c>
    </row>
    <row r="15" spans="1:16" s="54" customFormat="1" ht="46.15" customHeight="1" x14ac:dyDescent="0.25">
      <c r="A15" s="56">
        <v>7</v>
      </c>
      <c r="B15" s="62" t="s">
        <v>612</v>
      </c>
      <c r="C15" s="60" t="s">
        <v>613</v>
      </c>
      <c r="D15" s="58">
        <f t="shared" si="0"/>
        <v>981651.63</v>
      </c>
      <c r="E15" s="58">
        <v>448398.51</v>
      </c>
      <c r="F15" s="58">
        <v>486091.33</v>
      </c>
      <c r="G15" s="58">
        <v>47161.79</v>
      </c>
      <c r="H15" s="58">
        <v>143.03</v>
      </c>
      <c r="I15" s="58">
        <v>16001185.93</v>
      </c>
      <c r="J15" s="58">
        <f t="shared" si="1"/>
        <v>6269109.2307000002</v>
      </c>
      <c r="K15" s="58">
        <f>123094.59*N22+325303.92*N23</f>
        <v>2908258.6863000002</v>
      </c>
      <c r="L15" s="58">
        <f>110226.08*N22+375865.25*N23</f>
        <v>3158998.0832000002</v>
      </c>
      <c r="M15" s="58">
        <f>G15*N24</f>
        <v>201852.46119999999</v>
      </c>
      <c r="N15" s="58">
        <f>H15*N25</f>
        <v>1185.7186999999999</v>
      </c>
      <c r="O15" s="59">
        <f t="shared" si="2"/>
        <v>3.5280316227560002E-4</v>
      </c>
    </row>
    <row r="16" spans="1:16" s="54" customFormat="1" ht="24" customHeight="1" x14ac:dyDescent="0.25">
      <c r="A16" s="63"/>
      <c r="B16" s="63"/>
      <c r="C16" s="64" t="s">
        <v>614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6">
        <f>(O9+O10+O11+O12+O13+O14+O15)/7</f>
        <v>2.7456591672216E-3</v>
      </c>
    </row>
    <row r="17" spans="1:15" s="54" customFormat="1" ht="18.75" customHeight="1" x14ac:dyDescent="0.25">
      <c r="A17" s="67"/>
      <c r="B17" s="67"/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  <row r="18" spans="1:15" ht="21" customHeight="1" x14ac:dyDescent="0.25">
      <c r="C18" s="71" t="s">
        <v>615</v>
      </c>
    </row>
    <row r="19" spans="1:15" ht="30.75" customHeight="1" x14ac:dyDescent="0.25">
      <c r="L19" s="72"/>
    </row>
    <row r="20" spans="1:15" ht="15" customHeight="1" outlineLevel="1" x14ac:dyDescent="0.25">
      <c r="G20" s="264" t="s">
        <v>616</v>
      </c>
      <c r="H20" s="264"/>
      <c r="I20" s="264"/>
      <c r="J20" s="264"/>
      <c r="K20" s="264"/>
      <c r="L20" s="264"/>
      <c r="M20" s="264"/>
      <c r="N20" s="264"/>
    </row>
    <row r="21" spans="1:15" ht="15.75" customHeight="1" outlineLevel="1" x14ac:dyDescent="0.25">
      <c r="G21" s="73"/>
      <c r="H21" s="73" t="s">
        <v>617</v>
      </c>
      <c r="I21" s="73" t="s">
        <v>618</v>
      </c>
      <c r="J21" s="73" t="s">
        <v>619</v>
      </c>
      <c r="K21" s="74" t="s">
        <v>620</v>
      </c>
      <c r="L21" s="73" t="s">
        <v>621</v>
      </c>
      <c r="M21" s="73" t="s">
        <v>622</v>
      </c>
      <c r="N21" s="73" t="s">
        <v>623</v>
      </c>
      <c r="O21" s="67"/>
    </row>
    <row r="22" spans="1:15" ht="15.75" customHeight="1" outlineLevel="1" x14ac:dyDescent="0.25">
      <c r="G22" s="262" t="s">
        <v>624</v>
      </c>
      <c r="H22" s="261">
        <v>6.09</v>
      </c>
      <c r="I22" s="263">
        <v>6.44</v>
      </c>
      <c r="J22" s="261">
        <v>5.77</v>
      </c>
      <c r="K22" s="263">
        <v>5.77</v>
      </c>
      <c r="L22" s="261">
        <v>5.23</v>
      </c>
      <c r="M22" s="261">
        <v>5.77</v>
      </c>
      <c r="N22" s="75">
        <v>6.29</v>
      </c>
      <c r="O22" t="s">
        <v>625</v>
      </c>
    </row>
    <row r="23" spans="1:15" ht="15.75" customHeight="1" outlineLevel="1" x14ac:dyDescent="0.25">
      <c r="G23" s="262"/>
      <c r="H23" s="261"/>
      <c r="I23" s="263"/>
      <c r="J23" s="261"/>
      <c r="K23" s="263"/>
      <c r="L23" s="261"/>
      <c r="M23" s="261"/>
      <c r="N23" s="75">
        <v>6.56</v>
      </c>
      <c r="O23" t="s">
        <v>626</v>
      </c>
    </row>
    <row r="24" spans="1:15" ht="15.75" customHeight="1" outlineLevel="1" x14ac:dyDescent="0.25">
      <c r="G24" s="76" t="s">
        <v>627</v>
      </c>
      <c r="H24" s="75">
        <v>4.46</v>
      </c>
      <c r="I24" s="74">
        <v>4.28</v>
      </c>
      <c r="J24" s="75">
        <v>4.6500000000000004</v>
      </c>
      <c r="K24" s="74">
        <v>4.6100000000000003</v>
      </c>
      <c r="L24" s="75">
        <v>4.28</v>
      </c>
      <c r="M24" s="75">
        <v>4.6500000000000004</v>
      </c>
      <c r="N24" s="75">
        <v>4.28</v>
      </c>
      <c r="O24" s="67"/>
    </row>
    <row r="25" spans="1:15" ht="15.75" customHeight="1" outlineLevel="1" x14ac:dyDescent="0.25">
      <c r="G25" s="76" t="s">
        <v>601</v>
      </c>
      <c r="H25" s="75">
        <v>11.37</v>
      </c>
      <c r="I25" s="75">
        <v>8.42</v>
      </c>
      <c r="J25" s="75">
        <v>15.91</v>
      </c>
      <c r="K25" s="74">
        <v>15.91</v>
      </c>
      <c r="L25" s="75">
        <v>14.35</v>
      </c>
      <c r="M25" s="75">
        <v>15.91</v>
      </c>
      <c r="N25" s="75">
        <v>8.2899999999999991</v>
      </c>
      <c r="O25" s="67"/>
    </row>
    <row r="26" spans="1:15" ht="31.5" customHeight="1" outlineLevel="1" x14ac:dyDescent="0.25">
      <c r="G26" s="76" t="s">
        <v>628</v>
      </c>
      <c r="H26" s="75">
        <v>3.83</v>
      </c>
      <c r="I26" s="74">
        <v>3.95</v>
      </c>
      <c r="J26" s="75">
        <v>4.1500000000000004</v>
      </c>
      <c r="K26" s="74">
        <v>3.83</v>
      </c>
      <c r="L26" s="74">
        <v>3.95</v>
      </c>
      <c r="M26" s="75">
        <v>4.09</v>
      </c>
      <c r="N26" s="75">
        <v>3.95</v>
      </c>
      <c r="O26" s="67"/>
    </row>
    <row r="27" spans="1:15" ht="31.5" customHeight="1" outlineLevel="1" x14ac:dyDescent="0.25">
      <c r="G27" s="76" t="s">
        <v>629</v>
      </c>
      <c r="H27" s="75">
        <v>3.91</v>
      </c>
      <c r="I27" s="74">
        <v>3.99</v>
      </c>
      <c r="J27" s="75">
        <v>4.2300000000000004</v>
      </c>
      <c r="K27" s="74">
        <v>3.91</v>
      </c>
      <c r="L27" s="74">
        <v>3.99</v>
      </c>
      <c r="M27" s="75">
        <v>4.17</v>
      </c>
      <c r="N27" s="75">
        <v>3.99</v>
      </c>
      <c r="O27" s="67"/>
    </row>
    <row r="28" spans="1:15" ht="15.75" customHeight="1" outlineLevel="1" x14ac:dyDescent="0.25">
      <c r="G28" s="76" t="s">
        <v>568</v>
      </c>
      <c r="H28" s="75">
        <v>8.7899999999999991</v>
      </c>
      <c r="I28" s="75">
        <v>8.7899999999999991</v>
      </c>
      <c r="J28" s="75">
        <v>9.19</v>
      </c>
      <c r="K28" s="74">
        <v>9.1</v>
      </c>
      <c r="L28" s="75">
        <v>8.42</v>
      </c>
      <c r="M28" s="75">
        <v>9.19</v>
      </c>
      <c r="N28" s="75">
        <v>8.42</v>
      </c>
      <c r="O28" s="67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7" customWidth="1"/>
  </cols>
  <sheetData>
    <row r="2" spans="1:18" ht="18.75" customHeight="1" x14ac:dyDescent="0.25">
      <c r="A2" s="283" t="s">
        <v>630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</row>
    <row r="4" spans="1:18" ht="36.75" customHeight="1" x14ac:dyDescent="0.25">
      <c r="A4" s="267" t="s">
        <v>590</v>
      </c>
      <c r="B4" s="270" t="s">
        <v>591</v>
      </c>
      <c r="C4" s="273" t="s">
        <v>631</v>
      </c>
      <c r="D4" s="273" t="s">
        <v>632</v>
      </c>
      <c r="E4" s="276" t="s">
        <v>633</v>
      </c>
      <c r="F4" s="277"/>
      <c r="G4" s="277"/>
      <c r="H4" s="277"/>
      <c r="I4" s="277"/>
      <c r="J4" s="277"/>
      <c r="K4" s="277"/>
      <c r="L4" s="277"/>
      <c r="M4" s="277"/>
      <c r="N4" s="284" t="s">
        <v>634</v>
      </c>
      <c r="O4" s="285"/>
      <c r="P4" s="285"/>
      <c r="Q4" s="285"/>
      <c r="R4" s="286"/>
    </row>
    <row r="5" spans="1:18" ht="60" customHeight="1" x14ac:dyDescent="0.25">
      <c r="A5" s="268"/>
      <c r="B5" s="271"/>
      <c r="C5" s="274"/>
      <c r="D5" s="274"/>
      <c r="E5" s="281" t="s">
        <v>635</v>
      </c>
      <c r="F5" s="281" t="s">
        <v>636</v>
      </c>
      <c r="G5" s="278" t="s">
        <v>597</v>
      </c>
      <c r="H5" s="279"/>
      <c r="I5" s="279"/>
      <c r="J5" s="280"/>
      <c r="K5" s="281" t="s">
        <v>637</v>
      </c>
      <c r="L5" s="281"/>
      <c r="M5" s="281"/>
      <c r="N5" s="78" t="s">
        <v>638</v>
      </c>
      <c r="O5" s="78" t="s">
        <v>639</v>
      </c>
      <c r="P5" s="78" t="s">
        <v>640</v>
      </c>
      <c r="Q5" s="79" t="s">
        <v>641</v>
      </c>
      <c r="R5" s="78" t="s">
        <v>642</v>
      </c>
    </row>
    <row r="6" spans="1:18" ht="49.5" customHeight="1" x14ac:dyDescent="0.25">
      <c r="A6" s="269"/>
      <c r="B6" s="272"/>
      <c r="C6" s="275"/>
      <c r="D6" s="275"/>
      <c r="E6" s="281"/>
      <c r="F6" s="281"/>
      <c r="G6" s="51" t="s">
        <v>86</v>
      </c>
      <c r="H6" s="51" t="s">
        <v>87</v>
      </c>
      <c r="I6" s="51" t="s">
        <v>43</v>
      </c>
      <c r="J6" s="51" t="s">
        <v>568</v>
      </c>
      <c r="K6" s="51" t="s">
        <v>638</v>
      </c>
      <c r="L6" s="51" t="s">
        <v>639</v>
      </c>
      <c r="M6" s="51" t="s">
        <v>640</v>
      </c>
      <c r="N6" s="51" t="s">
        <v>643</v>
      </c>
      <c r="O6" s="51" t="s">
        <v>644</v>
      </c>
      <c r="P6" s="51" t="s">
        <v>645</v>
      </c>
      <c r="Q6" s="52" t="s">
        <v>646</v>
      </c>
      <c r="R6" s="51" t="s">
        <v>647</v>
      </c>
    </row>
    <row r="7" spans="1:18" ht="16.5" customHeight="1" x14ac:dyDescent="0.25">
      <c r="A7" s="56"/>
      <c r="B7" s="80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52"/>
      <c r="R7" s="55"/>
    </row>
    <row r="8" spans="1:18" x14ac:dyDescent="0.25">
      <c r="A8" s="56">
        <v>1</v>
      </c>
      <c r="B8" s="56"/>
      <c r="C8" s="56">
        <v>2</v>
      </c>
      <c r="D8" s="56">
        <v>3</v>
      </c>
      <c r="E8" s="56">
        <v>4</v>
      </c>
      <c r="F8" s="56">
        <v>5</v>
      </c>
      <c r="G8" s="56">
        <v>6</v>
      </c>
      <c r="H8" s="56">
        <v>7</v>
      </c>
      <c r="I8" s="56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  <c r="O8" s="56">
        <v>14</v>
      </c>
      <c r="P8" s="56">
        <v>15</v>
      </c>
      <c r="Q8" s="56">
        <v>16</v>
      </c>
      <c r="R8" s="56">
        <v>17</v>
      </c>
    </row>
    <row r="9" spans="1:18" ht="102.6" customHeight="1" x14ac:dyDescent="0.25">
      <c r="A9" s="267">
        <v>1</v>
      </c>
      <c r="B9" s="267" t="s">
        <v>648</v>
      </c>
      <c r="C9" s="287" t="s">
        <v>604</v>
      </c>
      <c r="D9" s="57" t="s">
        <v>649</v>
      </c>
      <c r="E9" s="58">
        <v>11656.266250000001</v>
      </c>
      <c r="F9" s="58">
        <f t="shared" ref="F9:F14" si="0">G9+H9+I9</f>
        <v>9442.6878704999999</v>
      </c>
      <c r="G9" s="58">
        <f>G10*E28</f>
        <v>2331.6699567000001</v>
      </c>
      <c r="H9" s="58">
        <f>H10*E28</f>
        <v>1695.3600216</v>
      </c>
      <c r="I9" s="58">
        <f>I10*E30</f>
        <v>5415.6578921999999</v>
      </c>
      <c r="J9" s="58"/>
      <c r="K9" s="58">
        <f>K10*1.19*E33</f>
        <v>136.37044035299999</v>
      </c>
      <c r="L9" s="58">
        <v>0</v>
      </c>
      <c r="M9" s="58">
        <f>M10*1.266*E34</f>
        <v>66.539350027799998</v>
      </c>
      <c r="N9" s="59">
        <f t="shared" ref="N9:N22" si="1">K9/(G9+H9)</f>
        <v>3.3863775806946002E-2</v>
      </c>
      <c r="O9" s="59">
        <f t="shared" ref="O9:O22" si="2">L9/(G9+H9)</f>
        <v>0</v>
      </c>
      <c r="P9" s="59">
        <f t="shared" ref="P9:P22" si="3">M9/(G9+H9)</f>
        <v>1.652318219292E-2</v>
      </c>
      <c r="Q9" s="81">
        <v>0</v>
      </c>
      <c r="R9" s="82">
        <f>N9+O9+P9+Q9</f>
        <v>5.0386957999864999E-2</v>
      </c>
    </row>
    <row r="10" spans="1:18" ht="72.599999999999994" hidden="1" customHeight="1" x14ac:dyDescent="0.25">
      <c r="A10" s="269"/>
      <c r="B10" s="268"/>
      <c r="C10" s="288"/>
      <c r="D10" s="57" t="s">
        <v>650</v>
      </c>
      <c r="E10" s="58">
        <v>2179.8248199999998</v>
      </c>
      <c r="F10" s="58">
        <f t="shared" si="0"/>
        <v>1875.52594</v>
      </c>
      <c r="G10" s="58">
        <f>382868.63/1000</f>
        <v>382.86863</v>
      </c>
      <c r="H10" s="58">
        <f>278384.24/1000</f>
        <v>278.38423999999998</v>
      </c>
      <c r="I10" s="58">
        <f>1214273.07/1000</f>
        <v>1214.27307</v>
      </c>
      <c r="J10" s="58"/>
      <c r="K10" s="58">
        <f>29920.89/1000</f>
        <v>29.92089</v>
      </c>
      <c r="L10" s="58">
        <v>0</v>
      </c>
      <c r="M10" s="58">
        <f>13442.13/1000</f>
        <v>13.442130000000001</v>
      </c>
      <c r="N10" s="59">
        <f t="shared" si="1"/>
        <v>4.5248786595059001E-2</v>
      </c>
      <c r="O10" s="59">
        <f t="shared" si="2"/>
        <v>0</v>
      </c>
      <c r="P10" s="59">
        <f t="shared" si="3"/>
        <v>2.0328274718868E-2</v>
      </c>
      <c r="Q10" s="81">
        <v>0</v>
      </c>
      <c r="R10" s="82"/>
    </row>
    <row r="11" spans="1:18" ht="192.75" customHeight="1" x14ac:dyDescent="0.25">
      <c r="A11" s="267">
        <v>2</v>
      </c>
      <c r="B11" s="268"/>
      <c r="C11" s="287" t="s">
        <v>651</v>
      </c>
      <c r="D11" s="57" t="s">
        <v>649</v>
      </c>
      <c r="E11" s="58">
        <v>688044.21</v>
      </c>
      <c r="F11" s="58">
        <f t="shared" si="0"/>
        <v>521424.06839999999</v>
      </c>
      <c r="G11" s="58">
        <f>G12*F28</f>
        <v>99804.705000000002</v>
      </c>
      <c r="H11" s="58">
        <f>H12*F28</f>
        <v>246917.90760000001</v>
      </c>
      <c r="I11" s="58">
        <f>I12*F30</f>
        <v>174701.4558</v>
      </c>
      <c r="J11" s="58"/>
      <c r="K11" s="58">
        <f>K12*1.19*F33</f>
        <v>8486.4829769999997</v>
      </c>
      <c r="L11" s="58">
        <f>L12*1.19*F33</f>
        <v>11572.501646999999</v>
      </c>
      <c r="M11" s="58">
        <f>M12*1.266*F34</f>
        <v>3883.6190735999999</v>
      </c>
      <c r="N11" s="59">
        <f t="shared" si="1"/>
        <v>2.4476289311970999E-2</v>
      </c>
      <c r="O11" s="59">
        <f t="shared" si="2"/>
        <v>3.3376829853179003E-2</v>
      </c>
      <c r="P11" s="59">
        <f t="shared" si="3"/>
        <v>1.1200939692042E-2</v>
      </c>
      <c r="Q11" s="81">
        <v>0</v>
      </c>
      <c r="R11" s="82">
        <f>N11+O11+P11+Q11</f>
        <v>6.9054058857192999E-2</v>
      </c>
    </row>
    <row r="12" spans="1:18" ht="100.9" hidden="1" customHeight="1" x14ac:dyDescent="0.25">
      <c r="A12" s="269"/>
      <c r="B12" s="269"/>
      <c r="C12" s="288"/>
      <c r="D12" s="57" t="s">
        <v>650</v>
      </c>
      <c r="E12" s="58">
        <v>116471.93</v>
      </c>
      <c r="F12" s="58">
        <f t="shared" si="0"/>
        <v>91466.75</v>
      </c>
      <c r="G12" s="58">
        <v>15053.5</v>
      </c>
      <c r="H12" s="58">
        <v>37242.519999999997</v>
      </c>
      <c r="I12" s="58">
        <v>39170.730000000003</v>
      </c>
      <c r="J12" s="58"/>
      <c r="K12" s="58">
        <v>1862.01</v>
      </c>
      <c r="L12" s="58">
        <v>2539.11</v>
      </c>
      <c r="M12" s="58">
        <v>784.56</v>
      </c>
      <c r="N12" s="59">
        <f t="shared" si="1"/>
        <v>3.5605195194586998E-2</v>
      </c>
      <c r="O12" s="59">
        <f t="shared" si="2"/>
        <v>4.8552643203058E-2</v>
      </c>
      <c r="P12" s="59">
        <f t="shared" si="3"/>
        <v>1.5002288893112999E-2</v>
      </c>
      <c r="Q12" s="81">
        <v>0</v>
      </c>
      <c r="R12" s="82"/>
    </row>
    <row r="13" spans="1:18" ht="49.15" customHeight="1" x14ac:dyDescent="0.25">
      <c r="A13" s="267">
        <v>3</v>
      </c>
      <c r="B13" s="267" t="s">
        <v>606</v>
      </c>
      <c r="C13" s="289" t="s">
        <v>607</v>
      </c>
      <c r="D13" s="57" t="s">
        <v>652</v>
      </c>
      <c r="E13" s="58">
        <v>170961.79</v>
      </c>
      <c r="F13" s="58">
        <f t="shared" si="0"/>
        <v>129121.52159999999</v>
      </c>
      <c r="G13" s="58">
        <f>G14*G28</f>
        <v>91503.198799999998</v>
      </c>
      <c r="H13" s="58">
        <f>H14*G28</f>
        <v>37618.322800000002</v>
      </c>
      <c r="I13" s="58">
        <f>I14*G30</f>
        <v>0</v>
      </c>
      <c r="J13" s="58"/>
      <c r="K13" s="58">
        <f>K14*1.19*G33</f>
        <v>1996.481088</v>
      </c>
      <c r="L13" s="58">
        <f>L14*1.19*G33</f>
        <v>2500.7293079999999</v>
      </c>
      <c r="M13" s="58">
        <f>M14*1.266*G34</f>
        <v>200.53819799999999</v>
      </c>
      <c r="N13" s="59">
        <f t="shared" si="1"/>
        <v>1.5462031915832E-2</v>
      </c>
      <c r="O13" s="59">
        <f t="shared" si="2"/>
        <v>1.9367254017862E-2</v>
      </c>
      <c r="P13" s="59">
        <f t="shared" si="3"/>
        <v>1.5530966140659E-3</v>
      </c>
      <c r="Q13" s="81">
        <v>4.5614105389631997E-3</v>
      </c>
      <c r="R13" s="82">
        <f>N13+O13+P13+Q13</f>
        <v>4.0943793086723003E-2</v>
      </c>
    </row>
    <row r="14" spans="1:18" ht="57" hidden="1" customHeight="1" x14ac:dyDescent="0.25">
      <c r="A14" s="269"/>
      <c r="B14" s="268"/>
      <c r="C14" s="290"/>
      <c r="D14" s="57" t="s">
        <v>650</v>
      </c>
      <c r="E14" s="58">
        <v>29033.31</v>
      </c>
      <c r="F14" s="58">
        <f t="shared" si="0"/>
        <v>22378.080000000002</v>
      </c>
      <c r="G14" s="58">
        <v>15858.44</v>
      </c>
      <c r="H14" s="58">
        <v>6519.64</v>
      </c>
      <c r="I14" s="58">
        <v>0</v>
      </c>
      <c r="J14" s="58"/>
      <c r="K14" s="58">
        <v>420.48</v>
      </c>
      <c r="L14" s="58">
        <v>526.67999999999995</v>
      </c>
      <c r="M14" s="58">
        <v>39.700000000000003</v>
      </c>
      <c r="N14" s="59">
        <f t="shared" si="1"/>
        <v>1.8789815748268001E-2</v>
      </c>
      <c r="O14" s="59">
        <f t="shared" si="2"/>
        <v>2.3535531198387E-2</v>
      </c>
      <c r="P14" s="59">
        <f t="shared" si="3"/>
        <v>1.7740574705247E-3</v>
      </c>
      <c r="Q14" s="81">
        <v>4.9753003421204997E-3</v>
      </c>
      <c r="R14" s="82"/>
    </row>
    <row r="15" spans="1:18" ht="67.900000000000006" customHeight="1" x14ac:dyDescent="0.25">
      <c r="A15" s="267">
        <v>4</v>
      </c>
      <c r="B15" s="268"/>
      <c r="C15" s="291" t="s">
        <v>608</v>
      </c>
      <c r="D15" s="60" t="s">
        <v>652</v>
      </c>
      <c r="E15" s="58">
        <v>725870.83</v>
      </c>
      <c r="F15" s="58">
        <v>551588.679</v>
      </c>
      <c r="G15" s="58">
        <v>319494.33</v>
      </c>
      <c r="H15" s="58">
        <v>231687.44</v>
      </c>
      <c r="I15" s="58">
        <v>406.85</v>
      </c>
      <c r="J15" s="58"/>
      <c r="K15" s="58">
        <v>12415.71</v>
      </c>
      <c r="L15" s="58">
        <v>14808.286339</v>
      </c>
      <c r="M15" s="58">
        <v>3822.96</v>
      </c>
      <c r="N15" s="59">
        <f t="shared" si="1"/>
        <v>2.2525618000755001E-2</v>
      </c>
      <c r="O15" s="59">
        <f t="shared" si="2"/>
        <v>2.6866429814977E-2</v>
      </c>
      <c r="P15" s="59">
        <f t="shared" si="3"/>
        <v>6.9359333128888E-3</v>
      </c>
      <c r="Q15" s="81">
        <v>3.5515340532281999E-3</v>
      </c>
      <c r="R15" s="82">
        <f>N15+O15+P15+Q15</f>
        <v>5.9879515181849002E-2</v>
      </c>
    </row>
    <row r="16" spans="1:18" ht="67.900000000000006" hidden="1" customHeight="1" x14ac:dyDescent="0.25">
      <c r="A16" s="269"/>
      <c r="B16" s="269"/>
      <c r="C16" s="292"/>
      <c r="D16" s="60" t="s">
        <v>650</v>
      </c>
      <c r="E16" s="58">
        <v>125177.97</v>
      </c>
      <c r="F16" s="58">
        <v>95613.7</v>
      </c>
      <c r="G16" s="58">
        <v>55371.64</v>
      </c>
      <c r="H16" s="58">
        <v>40153.81</v>
      </c>
      <c r="I16" s="58">
        <v>88.25</v>
      </c>
      <c r="J16" s="58"/>
      <c r="K16" s="58">
        <v>2724.12</v>
      </c>
      <c r="L16" s="58">
        <v>3249.07</v>
      </c>
      <c r="M16" s="58">
        <v>772.31</v>
      </c>
      <c r="N16" s="59">
        <f t="shared" si="1"/>
        <v>2.8517217139516E-2</v>
      </c>
      <c r="O16" s="59">
        <f t="shared" si="2"/>
        <v>3.4012611298874E-2</v>
      </c>
      <c r="P16" s="59">
        <f t="shared" si="3"/>
        <v>8.0848611548021993E-3</v>
      </c>
      <c r="Q16" s="81">
        <v>3.8737899135989E-3</v>
      </c>
      <c r="R16" s="82"/>
    </row>
    <row r="17" spans="1:18" ht="67.900000000000006" customHeight="1" x14ac:dyDescent="0.25">
      <c r="A17" s="267">
        <v>5</v>
      </c>
      <c r="B17" s="282" t="s">
        <v>609</v>
      </c>
      <c r="C17" s="287" t="s">
        <v>653</v>
      </c>
      <c r="D17" s="57" t="s">
        <v>654</v>
      </c>
      <c r="E17" s="58">
        <v>561932.85</v>
      </c>
      <c r="F17" s="58">
        <f>G17+H17+I17</f>
        <v>399667.21620000002</v>
      </c>
      <c r="G17" s="58">
        <f>G18*I28</f>
        <v>163785.296</v>
      </c>
      <c r="H17" s="58">
        <f>H18*I28</f>
        <v>147763.611</v>
      </c>
      <c r="I17" s="58">
        <f>I18*I30</f>
        <v>88118.309200000003</v>
      </c>
      <c r="J17" s="58"/>
      <c r="K17" s="58">
        <f>K18*1.19*I33</f>
        <v>19215.596995</v>
      </c>
      <c r="L17" s="58">
        <f>L18*1.19*I33</f>
        <v>0</v>
      </c>
      <c r="M17" s="58">
        <f>M18*1.266*I34</f>
        <v>1734.8322095999999</v>
      </c>
      <c r="N17" s="59">
        <f t="shared" si="1"/>
        <v>6.1677626090981999E-2</v>
      </c>
      <c r="O17" s="59">
        <f t="shared" si="2"/>
        <v>0</v>
      </c>
      <c r="P17" s="59">
        <f t="shared" si="3"/>
        <v>5.5684105147574998E-3</v>
      </c>
      <c r="Q17" s="81">
        <v>5.5643872525604002E-3</v>
      </c>
      <c r="R17" s="82">
        <f>N17+O17+P17+Q17</f>
        <v>7.2810423858299E-2</v>
      </c>
    </row>
    <row r="18" spans="1:18" ht="67.900000000000006" hidden="1" customHeight="1" x14ac:dyDescent="0.25">
      <c r="A18" s="269"/>
      <c r="B18" s="282"/>
      <c r="C18" s="288"/>
      <c r="D18" s="57" t="s">
        <v>650</v>
      </c>
      <c r="E18" s="58">
        <v>94393.09</v>
      </c>
      <c r="F18" s="58">
        <f>G18+H18+I18</f>
        <v>69651.210000000006</v>
      </c>
      <c r="G18" s="58">
        <v>25792.959999999999</v>
      </c>
      <c r="H18" s="58">
        <v>23269.86</v>
      </c>
      <c r="I18" s="58">
        <v>20588.39</v>
      </c>
      <c r="J18" s="58"/>
      <c r="K18" s="58">
        <v>4087.99</v>
      </c>
      <c r="L18" s="58">
        <v>0</v>
      </c>
      <c r="M18" s="58">
        <v>343.44</v>
      </c>
      <c r="N18" s="59">
        <f t="shared" si="1"/>
        <v>8.3321545724441004E-2</v>
      </c>
      <c r="O18" s="59">
        <f t="shared" si="2"/>
        <v>0</v>
      </c>
      <c r="P18" s="59">
        <f t="shared" si="3"/>
        <v>7.0000052993284996E-3</v>
      </c>
      <c r="Q18" s="81">
        <v>9.4728844648146997E-3</v>
      </c>
      <c r="R18" s="82"/>
    </row>
    <row r="19" spans="1:18" ht="67.900000000000006" customHeight="1" x14ac:dyDescent="0.25">
      <c r="A19" s="267">
        <v>6</v>
      </c>
      <c r="B19" s="282"/>
      <c r="C19" s="287" t="s">
        <v>611</v>
      </c>
      <c r="D19" s="60" t="s">
        <v>652</v>
      </c>
      <c r="E19" s="58">
        <v>738823.57</v>
      </c>
      <c r="F19" s="58">
        <v>511472.86</v>
      </c>
      <c r="G19" s="58">
        <v>257334.67</v>
      </c>
      <c r="H19" s="58">
        <v>230898.09</v>
      </c>
      <c r="I19" s="58">
        <v>23240.1</v>
      </c>
      <c r="J19" s="58"/>
      <c r="K19" s="58">
        <v>19584.188309000001</v>
      </c>
      <c r="L19" s="58">
        <v>0</v>
      </c>
      <c r="M19" s="58">
        <v>2539.5687809999999</v>
      </c>
      <c r="N19" s="59">
        <f t="shared" si="1"/>
        <v>4.0112401119907999E-2</v>
      </c>
      <c r="O19" s="59">
        <f t="shared" si="2"/>
        <v>0</v>
      </c>
      <c r="P19" s="59">
        <f t="shared" si="3"/>
        <v>5.2015534168579998E-3</v>
      </c>
      <c r="Q19" s="81">
        <v>5.1286902198045999E-3</v>
      </c>
      <c r="R19" s="82">
        <f>N19+O19+P19+Q19</f>
        <v>5.0442644756571002E-2</v>
      </c>
    </row>
    <row r="20" spans="1:18" ht="67.900000000000006" hidden="1" customHeight="1" x14ac:dyDescent="0.25">
      <c r="A20" s="269"/>
      <c r="B20" s="282"/>
      <c r="C20" s="288"/>
      <c r="D20" s="60" t="s">
        <v>650</v>
      </c>
      <c r="E20" s="58">
        <v>128717.35</v>
      </c>
      <c r="F20" s="58">
        <v>89613.6</v>
      </c>
      <c r="G20" s="58">
        <v>44598.73</v>
      </c>
      <c r="H20" s="58">
        <v>40017</v>
      </c>
      <c r="I20" s="58">
        <v>4997.87</v>
      </c>
      <c r="J20" s="58"/>
      <c r="K20" s="58">
        <v>4023.79</v>
      </c>
      <c r="L20" s="58">
        <v>0</v>
      </c>
      <c r="M20" s="58">
        <v>481.05</v>
      </c>
      <c r="N20" s="59">
        <f t="shared" si="1"/>
        <v>4.7553687712675E-2</v>
      </c>
      <c r="O20" s="59">
        <f t="shared" si="2"/>
        <v>0</v>
      </c>
      <c r="P20" s="59">
        <f t="shared" si="3"/>
        <v>5.6851131580381003E-3</v>
      </c>
      <c r="Q20" s="81">
        <v>5.5940533914911996E-3</v>
      </c>
      <c r="R20" s="82"/>
    </row>
    <row r="21" spans="1:18" ht="67.900000000000006" customHeight="1" x14ac:dyDescent="0.25">
      <c r="A21" s="267">
        <v>7</v>
      </c>
      <c r="B21" s="267" t="s">
        <v>612</v>
      </c>
      <c r="C21" s="287" t="s">
        <v>613</v>
      </c>
      <c r="D21" s="60" t="s">
        <v>655</v>
      </c>
      <c r="E21" s="58">
        <v>16001185.93</v>
      </c>
      <c r="F21" s="58">
        <f>G21+H21+I21+J21</f>
        <v>6269109.2307000002</v>
      </c>
      <c r="G21" s="58">
        <f>123094.59*K28+325303.92*K29</f>
        <v>2908258.6863000002</v>
      </c>
      <c r="H21" s="58">
        <f>110226.08*K28+375865.25*K29</f>
        <v>3158998.0832000002</v>
      </c>
      <c r="I21" s="58">
        <f>I22*K30</f>
        <v>201852.46119999999</v>
      </c>
      <c r="J21" s="58">
        <f>J22*K35</f>
        <v>0</v>
      </c>
      <c r="K21" s="58">
        <f>K22*K33*1.19</f>
        <v>48825.362634999998</v>
      </c>
      <c r="L21" s="58">
        <f>L22*1.19*K33</f>
        <v>73238.020449999996</v>
      </c>
      <c r="M21" s="58">
        <f>M22*K34*1.266</f>
        <v>11514.8831238</v>
      </c>
      <c r="N21" s="59">
        <f t="shared" si="1"/>
        <v>8.0473539343916007E-3</v>
      </c>
      <c r="O21" s="59">
        <f t="shared" si="2"/>
        <v>1.2071027027926E-2</v>
      </c>
      <c r="P21" s="59">
        <f t="shared" si="3"/>
        <v>1.8978730522309999E-3</v>
      </c>
      <c r="Q21" s="81">
        <v>5.9210415358545E-4</v>
      </c>
      <c r="R21" s="82">
        <f>N21+O21+P21+Q21</f>
        <v>2.2608358168133998E-2</v>
      </c>
    </row>
    <row r="22" spans="1:18" ht="67.900000000000006" hidden="1" customHeight="1" x14ac:dyDescent="0.25">
      <c r="A22" s="269"/>
      <c r="B22" s="269"/>
      <c r="C22" s="288"/>
      <c r="D22" s="83" t="s">
        <v>650</v>
      </c>
      <c r="E22" s="84">
        <v>2195184.4700000002</v>
      </c>
      <c r="F22" s="84">
        <f>G22+H22+I22+J22</f>
        <v>981651.63</v>
      </c>
      <c r="G22" s="84">
        <f>123094.59+325303.92</f>
        <v>448398.51</v>
      </c>
      <c r="H22" s="84">
        <f>110226.08+375865.25</f>
        <v>486091.33</v>
      </c>
      <c r="I22" s="84">
        <v>47161.79</v>
      </c>
      <c r="J22" s="84">
        <v>0</v>
      </c>
      <c r="K22" s="84">
        <v>10387.27</v>
      </c>
      <c r="L22" s="84">
        <v>15580.9</v>
      </c>
      <c r="M22" s="84">
        <v>2279.5700000000002</v>
      </c>
      <c r="N22" s="85">
        <f t="shared" si="1"/>
        <v>1.1115444551008E-2</v>
      </c>
      <c r="O22" s="85">
        <f t="shared" si="2"/>
        <v>1.6673161475998E-2</v>
      </c>
      <c r="P22" s="85">
        <f t="shared" si="3"/>
        <v>2.4393737656901999E-3</v>
      </c>
      <c r="Q22" s="86">
        <v>7.7662380726578996E-4</v>
      </c>
      <c r="R22" s="87"/>
    </row>
    <row r="23" spans="1:18" ht="67.900000000000006" customHeight="1" x14ac:dyDescent="0.25">
      <c r="A23" s="63"/>
      <c r="B23" s="63"/>
      <c r="C23" s="88" t="s">
        <v>656</v>
      </c>
      <c r="D23" s="64"/>
      <c r="E23" s="89"/>
      <c r="F23" s="89"/>
      <c r="G23" s="89"/>
      <c r="H23" s="89"/>
      <c r="I23" s="89"/>
      <c r="J23" s="89"/>
      <c r="K23" s="89"/>
      <c r="L23" s="89"/>
      <c r="M23" s="89"/>
      <c r="N23" s="66">
        <f>(N9+N11+N13+N15+N17+N19+N21)/7</f>
        <v>2.9452156597254999E-2</v>
      </c>
      <c r="O23" s="66">
        <f>(O9+O11+O13+O15+O17+O19+O21)/7</f>
        <v>1.3097362959135E-2</v>
      </c>
      <c r="P23" s="66">
        <f>(P9+P11+P13+P15+P17+P19+P21)/7</f>
        <v>6.9829983993947003E-3</v>
      </c>
      <c r="Q23" s="66">
        <f>(Q9+Q11+Q13+Q15+Q17+Q19+Q21)/7</f>
        <v>2.7711608883059999E-3</v>
      </c>
      <c r="R23" s="66">
        <f>N23+O23+P23+Q23</f>
        <v>5.2303678844090998E-2</v>
      </c>
    </row>
    <row r="24" spans="1:18" ht="67.900000000000006" customHeight="1" x14ac:dyDescent="0.25">
      <c r="A24" s="67"/>
      <c r="B24" s="67"/>
      <c r="C24" s="72"/>
      <c r="D24" s="68"/>
      <c r="E24" s="69"/>
      <c r="F24" s="69"/>
      <c r="G24" s="69"/>
      <c r="H24" s="69"/>
      <c r="I24" s="69"/>
      <c r="J24" s="69"/>
      <c r="K24" s="69"/>
      <c r="L24" s="69"/>
      <c r="M24" s="69"/>
      <c r="N24" s="70"/>
      <c r="O24" s="70"/>
      <c r="P24" s="70"/>
      <c r="Q24" s="69"/>
    </row>
    <row r="26" spans="1:18" ht="14.45" customHeight="1" outlineLevel="1" x14ac:dyDescent="0.25">
      <c r="D26" s="293" t="s">
        <v>657</v>
      </c>
      <c r="E26" s="293"/>
      <c r="F26" s="293"/>
      <c r="G26" s="293"/>
      <c r="H26" s="293"/>
      <c r="I26" s="293"/>
      <c r="J26" s="293"/>
      <c r="K26" s="293"/>
      <c r="L26" s="72"/>
      <c r="R26" s="90"/>
    </row>
    <row r="27" spans="1:18" outlineLevel="1" x14ac:dyDescent="0.25">
      <c r="D27" s="91"/>
      <c r="E27" s="91" t="s">
        <v>617</v>
      </c>
      <c r="F27" s="91" t="s">
        <v>618</v>
      </c>
      <c r="G27" s="91" t="s">
        <v>619</v>
      </c>
      <c r="H27" s="92" t="s">
        <v>620</v>
      </c>
      <c r="I27" s="92" t="s">
        <v>621</v>
      </c>
      <c r="J27" s="92" t="s">
        <v>622</v>
      </c>
      <c r="K27" s="63" t="s">
        <v>623</v>
      </c>
    </row>
    <row r="28" spans="1:18" outlineLevel="1" x14ac:dyDescent="0.25">
      <c r="D28" s="294" t="s">
        <v>624</v>
      </c>
      <c r="E28" s="296">
        <v>6.09</v>
      </c>
      <c r="F28" s="298">
        <v>6.63</v>
      </c>
      <c r="G28" s="296">
        <v>5.77</v>
      </c>
      <c r="H28" s="300">
        <v>5.77</v>
      </c>
      <c r="I28" s="300">
        <v>6.35</v>
      </c>
      <c r="J28" s="296">
        <v>5.77</v>
      </c>
      <c r="K28" s="93">
        <v>6.29</v>
      </c>
      <c r="L28" t="s">
        <v>625</v>
      </c>
    </row>
    <row r="29" spans="1:18" outlineLevel="1" x14ac:dyDescent="0.25">
      <c r="D29" s="295"/>
      <c r="E29" s="297"/>
      <c r="F29" s="299"/>
      <c r="G29" s="297"/>
      <c r="H29" s="301"/>
      <c r="I29" s="301"/>
      <c r="J29" s="297"/>
      <c r="K29" s="93">
        <v>6.56</v>
      </c>
      <c r="L29" t="s">
        <v>626</v>
      </c>
    </row>
    <row r="30" spans="1:18" outlineLevel="1" x14ac:dyDescent="0.25">
      <c r="D30" s="94" t="s">
        <v>627</v>
      </c>
      <c r="E30" s="93">
        <v>4.46</v>
      </c>
      <c r="F30" s="91">
        <v>4.46</v>
      </c>
      <c r="G30" s="93">
        <v>4.6500000000000004</v>
      </c>
      <c r="H30" s="92">
        <v>4.6100000000000003</v>
      </c>
      <c r="I30" s="92">
        <v>4.28</v>
      </c>
      <c r="J30" s="93">
        <v>4.6500000000000004</v>
      </c>
      <c r="K30" s="93">
        <v>4.28</v>
      </c>
    </row>
    <row r="31" spans="1:18" outlineLevel="1" x14ac:dyDescent="0.25">
      <c r="D31" s="294" t="s">
        <v>601</v>
      </c>
      <c r="E31" s="296">
        <v>11.37</v>
      </c>
      <c r="F31" s="298">
        <v>13.56</v>
      </c>
      <c r="G31" s="296">
        <v>15.91</v>
      </c>
      <c r="H31" s="300">
        <v>15.91</v>
      </c>
      <c r="I31" s="300">
        <v>14.03</v>
      </c>
      <c r="J31" s="296">
        <v>15.91</v>
      </c>
      <c r="K31" s="93">
        <v>8.2899999999999991</v>
      </c>
      <c r="L31" t="s">
        <v>625</v>
      </c>
    </row>
    <row r="32" spans="1:18" outlineLevel="1" x14ac:dyDescent="0.25">
      <c r="D32" s="295"/>
      <c r="E32" s="297"/>
      <c r="F32" s="299"/>
      <c r="G32" s="297"/>
      <c r="H32" s="301"/>
      <c r="I32" s="301"/>
      <c r="J32" s="297"/>
      <c r="K32" s="93">
        <v>11.84</v>
      </c>
      <c r="L32" t="s">
        <v>626</v>
      </c>
    </row>
    <row r="33" spans="4:12" ht="15" customHeight="1" outlineLevel="1" x14ac:dyDescent="0.25">
      <c r="D33" s="95" t="s">
        <v>628</v>
      </c>
      <c r="E33" s="96">
        <v>3.83</v>
      </c>
      <c r="F33" s="97">
        <v>3.83</v>
      </c>
      <c r="G33" s="96">
        <v>3.99</v>
      </c>
      <c r="H33" s="98">
        <v>3.83</v>
      </c>
      <c r="I33" s="98">
        <v>3.95</v>
      </c>
      <c r="J33" s="96">
        <v>4.09</v>
      </c>
      <c r="K33" s="93">
        <v>3.95</v>
      </c>
      <c r="L33" t="s">
        <v>658</v>
      </c>
    </row>
    <row r="34" spans="4:12" outlineLevel="1" x14ac:dyDescent="0.25">
      <c r="D34" s="95" t="s">
        <v>629</v>
      </c>
      <c r="E34" s="96">
        <v>3.91</v>
      </c>
      <c r="F34" s="97">
        <v>3.91</v>
      </c>
      <c r="G34" s="96">
        <v>3.99</v>
      </c>
      <c r="H34" s="98">
        <v>3.91</v>
      </c>
      <c r="I34" s="98">
        <v>3.99</v>
      </c>
      <c r="J34" s="96">
        <v>4.17</v>
      </c>
      <c r="K34" s="93">
        <v>3.99</v>
      </c>
      <c r="L34" t="s">
        <v>658</v>
      </c>
    </row>
    <row r="35" spans="4:12" outlineLevel="1" x14ac:dyDescent="0.25">
      <c r="D35" s="94" t="s">
        <v>568</v>
      </c>
      <c r="E35" s="93">
        <v>8.7899999999999991</v>
      </c>
      <c r="F35" s="91">
        <v>8.7899999999999991</v>
      </c>
      <c r="G35" s="93">
        <v>9.19</v>
      </c>
      <c r="H35" s="92">
        <v>9.1</v>
      </c>
      <c r="I35" s="92">
        <v>8.42</v>
      </c>
      <c r="J35" s="93">
        <v>9.19</v>
      </c>
      <c r="K35" s="93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8" t="s">
        <v>10</v>
      </c>
      <c r="B2" s="208"/>
      <c r="C2" s="208"/>
      <c r="D2" s="20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1"/>
    </row>
    <row r="5" spans="1:4" x14ac:dyDescent="0.25">
      <c r="A5" s="5"/>
      <c r="B5" s="1"/>
      <c r="C5" s="1"/>
    </row>
    <row r="6" spans="1:4" x14ac:dyDescent="0.25">
      <c r="A6" s="208" t="s">
        <v>12</v>
      </c>
      <c r="B6" s="208"/>
      <c r="C6" s="208"/>
      <c r="D6" s="20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2" t="s">
        <v>5</v>
      </c>
      <c r="B15" s="213" t="s">
        <v>15</v>
      </c>
      <c r="C15" s="213"/>
      <c r="D15" s="213"/>
    </row>
    <row r="16" spans="1:4" x14ac:dyDescent="0.25">
      <c r="A16" s="212"/>
      <c r="B16" s="212" t="s">
        <v>17</v>
      </c>
      <c r="C16" s="213" t="s">
        <v>28</v>
      </c>
      <c r="D16" s="213"/>
    </row>
    <row r="17" spans="1:4" ht="39" customHeight="1" x14ac:dyDescent="0.25">
      <c r="A17" s="212"/>
      <c r="B17" s="21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4" t="s">
        <v>29</v>
      </c>
      <c r="B2" s="214"/>
      <c r="C2" s="214"/>
      <c r="D2" s="214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9">
        <v>3985.09</v>
      </c>
      <c r="I4" s="99">
        <v>3153.63</v>
      </c>
      <c r="J4" s="99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zoomScale="55" zoomScaleNormal="55" workbookViewId="0">
      <selection activeCell="D30" sqref="D30"/>
    </sheetView>
  </sheetViews>
  <sheetFormatPr defaultColWidth="9.140625" defaultRowHeight="15.75" x14ac:dyDescent="0.25"/>
  <cols>
    <col min="1" max="2" width="9.140625" style="112"/>
    <col min="3" max="3" width="36.85546875" style="112" customWidth="1"/>
    <col min="4" max="4" width="74.5703125" style="112" customWidth="1"/>
    <col min="5" max="5" width="13.28515625" style="112" customWidth="1"/>
    <col min="6" max="6" width="13.140625" style="112" customWidth="1"/>
    <col min="7" max="7" width="9.140625" style="112"/>
  </cols>
  <sheetData>
    <row r="3" spans="2:4" x14ac:dyDescent="0.25">
      <c r="B3" s="215" t="s">
        <v>45</v>
      </c>
      <c r="C3" s="215"/>
      <c r="D3" s="215"/>
    </row>
    <row r="4" spans="2:4" x14ac:dyDescent="0.25">
      <c r="B4" s="216" t="s">
        <v>46</v>
      </c>
      <c r="C4" s="216"/>
      <c r="D4" s="216"/>
    </row>
    <row r="5" spans="2:4" x14ac:dyDescent="0.25">
      <c r="B5" s="149"/>
      <c r="C5" s="149"/>
      <c r="D5" s="149"/>
    </row>
    <row r="6" spans="2:4" x14ac:dyDescent="0.25">
      <c r="B6" s="149"/>
      <c r="C6" s="149"/>
      <c r="D6" s="149"/>
    </row>
    <row r="7" spans="2:4" x14ac:dyDescent="0.25">
      <c r="B7" s="217" t="s">
        <v>47</v>
      </c>
      <c r="C7" s="217"/>
      <c r="D7" s="217"/>
    </row>
    <row r="8" spans="2:4" ht="31.5" customHeight="1" x14ac:dyDescent="0.25">
      <c r="B8" s="217" t="s">
        <v>48</v>
      </c>
      <c r="C8" s="217"/>
      <c r="D8" s="217"/>
    </row>
    <row r="9" spans="2:4" x14ac:dyDescent="0.25">
      <c r="B9" s="217" t="s">
        <v>49</v>
      </c>
      <c r="C9" s="217"/>
      <c r="D9" s="217"/>
    </row>
    <row r="10" spans="2:4" x14ac:dyDescent="0.25">
      <c r="B10" s="139"/>
    </row>
    <row r="11" spans="2:4" x14ac:dyDescent="0.25">
      <c r="B11" s="116" t="s">
        <v>33</v>
      </c>
      <c r="C11" s="116" t="s">
        <v>50</v>
      </c>
      <c r="D11" s="119" t="s">
        <v>51</v>
      </c>
    </row>
    <row r="12" spans="2:4" ht="31.5" customHeight="1" x14ac:dyDescent="0.25">
      <c r="B12" s="116">
        <v>1</v>
      </c>
      <c r="C12" s="119" t="s">
        <v>52</v>
      </c>
      <c r="D12" s="119" t="s">
        <v>53</v>
      </c>
    </row>
    <row r="13" spans="2:4" ht="31.5" customHeight="1" x14ac:dyDescent="0.25">
      <c r="B13" s="116">
        <v>2</v>
      </c>
      <c r="C13" s="119" t="s">
        <v>54</v>
      </c>
      <c r="D13" s="119" t="s">
        <v>55</v>
      </c>
    </row>
    <row r="14" spans="2:4" x14ac:dyDescent="0.25">
      <c r="B14" s="116">
        <v>3</v>
      </c>
      <c r="C14" s="119" t="s">
        <v>56</v>
      </c>
      <c r="D14" s="119" t="s">
        <v>57</v>
      </c>
    </row>
    <row r="15" spans="2:4" x14ac:dyDescent="0.25">
      <c r="B15" s="116">
        <v>4</v>
      </c>
      <c r="C15" s="119" t="s">
        <v>58</v>
      </c>
      <c r="D15" s="115">
        <v>1</v>
      </c>
    </row>
    <row r="16" spans="2:4" ht="204.75" customHeight="1" x14ac:dyDescent="0.25">
      <c r="B16" s="116">
        <v>5</v>
      </c>
      <c r="C16" s="152" t="s">
        <v>59</v>
      </c>
      <c r="D16" s="119" t="s">
        <v>60</v>
      </c>
    </row>
    <row r="17" spans="2:7" ht="78.75" customHeight="1" x14ac:dyDescent="0.25">
      <c r="B17" s="116">
        <v>6</v>
      </c>
      <c r="C17" s="152" t="s">
        <v>61</v>
      </c>
      <c r="D17" s="187">
        <f>D18+D19</f>
        <v>6469.8213000999995</v>
      </c>
    </row>
    <row r="18" spans="2:7" x14ac:dyDescent="0.25">
      <c r="B18" s="188" t="s">
        <v>62</v>
      </c>
      <c r="C18" s="119" t="s">
        <v>63</v>
      </c>
      <c r="D18" s="187">
        <f>'Прил.2 Расч стоим'!F12</f>
        <v>756.2165109</v>
      </c>
    </row>
    <row r="19" spans="2:7" x14ac:dyDescent="0.25">
      <c r="B19" s="188" t="s">
        <v>64</v>
      </c>
      <c r="C19" s="119" t="s">
        <v>65</v>
      </c>
      <c r="D19" s="187">
        <f>'Прил.2 Расч стоим'!H14</f>
        <v>5713.6047891999997</v>
      </c>
    </row>
    <row r="20" spans="2:7" x14ac:dyDescent="0.25">
      <c r="B20" s="188" t="s">
        <v>66</v>
      </c>
      <c r="C20" s="119" t="s">
        <v>67</v>
      </c>
      <c r="D20" s="187"/>
    </row>
    <row r="21" spans="2:7" ht="31.5" customHeight="1" x14ac:dyDescent="0.25">
      <c r="B21" s="188" t="s">
        <v>68</v>
      </c>
      <c r="C21" s="189" t="s">
        <v>69</v>
      </c>
      <c r="D21" s="187"/>
      <c r="E21"/>
      <c r="F21"/>
      <c r="G21"/>
    </row>
    <row r="22" spans="2:7" x14ac:dyDescent="0.25">
      <c r="B22" s="116">
        <v>7</v>
      </c>
      <c r="C22" s="189" t="s">
        <v>70</v>
      </c>
      <c r="D22" s="116" t="s">
        <v>71</v>
      </c>
    </row>
    <row r="23" spans="2:7" ht="110.25" customHeight="1" x14ac:dyDescent="0.25">
      <c r="B23" s="116">
        <v>8</v>
      </c>
      <c r="C23" s="190" t="s">
        <v>72</v>
      </c>
      <c r="D23" s="187">
        <f>D17</f>
        <v>6469.8213000999995</v>
      </c>
      <c r="E23" s="172"/>
    </row>
    <row r="24" spans="2:7" ht="47.25" customHeight="1" x14ac:dyDescent="0.25">
      <c r="B24" s="116">
        <v>9</v>
      </c>
      <c r="C24" s="152" t="s">
        <v>73</v>
      </c>
      <c r="D24" s="187">
        <f>D23/D15</f>
        <v>6469.8213000999995</v>
      </c>
      <c r="E24" s="172"/>
    </row>
    <row r="25" spans="2:7" x14ac:dyDescent="0.25">
      <c r="B25" s="116">
        <v>10</v>
      </c>
      <c r="C25" s="119" t="s">
        <v>74</v>
      </c>
      <c r="D25" s="119"/>
      <c r="E25" s="172"/>
    </row>
    <row r="26" spans="2:7" x14ac:dyDescent="0.25">
      <c r="B26" s="191"/>
      <c r="C26" s="192"/>
      <c r="D26" s="192"/>
    </row>
    <row r="27" spans="2:7" ht="37.5" customHeight="1" x14ac:dyDescent="0.25">
      <c r="B27" s="144"/>
    </row>
    <row r="28" spans="2:7" x14ac:dyDescent="0.25">
      <c r="B28" s="112" t="s">
        <v>75</v>
      </c>
    </row>
    <row r="29" spans="2:7" x14ac:dyDescent="0.25">
      <c r="B29" s="144" t="s">
        <v>76</v>
      </c>
    </row>
    <row r="31" spans="2:7" x14ac:dyDescent="0.25">
      <c r="B31" s="112" t="s">
        <v>77</v>
      </c>
    </row>
    <row r="32" spans="2:7" x14ac:dyDescent="0.25">
      <c r="B32" s="144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3"/>
  <sheetViews>
    <sheetView view="pageBreakPreview" zoomScale="70" zoomScaleNormal="70" workbookViewId="0">
      <selection activeCell="E20" sqref="E20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48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18" style="112" customWidth="1"/>
    <col min="12" max="12" width="9.140625" style="112"/>
  </cols>
  <sheetData>
    <row r="3" spans="2:11" x14ac:dyDescent="0.25">
      <c r="B3" s="215" t="s">
        <v>79</v>
      </c>
      <c r="C3" s="215"/>
      <c r="D3" s="215"/>
      <c r="E3" s="215"/>
      <c r="F3" s="215"/>
      <c r="G3" s="215"/>
      <c r="H3" s="215"/>
      <c r="I3" s="215"/>
      <c r="J3" s="215"/>
      <c r="K3" s="144"/>
    </row>
    <row r="4" spans="2:11" x14ac:dyDescent="0.25">
      <c r="B4" s="216" t="s">
        <v>80</v>
      </c>
      <c r="C4" s="216"/>
      <c r="D4" s="216"/>
      <c r="E4" s="216"/>
      <c r="F4" s="216"/>
      <c r="G4" s="216"/>
      <c r="H4" s="216"/>
      <c r="I4" s="216"/>
      <c r="J4" s="216"/>
      <c r="K4" s="216"/>
    </row>
    <row r="5" spans="2:1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</row>
    <row r="6" spans="2:11" ht="15.75" customHeight="1" x14ac:dyDescent="0.25">
      <c r="B6" s="219" t="s">
        <v>81</v>
      </c>
      <c r="C6" s="219"/>
      <c r="D6" s="219"/>
      <c r="E6" s="219"/>
      <c r="F6" s="219"/>
      <c r="G6" s="219"/>
      <c r="H6" s="219"/>
      <c r="I6" s="219"/>
      <c r="J6" s="219"/>
      <c r="K6" s="144"/>
    </row>
    <row r="7" spans="2:11" x14ac:dyDescent="0.25">
      <c r="B7" s="217" t="s">
        <v>49</v>
      </c>
      <c r="C7" s="217"/>
      <c r="D7" s="217"/>
      <c r="E7" s="217"/>
      <c r="F7" s="217"/>
      <c r="G7" s="217"/>
      <c r="H7" s="217"/>
      <c r="I7" s="217"/>
      <c r="J7" s="217"/>
      <c r="K7" s="217"/>
    </row>
    <row r="8" spans="2:11" x14ac:dyDescent="0.25">
      <c r="B8" s="139"/>
    </row>
    <row r="9" spans="2:11" ht="15.75" customHeight="1" x14ac:dyDescent="0.25">
      <c r="B9" s="220" t="s">
        <v>33</v>
      </c>
      <c r="C9" s="220" t="s">
        <v>82</v>
      </c>
      <c r="D9" s="220" t="s">
        <v>51</v>
      </c>
      <c r="E9" s="220"/>
      <c r="F9" s="220"/>
      <c r="G9" s="220"/>
      <c r="H9" s="220"/>
      <c r="I9" s="220"/>
      <c r="J9" s="220"/>
    </row>
    <row r="10" spans="2:11" ht="15.75" customHeight="1" x14ac:dyDescent="0.25">
      <c r="B10" s="220"/>
      <c r="C10" s="220"/>
      <c r="D10" s="220" t="s">
        <v>83</v>
      </c>
      <c r="E10" s="220" t="s">
        <v>84</v>
      </c>
      <c r="F10" s="220" t="s">
        <v>85</v>
      </c>
      <c r="G10" s="220"/>
      <c r="H10" s="220"/>
      <c r="I10" s="220"/>
      <c r="J10" s="220"/>
    </row>
    <row r="11" spans="2:11" ht="31.5" customHeight="1" x14ac:dyDescent="0.25">
      <c r="B11" s="220"/>
      <c r="C11" s="220"/>
      <c r="D11" s="220"/>
      <c r="E11" s="220"/>
      <c r="F11" s="116" t="s">
        <v>86</v>
      </c>
      <c r="G11" s="116" t="s">
        <v>87</v>
      </c>
      <c r="H11" s="116" t="s">
        <v>43</v>
      </c>
      <c r="I11" s="116" t="s">
        <v>88</v>
      </c>
      <c r="J11" s="116" t="s">
        <v>89</v>
      </c>
    </row>
    <row r="12" spans="2:11" ht="143.44999999999999" customHeight="1" x14ac:dyDescent="0.25">
      <c r="B12" s="206"/>
      <c r="C12" s="207" t="s">
        <v>90</v>
      </c>
      <c r="D12" s="181"/>
      <c r="E12" s="116"/>
      <c r="F12" s="221">
        <f>(Прил.3!H12+Прил.3!H22+Прил.3!H24+Прил.3!H84)*6.91/1000</f>
        <v>756.2165109</v>
      </c>
      <c r="G12" s="222"/>
      <c r="H12" s="182">
        <f>Прил.3!H46*4.28/1000</f>
        <v>5713.6047891999997</v>
      </c>
      <c r="I12" s="183"/>
      <c r="J12" s="184">
        <f>F12+H12</f>
        <v>6469.8213000999995</v>
      </c>
    </row>
    <row r="13" spans="2:11" ht="15.75" customHeight="1" x14ac:dyDescent="0.25">
      <c r="B13" s="218" t="s">
        <v>91</v>
      </c>
      <c r="C13" s="218"/>
      <c r="D13" s="218"/>
      <c r="E13" s="218"/>
      <c r="F13" s="185"/>
      <c r="G13" s="185"/>
      <c r="H13" s="185"/>
      <c r="I13" s="194"/>
      <c r="J13" s="186"/>
    </row>
    <row r="14" spans="2:11" ht="28.5" customHeight="1" x14ac:dyDescent="0.25">
      <c r="B14" s="218" t="s">
        <v>92</v>
      </c>
      <c r="C14" s="218"/>
      <c r="D14" s="218"/>
      <c r="E14" s="218"/>
      <c r="F14" s="223">
        <f>F12</f>
        <v>756.2165109</v>
      </c>
      <c r="G14" s="224"/>
      <c r="H14" s="185">
        <f>H12</f>
        <v>5713.6047891999997</v>
      </c>
      <c r="I14" s="194"/>
      <c r="J14" s="186">
        <f>J12</f>
        <v>6469.8213000999995</v>
      </c>
    </row>
    <row r="15" spans="2:11" x14ac:dyDescent="0.25">
      <c r="B15" s="139"/>
    </row>
    <row r="19" spans="2:2" x14ac:dyDescent="0.25">
      <c r="B19" s="112" t="s">
        <v>75</v>
      </c>
    </row>
    <row r="20" spans="2:2" x14ac:dyDescent="0.25">
      <c r="B20" s="144" t="s">
        <v>76</v>
      </c>
    </row>
    <row r="22" spans="2:2" x14ac:dyDescent="0.25">
      <c r="B22" s="112" t="s">
        <v>77</v>
      </c>
    </row>
    <row r="23" spans="2:2" x14ac:dyDescent="0.25">
      <c r="B23" s="144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0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178"/>
  <sheetViews>
    <sheetView view="pageBreakPreview" topLeftCell="A160" zoomScale="70" workbookViewId="0">
      <selection activeCell="F177" sqref="F177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67" customWidth="1"/>
    <col min="6" max="6" width="20.7109375" style="112" customWidth="1"/>
    <col min="7" max="7" width="16.140625" style="112" customWidth="1"/>
    <col min="8" max="8" width="16.7109375" style="112" customWidth="1"/>
    <col min="9" max="9" width="9.140625" style="112"/>
  </cols>
  <sheetData>
    <row r="2" spans="1:12" x14ac:dyDescent="0.25">
      <c r="A2" s="195"/>
      <c r="B2" s="195"/>
      <c r="C2" s="195"/>
      <c r="D2" s="195"/>
      <c r="F2" s="195"/>
      <c r="G2" s="195"/>
      <c r="H2" s="195"/>
      <c r="I2" s="195"/>
    </row>
    <row r="3" spans="1:12" x14ac:dyDescent="0.25">
      <c r="A3" s="195"/>
      <c r="B3" s="195"/>
      <c r="C3" s="195"/>
      <c r="D3" s="195"/>
      <c r="F3" s="195"/>
      <c r="G3" s="195"/>
      <c r="H3" s="195"/>
      <c r="I3" s="195"/>
    </row>
    <row r="4" spans="1:12" x14ac:dyDescent="0.25">
      <c r="A4" s="215" t="s">
        <v>93</v>
      </c>
      <c r="B4" s="215"/>
      <c r="C4" s="215"/>
      <c r="D4" s="215"/>
      <c r="E4" s="215"/>
      <c r="F4" s="215"/>
      <c r="G4" s="215"/>
      <c r="H4" s="215"/>
    </row>
    <row r="5" spans="1:12" x14ac:dyDescent="0.25">
      <c r="A5" s="216" t="s">
        <v>94</v>
      </c>
      <c r="B5" s="216"/>
      <c r="C5" s="216"/>
      <c r="D5" s="216"/>
      <c r="E5" s="216"/>
      <c r="F5" s="216"/>
      <c r="G5" s="216"/>
      <c r="H5" s="216"/>
    </row>
    <row r="6" spans="1:12" x14ac:dyDescent="0.25">
      <c r="A6" s="139"/>
    </row>
    <row r="7" spans="1:12" x14ac:dyDescent="0.25">
      <c r="A7" s="219" t="s">
        <v>95</v>
      </c>
      <c r="B7" s="219"/>
      <c r="C7" s="219"/>
      <c r="D7" s="219"/>
      <c r="E7" s="219"/>
      <c r="F7" s="219"/>
      <c r="G7" s="219"/>
      <c r="H7" s="219"/>
    </row>
    <row r="8" spans="1:12" x14ac:dyDescent="0.25">
      <c r="A8" s="140"/>
      <c r="B8" s="140"/>
      <c r="C8" s="140"/>
      <c r="D8" s="140"/>
      <c r="E8" s="149"/>
      <c r="F8" s="140"/>
      <c r="G8" s="140"/>
      <c r="H8" s="140"/>
    </row>
    <row r="9" spans="1:12" ht="38.25" customHeight="1" x14ac:dyDescent="0.25">
      <c r="A9" s="220" t="s">
        <v>96</v>
      </c>
      <c r="B9" s="220" t="s">
        <v>97</v>
      </c>
      <c r="C9" s="220" t="s">
        <v>98</v>
      </c>
      <c r="D9" s="220" t="s">
        <v>99</v>
      </c>
      <c r="E9" s="220" t="s">
        <v>100</v>
      </c>
      <c r="F9" s="220" t="s">
        <v>101</v>
      </c>
      <c r="G9" s="220" t="s">
        <v>102</v>
      </c>
      <c r="H9" s="220"/>
    </row>
    <row r="10" spans="1:12" ht="40.5" customHeight="1" x14ac:dyDescent="0.25">
      <c r="A10" s="220"/>
      <c r="B10" s="220"/>
      <c r="C10" s="220"/>
      <c r="D10" s="220"/>
      <c r="E10" s="220"/>
      <c r="F10" s="220"/>
      <c r="G10" s="116" t="s">
        <v>103</v>
      </c>
      <c r="H10" s="116" t="s">
        <v>104</v>
      </c>
    </row>
    <row r="11" spans="1:12" x14ac:dyDescent="0.25">
      <c r="A11" s="163">
        <v>1</v>
      </c>
      <c r="B11" s="163"/>
      <c r="C11" s="163">
        <v>2</v>
      </c>
      <c r="D11" s="163" t="s">
        <v>105</v>
      </c>
      <c r="E11" s="163">
        <v>4</v>
      </c>
      <c r="F11" s="163">
        <v>5</v>
      </c>
      <c r="G11" s="163">
        <v>6</v>
      </c>
      <c r="H11" s="163">
        <v>7</v>
      </c>
    </row>
    <row r="12" spans="1:12" s="164" customFormat="1" x14ac:dyDescent="0.25">
      <c r="A12" s="225" t="s">
        <v>106</v>
      </c>
      <c r="B12" s="226"/>
      <c r="C12" s="227"/>
      <c r="D12" s="227"/>
      <c r="E12" s="226"/>
      <c r="F12" s="160">
        <f>SUM(F13:F21)</f>
        <v>3240.0965790999999</v>
      </c>
      <c r="G12" s="160"/>
      <c r="H12" s="160">
        <f>SUM(H13:H21)</f>
        <v>31166.42</v>
      </c>
    </row>
    <row r="13" spans="1:12" x14ac:dyDescent="0.25">
      <c r="A13" s="155">
        <v>1</v>
      </c>
      <c r="B13" s="165" t="s">
        <v>107</v>
      </c>
      <c r="C13" s="153" t="s">
        <v>108</v>
      </c>
      <c r="D13" s="154" t="s">
        <v>109</v>
      </c>
      <c r="E13" s="168" t="s">
        <v>110</v>
      </c>
      <c r="F13" s="155">
        <v>1736.68985</v>
      </c>
      <c r="G13" s="156">
        <v>9.6199999999999992</v>
      </c>
      <c r="H13" s="156">
        <f t="shared" ref="H13:H21" si="0">ROUND(F13*G13,2)</f>
        <v>16706.96</v>
      </c>
      <c r="L13" s="166"/>
    </row>
    <row r="14" spans="1:12" x14ac:dyDescent="0.25">
      <c r="A14" s="155">
        <v>2</v>
      </c>
      <c r="B14" s="165" t="s">
        <v>107</v>
      </c>
      <c r="C14" s="153" t="s">
        <v>111</v>
      </c>
      <c r="D14" s="154" t="s">
        <v>112</v>
      </c>
      <c r="E14" s="168" t="s">
        <v>110</v>
      </c>
      <c r="F14" s="155">
        <v>828.84799999999996</v>
      </c>
      <c r="G14" s="156">
        <v>9.4</v>
      </c>
      <c r="H14" s="156">
        <f t="shared" si="0"/>
        <v>7791.17</v>
      </c>
    </row>
    <row r="15" spans="1:12" x14ac:dyDescent="0.25">
      <c r="A15" s="155">
        <v>3</v>
      </c>
      <c r="B15" s="165" t="s">
        <v>107</v>
      </c>
      <c r="C15" s="153" t="s">
        <v>113</v>
      </c>
      <c r="D15" s="154" t="s">
        <v>114</v>
      </c>
      <c r="E15" s="168" t="s">
        <v>110</v>
      </c>
      <c r="F15" s="155">
        <v>475.1</v>
      </c>
      <c r="G15" s="156">
        <v>10.06</v>
      </c>
      <c r="H15" s="156">
        <f t="shared" si="0"/>
        <v>4779.51</v>
      </c>
    </row>
    <row r="16" spans="1:12" x14ac:dyDescent="0.25">
      <c r="A16" s="155">
        <v>4</v>
      </c>
      <c r="B16" s="165" t="s">
        <v>107</v>
      </c>
      <c r="C16" s="153" t="s">
        <v>115</v>
      </c>
      <c r="D16" s="154" t="s">
        <v>116</v>
      </c>
      <c r="E16" s="168" t="s">
        <v>110</v>
      </c>
      <c r="F16" s="155">
        <v>89.004000000000005</v>
      </c>
      <c r="G16" s="156">
        <v>9.92</v>
      </c>
      <c r="H16" s="156">
        <f t="shared" si="0"/>
        <v>882.92</v>
      </c>
    </row>
    <row r="17" spans="1:11" x14ac:dyDescent="0.25">
      <c r="A17" s="155">
        <v>5</v>
      </c>
      <c r="B17" s="165" t="s">
        <v>107</v>
      </c>
      <c r="C17" s="153" t="s">
        <v>117</v>
      </c>
      <c r="D17" s="154" t="s">
        <v>118</v>
      </c>
      <c r="E17" s="168" t="s">
        <v>110</v>
      </c>
      <c r="F17" s="155">
        <v>77.177099799999993</v>
      </c>
      <c r="G17" s="156">
        <v>9.07</v>
      </c>
      <c r="H17" s="156">
        <f t="shared" si="0"/>
        <v>700</v>
      </c>
    </row>
    <row r="18" spans="1:11" x14ac:dyDescent="0.25">
      <c r="A18" s="155">
        <v>6</v>
      </c>
      <c r="B18" s="165" t="s">
        <v>107</v>
      </c>
      <c r="C18" s="153" t="s">
        <v>119</v>
      </c>
      <c r="D18" s="154" t="s">
        <v>120</v>
      </c>
      <c r="E18" s="168" t="s">
        <v>110</v>
      </c>
      <c r="F18" s="155">
        <v>25.29</v>
      </c>
      <c r="G18" s="156">
        <v>8.74</v>
      </c>
      <c r="H18" s="156">
        <f t="shared" si="0"/>
        <v>221.03</v>
      </c>
    </row>
    <row r="19" spans="1:11" x14ac:dyDescent="0.25">
      <c r="A19" s="155">
        <v>7</v>
      </c>
      <c r="B19" s="165" t="s">
        <v>107</v>
      </c>
      <c r="C19" s="153" t="s">
        <v>121</v>
      </c>
      <c r="D19" s="154" t="s">
        <v>122</v>
      </c>
      <c r="E19" s="168" t="s">
        <v>110</v>
      </c>
      <c r="F19" s="155">
        <v>3.4888292999999999</v>
      </c>
      <c r="G19" s="156">
        <v>10.65</v>
      </c>
      <c r="H19" s="156">
        <f t="shared" si="0"/>
        <v>37.159999999999997</v>
      </c>
    </row>
    <row r="20" spans="1:11" x14ac:dyDescent="0.25">
      <c r="A20" s="155">
        <v>8</v>
      </c>
      <c r="B20" s="165"/>
      <c r="C20" s="153" t="s">
        <v>123</v>
      </c>
      <c r="D20" s="154" t="s">
        <v>124</v>
      </c>
      <c r="E20" s="168" t="s">
        <v>110</v>
      </c>
      <c r="F20" s="155">
        <v>3.3</v>
      </c>
      <c r="G20" s="156">
        <v>10.35</v>
      </c>
      <c r="H20" s="156">
        <f t="shared" si="0"/>
        <v>34.159999999999997</v>
      </c>
    </row>
    <row r="21" spans="1:11" x14ac:dyDescent="0.25">
      <c r="A21" s="155">
        <v>9</v>
      </c>
      <c r="B21" s="165"/>
      <c r="C21" s="153" t="s">
        <v>125</v>
      </c>
      <c r="D21" s="154" t="s">
        <v>126</v>
      </c>
      <c r="E21" s="168" t="s">
        <v>110</v>
      </c>
      <c r="F21" s="155">
        <v>1.1988000000000001</v>
      </c>
      <c r="G21" s="156">
        <v>11.27</v>
      </c>
      <c r="H21" s="156">
        <f t="shared" si="0"/>
        <v>13.51</v>
      </c>
    </row>
    <row r="22" spans="1:11" x14ac:dyDescent="0.25">
      <c r="A22" s="225" t="s">
        <v>127</v>
      </c>
      <c r="B22" s="226"/>
      <c r="C22" s="227"/>
      <c r="D22" s="227"/>
      <c r="E22" s="226"/>
      <c r="F22" s="159">
        <f>F23</f>
        <v>128.6302805</v>
      </c>
      <c r="G22" s="160"/>
      <c r="H22" s="160">
        <f>H23</f>
        <v>1505.3</v>
      </c>
    </row>
    <row r="23" spans="1:11" x14ac:dyDescent="0.25">
      <c r="A23" s="155">
        <v>10</v>
      </c>
      <c r="B23" s="155" t="s">
        <v>107</v>
      </c>
      <c r="C23" s="154">
        <v>2</v>
      </c>
      <c r="D23" s="154" t="s">
        <v>127</v>
      </c>
      <c r="E23" s="168" t="s">
        <v>110</v>
      </c>
      <c r="F23" s="155">
        <v>128.6302805</v>
      </c>
      <c r="G23" s="156">
        <v>0</v>
      </c>
      <c r="H23" s="156">
        <v>1505.3</v>
      </c>
    </row>
    <row r="24" spans="1:11" s="164" customFormat="1" x14ac:dyDescent="0.25">
      <c r="A24" s="225" t="s">
        <v>128</v>
      </c>
      <c r="B24" s="226"/>
      <c r="C24" s="227"/>
      <c r="D24" s="227"/>
      <c r="E24" s="226"/>
      <c r="F24" s="159"/>
      <c r="G24" s="160"/>
      <c r="H24" s="160">
        <f>SUM(H25:H45)</f>
        <v>16018.46</v>
      </c>
    </row>
    <row r="25" spans="1:11" ht="31.5" customHeight="1" x14ac:dyDescent="0.25">
      <c r="A25" s="155">
        <v>11</v>
      </c>
      <c r="B25" s="155" t="s">
        <v>107</v>
      </c>
      <c r="C25" s="154" t="s">
        <v>129</v>
      </c>
      <c r="D25" s="154" t="s">
        <v>130</v>
      </c>
      <c r="E25" s="168" t="s">
        <v>131</v>
      </c>
      <c r="F25" s="155">
        <v>72.5</v>
      </c>
      <c r="G25" s="156">
        <v>131.44</v>
      </c>
      <c r="H25" s="156">
        <f t="shared" ref="H25:H45" si="1">ROUND(F25*G25,2)</f>
        <v>9529.4</v>
      </c>
      <c r="J25" s="161"/>
    </row>
    <row r="26" spans="1:11" s="164" customFormat="1" ht="31.5" customHeight="1" x14ac:dyDescent="0.25">
      <c r="A26" s="155">
        <v>12</v>
      </c>
      <c r="B26" s="155" t="s">
        <v>107</v>
      </c>
      <c r="C26" s="154" t="s">
        <v>132</v>
      </c>
      <c r="D26" s="154" t="s">
        <v>133</v>
      </c>
      <c r="E26" s="168" t="s">
        <v>131</v>
      </c>
      <c r="F26" s="155">
        <v>11.6417872</v>
      </c>
      <c r="G26" s="156">
        <v>115.4</v>
      </c>
      <c r="H26" s="156">
        <f t="shared" si="1"/>
        <v>1343.46</v>
      </c>
      <c r="J26" s="161"/>
    </row>
    <row r="27" spans="1:11" s="164" customFormat="1" ht="31.5" customHeight="1" x14ac:dyDescent="0.25">
      <c r="A27" s="155">
        <v>13</v>
      </c>
      <c r="B27" s="155" t="s">
        <v>107</v>
      </c>
      <c r="C27" s="154" t="s">
        <v>134</v>
      </c>
      <c r="D27" s="154" t="s">
        <v>135</v>
      </c>
      <c r="E27" s="168" t="s">
        <v>131</v>
      </c>
      <c r="F27" s="155">
        <v>138.201031</v>
      </c>
      <c r="G27" s="156">
        <v>8.1</v>
      </c>
      <c r="H27" s="156">
        <f t="shared" si="1"/>
        <v>1119.43</v>
      </c>
      <c r="J27" s="161"/>
    </row>
    <row r="28" spans="1:11" s="164" customFormat="1" ht="31.5" customHeight="1" x14ac:dyDescent="0.25">
      <c r="A28" s="155">
        <v>14</v>
      </c>
      <c r="B28" s="155" t="s">
        <v>107</v>
      </c>
      <c r="C28" s="154" t="s">
        <v>136</v>
      </c>
      <c r="D28" s="154" t="s">
        <v>137</v>
      </c>
      <c r="E28" s="168" t="s">
        <v>131</v>
      </c>
      <c r="F28" s="155">
        <v>14.2007841</v>
      </c>
      <c r="G28" s="156">
        <v>65.709999999999994</v>
      </c>
      <c r="H28" s="156">
        <f t="shared" si="1"/>
        <v>933.13</v>
      </c>
      <c r="J28" s="161"/>
    </row>
    <row r="29" spans="1:11" s="164" customFormat="1" ht="31.5" customHeight="1" x14ac:dyDescent="0.25">
      <c r="A29" s="155">
        <v>15</v>
      </c>
      <c r="B29" s="155" t="s">
        <v>107</v>
      </c>
      <c r="C29" s="154" t="s">
        <v>138</v>
      </c>
      <c r="D29" s="154" t="s">
        <v>139</v>
      </c>
      <c r="E29" s="168" t="s">
        <v>131</v>
      </c>
      <c r="F29" s="155">
        <v>10.18</v>
      </c>
      <c r="G29" s="156">
        <v>73.12</v>
      </c>
      <c r="H29" s="156">
        <f t="shared" si="1"/>
        <v>744.36</v>
      </c>
      <c r="J29" s="161"/>
      <c r="K29" s="162"/>
    </row>
    <row r="30" spans="1:11" s="164" customFormat="1" ht="47.25" customHeight="1" x14ac:dyDescent="0.25">
      <c r="A30" s="155">
        <v>16</v>
      </c>
      <c r="B30" s="155" t="s">
        <v>107</v>
      </c>
      <c r="C30" s="154" t="s">
        <v>140</v>
      </c>
      <c r="D30" s="154" t="s">
        <v>141</v>
      </c>
      <c r="E30" s="168" t="s">
        <v>131</v>
      </c>
      <c r="F30" s="155">
        <v>6.2741875</v>
      </c>
      <c r="G30" s="156">
        <v>100</v>
      </c>
      <c r="H30" s="156">
        <f t="shared" si="1"/>
        <v>627.41999999999996</v>
      </c>
      <c r="J30" s="161"/>
      <c r="K30" s="162"/>
    </row>
    <row r="31" spans="1:11" s="164" customFormat="1" x14ac:dyDescent="0.25">
      <c r="A31" s="155">
        <v>17</v>
      </c>
      <c r="B31" s="155" t="s">
        <v>107</v>
      </c>
      <c r="C31" s="154" t="s">
        <v>142</v>
      </c>
      <c r="D31" s="154" t="s">
        <v>143</v>
      </c>
      <c r="E31" s="168" t="s">
        <v>131</v>
      </c>
      <c r="F31" s="155">
        <v>25.09675</v>
      </c>
      <c r="G31" s="156">
        <v>18.68</v>
      </c>
      <c r="H31" s="156">
        <f t="shared" si="1"/>
        <v>468.81</v>
      </c>
      <c r="K31" s="161"/>
    </row>
    <row r="32" spans="1:11" s="164" customFormat="1" ht="31.5" customHeight="1" x14ac:dyDescent="0.25">
      <c r="A32" s="155">
        <v>18</v>
      </c>
      <c r="B32" s="155" t="s">
        <v>107</v>
      </c>
      <c r="C32" s="154" t="s">
        <v>144</v>
      </c>
      <c r="D32" s="154" t="s">
        <v>145</v>
      </c>
      <c r="E32" s="168" t="s">
        <v>131</v>
      </c>
      <c r="F32" s="155">
        <v>6.0359999999999996</v>
      </c>
      <c r="G32" s="156">
        <v>70</v>
      </c>
      <c r="H32" s="156">
        <f t="shared" si="1"/>
        <v>422.52</v>
      </c>
      <c r="K32" s="161"/>
    </row>
    <row r="33" spans="1:12" s="164" customFormat="1" ht="31.5" customHeight="1" x14ac:dyDescent="0.25">
      <c r="A33" s="155">
        <v>19</v>
      </c>
      <c r="B33" s="155" t="s">
        <v>107</v>
      </c>
      <c r="C33" s="154" t="s">
        <v>146</v>
      </c>
      <c r="D33" s="154" t="s">
        <v>147</v>
      </c>
      <c r="E33" s="168" t="s">
        <v>131</v>
      </c>
      <c r="F33" s="155">
        <v>6.0359999999999996</v>
      </c>
      <c r="G33" s="156">
        <v>56.24</v>
      </c>
      <c r="H33" s="156">
        <f t="shared" si="1"/>
        <v>339.46</v>
      </c>
      <c r="K33" s="161"/>
      <c r="L33" s="162"/>
    </row>
    <row r="34" spans="1:12" s="164" customFormat="1" ht="47.25" customHeight="1" x14ac:dyDescent="0.25">
      <c r="A34" s="155">
        <v>20</v>
      </c>
      <c r="B34" s="155" t="s">
        <v>107</v>
      </c>
      <c r="C34" s="154" t="s">
        <v>148</v>
      </c>
      <c r="D34" s="154" t="s">
        <v>149</v>
      </c>
      <c r="E34" s="168" t="s">
        <v>131</v>
      </c>
      <c r="F34" s="155">
        <v>44.1</v>
      </c>
      <c r="G34" s="156">
        <v>3.7</v>
      </c>
      <c r="H34" s="156">
        <f t="shared" si="1"/>
        <v>163.16999999999999</v>
      </c>
    </row>
    <row r="35" spans="1:12" s="164" customFormat="1" ht="31.5" customHeight="1" x14ac:dyDescent="0.25">
      <c r="A35" s="155">
        <v>21</v>
      </c>
      <c r="B35" s="155" t="s">
        <v>107</v>
      </c>
      <c r="C35" s="154" t="s">
        <v>150</v>
      </c>
      <c r="D35" s="154" t="s">
        <v>151</v>
      </c>
      <c r="E35" s="168" t="s">
        <v>131</v>
      </c>
      <c r="F35" s="155">
        <v>6.0359999999999996</v>
      </c>
      <c r="G35" s="156">
        <v>16.920000000000002</v>
      </c>
      <c r="H35" s="156">
        <f t="shared" si="1"/>
        <v>102.13</v>
      </c>
      <c r="K35" s="161"/>
    </row>
    <row r="36" spans="1:12" s="164" customFormat="1" ht="31.5" customHeight="1" x14ac:dyDescent="0.25">
      <c r="A36" s="155">
        <v>22</v>
      </c>
      <c r="B36" s="155" t="s">
        <v>107</v>
      </c>
      <c r="C36" s="154" t="s">
        <v>152</v>
      </c>
      <c r="D36" s="154" t="s">
        <v>153</v>
      </c>
      <c r="E36" s="168" t="s">
        <v>131</v>
      </c>
      <c r="F36" s="155">
        <v>7.4939292000000002</v>
      </c>
      <c r="G36" s="156">
        <v>6.66</v>
      </c>
      <c r="H36" s="156">
        <f t="shared" si="1"/>
        <v>49.91</v>
      </c>
      <c r="K36" s="161"/>
    </row>
    <row r="37" spans="1:12" s="164" customFormat="1" ht="47.25" customHeight="1" x14ac:dyDescent="0.25">
      <c r="A37" s="155">
        <v>23</v>
      </c>
      <c r="B37" s="155" t="s">
        <v>107</v>
      </c>
      <c r="C37" s="154" t="s">
        <v>154</v>
      </c>
      <c r="D37" s="154" t="s">
        <v>155</v>
      </c>
      <c r="E37" s="168" t="s">
        <v>131</v>
      </c>
      <c r="F37" s="155">
        <v>7.1935295000000004</v>
      </c>
      <c r="G37" s="156">
        <v>6.82</v>
      </c>
      <c r="H37" s="156">
        <f t="shared" si="1"/>
        <v>49.06</v>
      </c>
      <c r="K37" s="161"/>
    </row>
    <row r="38" spans="1:12" s="164" customFormat="1" ht="31.5" customHeight="1" x14ac:dyDescent="0.25">
      <c r="A38" s="155">
        <v>24</v>
      </c>
      <c r="B38" s="155" t="s">
        <v>107</v>
      </c>
      <c r="C38" s="154" t="s">
        <v>156</v>
      </c>
      <c r="D38" s="154" t="s">
        <v>157</v>
      </c>
      <c r="E38" s="168" t="s">
        <v>131</v>
      </c>
      <c r="F38" s="155">
        <v>13.56</v>
      </c>
      <c r="G38" s="156">
        <v>3.28</v>
      </c>
      <c r="H38" s="156">
        <f t="shared" si="1"/>
        <v>44.48</v>
      </c>
      <c r="K38" s="161"/>
    </row>
    <row r="39" spans="1:12" s="164" customFormat="1" x14ac:dyDescent="0.25">
      <c r="A39" s="155">
        <v>25</v>
      </c>
      <c r="B39" s="155" t="s">
        <v>107</v>
      </c>
      <c r="C39" s="154" t="s">
        <v>158</v>
      </c>
      <c r="D39" s="154" t="s">
        <v>159</v>
      </c>
      <c r="E39" s="168" t="s">
        <v>131</v>
      </c>
      <c r="F39" s="155">
        <v>1.22818</v>
      </c>
      <c r="G39" s="156">
        <v>30.46</v>
      </c>
      <c r="H39" s="156">
        <f t="shared" si="1"/>
        <v>37.409999999999997</v>
      </c>
      <c r="K39" s="161"/>
    </row>
    <row r="40" spans="1:12" s="164" customFormat="1" x14ac:dyDescent="0.25">
      <c r="A40" s="155">
        <v>26</v>
      </c>
      <c r="B40" s="155" t="s">
        <v>107</v>
      </c>
      <c r="C40" s="154" t="s">
        <v>160</v>
      </c>
      <c r="D40" s="154" t="s">
        <v>161</v>
      </c>
      <c r="E40" s="168" t="s">
        <v>131</v>
      </c>
      <c r="F40" s="155">
        <v>6.0359999999999996</v>
      </c>
      <c r="G40" s="156">
        <v>2.36</v>
      </c>
      <c r="H40" s="156">
        <f t="shared" si="1"/>
        <v>14.24</v>
      </c>
      <c r="K40" s="161"/>
    </row>
    <row r="41" spans="1:12" s="164" customFormat="1" ht="31.5" customHeight="1" x14ac:dyDescent="0.25">
      <c r="A41" s="155">
        <v>27</v>
      </c>
      <c r="B41" s="155" t="s">
        <v>107</v>
      </c>
      <c r="C41" s="154" t="s">
        <v>162</v>
      </c>
      <c r="D41" s="154" t="s">
        <v>163</v>
      </c>
      <c r="E41" s="168" t="s">
        <v>131</v>
      </c>
      <c r="F41" s="155">
        <v>13.56</v>
      </c>
      <c r="G41" s="156">
        <v>0.9</v>
      </c>
      <c r="H41" s="156">
        <f t="shared" si="1"/>
        <v>12.2</v>
      </c>
      <c r="K41" s="161"/>
    </row>
    <row r="42" spans="1:12" s="164" customFormat="1" x14ac:dyDescent="0.25">
      <c r="A42" s="155">
        <v>28</v>
      </c>
      <c r="B42" s="155" t="s">
        <v>107</v>
      </c>
      <c r="C42" s="154" t="s">
        <v>164</v>
      </c>
      <c r="D42" s="154" t="s">
        <v>165</v>
      </c>
      <c r="E42" s="168" t="s">
        <v>131</v>
      </c>
      <c r="F42" s="155">
        <v>0.52234499999999995</v>
      </c>
      <c r="G42" s="156">
        <v>19.760000000000002</v>
      </c>
      <c r="H42" s="156">
        <f t="shared" si="1"/>
        <v>10.32</v>
      </c>
      <c r="K42" s="161"/>
    </row>
    <row r="43" spans="1:12" s="164" customFormat="1" x14ac:dyDescent="0.25">
      <c r="A43" s="155">
        <v>29</v>
      </c>
      <c r="B43" s="155" t="s">
        <v>107</v>
      </c>
      <c r="C43" s="154" t="s">
        <v>166</v>
      </c>
      <c r="D43" s="154" t="s">
        <v>167</v>
      </c>
      <c r="E43" s="168" t="s">
        <v>131</v>
      </c>
      <c r="F43" s="155">
        <v>4.25</v>
      </c>
      <c r="G43" s="156">
        <v>1.2</v>
      </c>
      <c r="H43" s="156">
        <f t="shared" si="1"/>
        <v>5.0999999999999996</v>
      </c>
      <c r="K43" s="161"/>
    </row>
    <row r="44" spans="1:12" s="164" customFormat="1" ht="31.5" customHeight="1" x14ac:dyDescent="0.25">
      <c r="A44" s="155">
        <v>30</v>
      </c>
      <c r="B44" s="155" t="s">
        <v>107</v>
      </c>
      <c r="C44" s="154" t="s">
        <v>168</v>
      </c>
      <c r="D44" s="154" t="s">
        <v>169</v>
      </c>
      <c r="E44" s="168" t="s">
        <v>131</v>
      </c>
      <c r="F44" s="155">
        <v>0.86099689999999995</v>
      </c>
      <c r="G44" s="156">
        <v>1.7</v>
      </c>
      <c r="H44" s="156">
        <f t="shared" si="1"/>
        <v>1.46</v>
      </c>
      <c r="K44" s="161"/>
    </row>
    <row r="45" spans="1:12" s="164" customFormat="1" x14ac:dyDescent="0.25">
      <c r="A45" s="155">
        <v>31</v>
      </c>
      <c r="B45" s="155" t="s">
        <v>107</v>
      </c>
      <c r="C45" s="154" t="s">
        <v>170</v>
      </c>
      <c r="D45" s="154" t="s">
        <v>171</v>
      </c>
      <c r="E45" s="168" t="s">
        <v>131</v>
      </c>
      <c r="F45" s="155">
        <v>1.09969E-2</v>
      </c>
      <c r="G45" s="156">
        <v>89.99</v>
      </c>
      <c r="H45" s="156">
        <f t="shared" si="1"/>
        <v>0.99</v>
      </c>
      <c r="K45" s="161"/>
    </row>
    <row r="46" spans="1:12" x14ac:dyDescent="0.25">
      <c r="A46" s="225" t="s">
        <v>43</v>
      </c>
      <c r="B46" s="226"/>
      <c r="C46" s="227"/>
      <c r="D46" s="227"/>
      <c r="E46" s="226"/>
      <c r="F46" s="159"/>
      <c r="G46" s="160"/>
      <c r="H46" s="160">
        <f>SUM(H47:H83)</f>
        <v>1334954.3899999999</v>
      </c>
    </row>
    <row r="47" spans="1:12" s="164" customFormat="1" ht="31.5" customHeight="1" x14ac:dyDescent="0.25">
      <c r="A47" s="155">
        <v>32</v>
      </c>
      <c r="B47" s="155" t="s">
        <v>107</v>
      </c>
      <c r="C47" s="154" t="s">
        <v>172</v>
      </c>
      <c r="D47" s="154" t="s">
        <v>173</v>
      </c>
      <c r="E47" s="168" t="s">
        <v>174</v>
      </c>
      <c r="F47" s="155">
        <v>1</v>
      </c>
      <c r="G47" s="156">
        <v>259933.87</v>
      </c>
      <c r="H47" s="156">
        <f t="shared" ref="H47:H83" si="2">ROUND(F47*G47,2)</f>
        <v>259933.87</v>
      </c>
      <c r="J47" s="161"/>
    </row>
    <row r="48" spans="1:12" s="164" customFormat="1" x14ac:dyDescent="0.25">
      <c r="A48" s="155">
        <v>33</v>
      </c>
      <c r="B48" s="155" t="s">
        <v>107</v>
      </c>
      <c r="C48" s="154" t="s">
        <v>175</v>
      </c>
      <c r="D48" s="154" t="s">
        <v>176</v>
      </c>
      <c r="E48" s="168" t="s">
        <v>177</v>
      </c>
      <c r="F48" s="155">
        <v>3.74</v>
      </c>
      <c r="G48" s="156">
        <v>68400</v>
      </c>
      <c r="H48" s="156">
        <f t="shared" si="2"/>
        <v>255816</v>
      </c>
      <c r="J48" s="161"/>
    </row>
    <row r="49" spans="1:11" s="164" customFormat="1" x14ac:dyDescent="0.25">
      <c r="A49" s="155">
        <v>34</v>
      </c>
      <c r="B49" s="155" t="s">
        <v>107</v>
      </c>
      <c r="C49" s="154" t="s">
        <v>172</v>
      </c>
      <c r="D49" s="154" t="s">
        <v>178</v>
      </c>
      <c r="E49" s="168" t="s">
        <v>174</v>
      </c>
      <c r="F49" s="155">
        <v>8</v>
      </c>
      <c r="G49" s="156">
        <v>26987.96</v>
      </c>
      <c r="H49" s="156">
        <f t="shared" si="2"/>
        <v>215903.68</v>
      </c>
      <c r="J49" s="161"/>
    </row>
    <row r="50" spans="1:11" s="164" customFormat="1" ht="31.5" customHeight="1" x14ac:dyDescent="0.25">
      <c r="A50" s="155">
        <v>35</v>
      </c>
      <c r="B50" s="155" t="s">
        <v>107</v>
      </c>
      <c r="C50" s="154" t="s">
        <v>172</v>
      </c>
      <c r="D50" s="154" t="s">
        <v>179</v>
      </c>
      <c r="E50" s="168" t="s">
        <v>174</v>
      </c>
      <c r="F50" s="155">
        <v>3</v>
      </c>
      <c r="G50" s="156">
        <v>51888.959999999999</v>
      </c>
      <c r="H50" s="156">
        <f t="shared" si="2"/>
        <v>155666.88</v>
      </c>
      <c r="J50" s="161"/>
    </row>
    <row r="51" spans="1:11" s="164" customFormat="1" x14ac:dyDescent="0.25">
      <c r="A51" s="155">
        <v>36</v>
      </c>
      <c r="B51" s="155" t="s">
        <v>107</v>
      </c>
      <c r="C51" s="154" t="s">
        <v>172</v>
      </c>
      <c r="D51" s="154" t="s">
        <v>180</v>
      </c>
      <c r="E51" s="168" t="s">
        <v>174</v>
      </c>
      <c r="F51" s="155">
        <v>6</v>
      </c>
      <c r="G51" s="156">
        <v>19543.009999999998</v>
      </c>
      <c r="H51" s="156">
        <f t="shared" si="2"/>
        <v>117258.06</v>
      </c>
      <c r="J51" s="161"/>
    </row>
    <row r="52" spans="1:11" s="164" customFormat="1" ht="31.5" customHeight="1" x14ac:dyDescent="0.25">
      <c r="A52" s="155">
        <v>37</v>
      </c>
      <c r="B52" s="155" t="s">
        <v>107</v>
      </c>
      <c r="C52" s="154" t="s">
        <v>172</v>
      </c>
      <c r="D52" s="154" t="s">
        <v>181</v>
      </c>
      <c r="E52" s="168" t="s">
        <v>174</v>
      </c>
      <c r="F52" s="155">
        <v>2</v>
      </c>
      <c r="G52" s="156">
        <v>42129.34</v>
      </c>
      <c r="H52" s="156">
        <f t="shared" si="2"/>
        <v>84258.68</v>
      </c>
      <c r="J52" s="161"/>
    </row>
    <row r="53" spans="1:11" s="164" customFormat="1" x14ac:dyDescent="0.25">
      <c r="A53" s="155">
        <v>38</v>
      </c>
      <c r="B53" s="155" t="s">
        <v>107</v>
      </c>
      <c r="C53" s="154" t="s">
        <v>172</v>
      </c>
      <c r="D53" s="154" t="s">
        <v>182</v>
      </c>
      <c r="E53" s="168" t="s">
        <v>174</v>
      </c>
      <c r="F53" s="155">
        <v>4</v>
      </c>
      <c r="G53" s="156">
        <v>17978.77</v>
      </c>
      <c r="H53" s="156">
        <f t="shared" si="2"/>
        <v>71915.08</v>
      </c>
      <c r="J53" s="161"/>
    </row>
    <row r="54" spans="1:11" s="164" customFormat="1" ht="47.25" customHeight="1" x14ac:dyDescent="0.25">
      <c r="A54" s="155">
        <v>39</v>
      </c>
      <c r="B54" s="155" t="s">
        <v>107</v>
      </c>
      <c r="C54" s="154" t="s">
        <v>183</v>
      </c>
      <c r="D54" s="154" t="s">
        <v>184</v>
      </c>
      <c r="E54" s="168" t="s">
        <v>185</v>
      </c>
      <c r="F54" s="155">
        <v>457</v>
      </c>
      <c r="G54" s="156">
        <v>116.52</v>
      </c>
      <c r="H54" s="156">
        <f t="shared" si="2"/>
        <v>53249.64</v>
      </c>
      <c r="J54" s="161"/>
    </row>
    <row r="55" spans="1:11" s="164" customFormat="1" x14ac:dyDescent="0.25">
      <c r="A55" s="155">
        <v>40</v>
      </c>
      <c r="B55" s="155" t="s">
        <v>107</v>
      </c>
      <c r="C55" s="154" t="s">
        <v>186</v>
      </c>
      <c r="D55" s="154" t="s">
        <v>187</v>
      </c>
      <c r="E55" s="168" t="s">
        <v>188</v>
      </c>
      <c r="F55" s="155">
        <v>6</v>
      </c>
      <c r="G55" s="156">
        <v>3463.94</v>
      </c>
      <c r="H55" s="156">
        <f t="shared" si="2"/>
        <v>20783.64</v>
      </c>
      <c r="J55" s="161"/>
    </row>
    <row r="56" spans="1:11" s="164" customFormat="1" ht="78.75" customHeight="1" x14ac:dyDescent="0.25">
      <c r="A56" s="155">
        <v>41</v>
      </c>
      <c r="B56" s="155" t="s">
        <v>107</v>
      </c>
      <c r="C56" s="154" t="s">
        <v>189</v>
      </c>
      <c r="D56" s="154" t="s">
        <v>190</v>
      </c>
      <c r="E56" s="168" t="s">
        <v>185</v>
      </c>
      <c r="F56" s="155">
        <v>6</v>
      </c>
      <c r="G56" s="156">
        <v>1958.38</v>
      </c>
      <c r="H56" s="156">
        <f t="shared" si="2"/>
        <v>11750.28</v>
      </c>
      <c r="J56" s="161"/>
    </row>
    <row r="57" spans="1:11" s="164" customFormat="1" ht="31.5" customHeight="1" x14ac:dyDescent="0.25">
      <c r="A57" s="155">
        <v>42</v>
      </c>
      <c r="B57" s="155" t="s">
        <v>107</v>
      </c>
      <c r="C57" s="154" t="s">
        <v>191</v>
      </c>
      <c r="D57" s="154" t="s">
        <v>192</v>
      </c>
      <c r="E57" s="168" t="s">
        <v>188</v>
      </c>
      <c r="F57" s="155">
        <v>24</v>
      </c>
      <c r="G57" s="156">
        <v>410.04</v>
      </c>
      <c r="H57" s="156">
        <f t="shared" si="2"/>
        <v>9840.9599999999991</v>
      </c>
      <c r="J57" s="161"/>
    </row>
    <row r="58" spans="1:11" s="164" customFormat="1" x14ac:dyDescent="0.25">
      <c r="A58" s="155">
        <v>43</v>
      </c>
      <c r="B58" s="155" t="s">
        <v>107</v>
      </c>
      <c r="C58" s="154" t="s">
        <v>172</v>
      </c>
      <c r="D58" s="154" t="s">
        <v>193</v>
      </c>
      <c r="E58" s="168" t="s">
        <v>174</v>
      </c>
      <c r="F58" s="155">
        <v>1</v>
      </c>
      <c r="G58" s="156">
        <v>9028.99</v>
      </c>
      <c r="H58" s="156">
        <f t="shared" si="2"/>
        <v>9028.99</v>
      </c>
      <c r="J58" s="161"/>
    </row>
    <row r="59" spans="1:11" s="164" customFormat="1" ht="31.5" customHeight="1" x14ac:dyDescent="0.25">
      <c r="A59" s="155">
        <v>44</v>
      </c>
      <c r="B59" s="155" t="s">
        <v>107</v>
      </c>
      <c r="C59" s="154" t="s">
        <v>194</v>
      </c>
      <c r="D59" s="154" t="s">
        <v>195</v>
      </c>
      <c r="E59" s="168" t="s">
        <v>185</v>
      </c>
      <c r="F59" s="155">
        <v>38</v>
      </c>
      <c r="G59" s="156">
        <v>187</v>
      </c>
      <c r="H59" s="156">
        <f t="shared" si="2"/>
        <v>7106</v>
      </c>
      <c r="J59" s="161"/>
      <c r="K59" s="162"/>
    </row>
    <row r="60" spans="1:11" s="164" customFormat="1" x14ac:dyDescent="0.25">
      <c r="A60" s="155">
        <v>45</v>
      </c>
      <c r="B60" s="155" t="s">
        <v>107</v>
      </c>
      <c r="C60" s="154" t="s">
        <v>172</v>
      </c>
      <c r="D60" s="154" t="s">
        <v>196</v>
      </c>
      <c r="E60" s="168" t="s">
        <v>174</v>
      </c>
      <c r="F60" s="155">
        <v>28</v>
      </c>
      <c r="G60" s="156">
        <v>218.79</v>
      </c>
      <c r="H60" s="156">
        <f t="shared" si="2"/>
        <v>6126.12</v>
      </c>
      <c r="K60" s="161"/>
    </row>
    <row r="61" spans="1:11" s="164" customFormat="1" ht="31.5" customHeight="1" x14ac:dyDescent="0.25">
      <c r="A61" s="155">
        <v>46</v>
      </c>
      <c r="B61" s="155" t="s">
        <v>107</v>
      </c>
      <c r="C61" s="154" t="s">
        <v>197</v>
      </c>
      <c r="D61" s="154" t="s">
        <v>198</v>
      </c>
      <c r="E61" s="168" t="s">
        <v>185</v>
      </c>
      <c r="F61" s="155">
        <v>31</v>
      </c>
      <c r="G61" s="156">
        <v>182.89</v>
      </c>
      <c r="H61" s="156">
        <f t="shared" si="2"/>
        <v>5669.59</v>
      </c>
      <c r="K61" s="161"/>
    </row>
    <row r="62" spans="1:11" s="164" customFormat="1" x14ac:dyDescent="0.25">
      <c r="A62" s="155">
        <v>47</v>
      </c>
      <c r="B62" s="155" t="s">
        <v>107</v>
      </c>
      <c r="C62" s="154" t="s">
        <v>172</v>
      </c>
      <c r="D62" s="154" t="s">
        <v>199</v>
      </c>
      <c r="E62" s="168" t="s">
        <v>174</v>
      </c>
      <c r="F62" s="155">
        <v>26</v>
      </c>
      <c r="G62" s="156">
        <v>213.84</v>
      </c>
      <c r="H62" s="156">
        <f t="shared" si="2"/>
        <v>5559.84</v>
      </c>
      <c r="K62" s="161"/>
    </row>
    <row r="63" spans="1:11" s="164" customFormat="1" ht="31.5" customHeight="1" x14ac:dyDescent="0.25">
      <c r="A63" s="155">
        <v>48</v>
      </c>
      <c r="B63" s="155" t="s">
        <v>107</v>
      </c>
      <c r="C63" s="154" t="s">
        <v>200</v>
      </c>
      <c r="D63" s="154" t="s">
        <v>201</v>
      </c>
      <c r="E63" s="168" t="s">
        <v>185</v>
      </c>
      <c r="F63" s="155">
        <v>6</v>
      </c>
      <c r="G63" s="156">
        <v>809.71</v>
      </c>
      <c r="H63" s="156">
        <f t="shared" si="2"/>
        <v>4858.26</v>
      </c>
      <c r="K63" s="161"/>
    </row>
    <row r="64" spans="1:11" s="164" customFormat="1" x14ac:dyDescent="0.25">
      <c r="A64" s="155">
        <v>49</v>
      </c>
      <c r="B64" s="155" t="s">
        <v>107</v>
      </c>
      <c r="C64" s="154" t="s">
        <v>172</v>
      </c>
      <c r="D64" s="154" t="s">
        <v>202</v>
      </c>
      <c r="E64" s="168" t="s">
        <v>185</v>
      </c>
      <c r="F64" s="155">
        <v>6</v>
      </c>
      <c r="G64" s="156">
        <v>752.42</v>
      </c>
      <c r="H64" s="156">
        <f t="shared" si="2"/>
        <v>4514.5200000000004</v>
      </c>
      <c r="K64" s="161"/>
    </row>
    <row r="65" spans="1:11" s="164" customFormat="1" x14ac:dyDescent="0.25">
      <c r="A65" s="155">
        <v>50</v>
      </c>
      <c r="B65" s="155" t="s">
        <v>107</v>
      </c>
      <c r="C65" s="154" t="s">
        <v>172</v>
      </c>
      <c r="D65" s="154" t="s">
        <v>203</v>
      </c>
      <c r="E65" s="168" t="s">
        <v>174</v>
      </c>
      <c r="F65" s="155">
        <v>2</v>
      </c>
      <c r="G65" s="156">
        <v>2110.7199999999998</v>
      </c>
      <c r="H65" s="156">
        <f t="shared" si="2"/>
        <v>4221.4399999999996</v>
      </c>
      <c r="K65" s="161"/>
    </row>
    <row r="66" spans="1:11" s="164" customFormat="1" ht="78.75" customHeight="1" x14ac:dyDescent="0.25">
      <c r="A66" s="155">
        <v>51</v>
      </c>
      <c r="B66" s="155" t="s">
        <v>107</v>
      </c>
      <c r="C66" s="154" t="s">
        <v>204</v>
      </c>
      <c r="D66" s="154" t="s">
        <v>205</v>
      </c>
      <c r="E66" s="168" t="s">
        <v>188</v>
      </c>
      <c r="F66" s="155">
        <v>6</v>
      </c>
      <c r="G66" s="156">
        <v>688.2</v>
      </c>
      <c r="H66" s="156">
        <f t="shared" si="2"/>
        <v>4129.2</v>
      </c>
      <c r="K66" s="161"/>
    </row>
    <row r="67" spans="1:11" s="164" customFormat="1" x14ac:dyDescent="0.25">
      <c r="A67" s="155">
        <v>52</v>
      </c>
      <c r="B67" s="155" t="s">
        <v>107</v>
      </c>
      <c r="C67" s="154" t="s">
        <v>172</v>
      </c>
      <c r="D67" s="154" t="s">
        <v>206</v>
      </c>
      <c r="E67" s="168" t="s">
        <v>174</v>
      </c>
      <c r="F67" s="155">
        <v>16</v>
      </c>
      <c r="G67" s="156">
        <v>249.49</v>
      </c>
      <c r="H67" s="156">
        <f t="shared" si="2"/>
        <v>3991.84</v>
      </c>
      <c r="K67" s="161"/>
    </row>
    <row r="68" spans="1:11" s="164" customFormat="1" x14ac:dyDescent="0.25">
      <c r="A68" s="155">
        <v>53</v>
      </c>
      <c r="B68" s="155" t="s">
        <v>107</v>
      </c>
      <c r="C68" s="154" t="s">
        <v>172</v>
      </c>
      <c r="D68" s="154" t="s">
        <v>207</v>
      </c>
      <c r="E68" s="168" t="s">
        <v>174</v>
      </c>
      <c r="F68" s="155">
        <v>16</v>
      </c>
      <c r="G68" s="156">
        <v>218.79</v>
      </c>
      <c r="H68" s="156">
        <f t="shared" si="2"/>
        <v>3500.64</v>
      </c>
      <c r="K68" s="161"/>
    </row>
    <row r="69" spans="1:11" s="164" customFormat="1" x14ac:dyDescent="0.25">
      <c r="A69" s="155">
        <v>54</v>
      </c>
      <c r="B69" s="155" t="s">
        <v>107</v>
      </c>
      <c r="C69" s="154" t="s">
        <v>172</v>
      </c>
      <c r="D69" s="154" t="s">
        <v>208</v>
      </c>
      <c r="E69" s="168" t="s">
        <v>174</v>
      </c>
      <c r="F69" s="155">
        <v>2</v>
      </c>
      <c r="G69" s="156">
        <v>1643.43</v>
      </c>
      <c r="H69" s="156">
        <f t="shared" si="2"/>
        <v>3286.86</v>
      </c>
      <c r="K69" s="161"/>
    </row>
    <row r="70" spans="1:11" s="164" customFormat="1" x14ac:dyDescent="0.25">
      <c r="A70" s="155">
        <v>55</v>
      </c>
      <c r="B70" s="155" t="s">
        <v>107</v>
      </c>
      <c r="C70" s="154" t="s">
        <v>209</v>
      </c>
      <c r="D70" s="154" t="s">
        <v>210</v>
      </c>
      <c r="E70" s="168" t="s">
        <v>185</v>
      </c>
      <c r="F70" s="155">
        <v>7</v>
      </c>
      <c r="G70" s="156">
        <v>422.41</v>
      </c>
      <c r="H70" s="156">
        <f t="shared" si="2"/>
        <v>2956.87</v>
      </c>
      <c r="K70" s="161"/>
    </row>
    <row r="71" spans="1:11" s="164" customFormat="1" ht="63" customHeight="1" x14ac:dyDescent="0.25">
      <c r="A71" s="155">
        <v>56</v>
      </c>
      <c r="B71" s="155" t="s">
        <v>107</v>
      </c>
      <c r="C71" s="154" t="s">
        <v>211</v>
      </c>
      <c r="D71" s="154" t="s">
        <v>212</v>
      </c>
      <c r="E71" s="168" t="s">
        <v>185</v>
      </c>
      <c r="F71" s="155">
        <v>17</v>
      </c>
      <c r="G71" s="156">
        <v>168.8</v>
      </c>
      <c r="H71" s="156">
        <f t="shared" si="2"/>
        <v>2869.6</v>
      </c>
      <c r="K71" s="161"/>
    </row>
    <row r="72" spans="1:11" s="164" customFormat="1" ht="31.5" customHeight="1" x14ac:dyDescent="0.25">
      <c r="A72" s="155">
        <v>57</v>
      </c>
      <c r="B72" s="155" t="s">
        <v>107</v>
      </c>
      <c r="C72" s="154" t="s">
        <v>172</v>
      </c>
      <c r="D72" s="154" t="s">
        <v>213</v>
      </c>
      <c r="E72" s="168" t="s">
        <v>174</v>
      </c>
      <c r="F72" s="155">
        <v>2</v>
      </c>
      <c r="G72" s="156">
        <v>1073.18</v>
      </c>
      <c r="H72" s="156">
        <f t="shared" si="2"/>
        <v>2146.36</v>
      </c>
      <c r="K72" s="161"/>
    </row>
    <row r="73" spans="1:11" s="164" customFormat="1" ht="31.5" customHeight="1" x14ac:dyDescent="0.25">
      <c r="A73" s="155">
        <v>58</v>
      </c>
      <c r="B73" s="155"/>
      <c r="C73" s="154" t="s">
        <v>214</v>
      </c>
      <c r="D73" s="154" t="s">
        <v>215</v>
      </c>
      <c r="E73" s="168" t="s">
        <v>185</v>
      </c>
      <c r="F73" s="155">
        <v>6</v>
      </c>
      <c r="G73" s="156">
        <v>243.85</v>
      </c>
      <c r="H73" s="156">
        <f t="shared" si="2"/>
        <v>1463.1</v>
      </c>
      <c r="K73" s="161"/>
    </row>
    <row r="74" spans="1:11" s="164" customFormat="1" x14ac:dyDescent="0.25">
      <c r="A74" s="155">
        <v>59</v>
      </c>
      <c r="B74" s="155"/>
      <c r="C74" s="154" t="s">
        <v>216</v>
      </c>
      <c r="D74" s="154" t="s">
        <v>217</v>
      </c>
      <c r="E74" s="168" t="s">
        <v>185</v>
      </c>
      <c r="F74" s="155">
        <v>38</v>
      </c>
      <c r="G74" s="156">
        <v>38.380000000000003</v>
      </c>
      <c r="H74" s="156">
        <f t="shared" si="2"/>
        <v>1458.44</v>
      </c>
      <c r="K74" s="161"/>
    </row>
    <row r="75" spans="1:11" s="164" customFormat="1" x14ac:dyDescent="0.25">
      <c r="A75" s="155">
        <v>60</v>
      </c>
      <c r="B75" s="155"/>
      <c r="C75" s="154" t="s">
        <v>172</v>
      </c>
      <c r="D75" s="154" t="s">
        <v>218</v>
      </c>
      <c r="E75" s="168" t="s">
        <v>174</v>
      </c>
      <c r="F75" s="155">
        <v>6</v>
      </c>
      <c r="G75" s="156">
        <v>213.84</v>
      </c>
      <c r="H75" s="156">
        <f t="shared" si="2"/>
        <v>1283.04</v>
      </c>
      <c r="K75" s="161"/>
    </row>
    <row r="76" spans="1:11" s="164" customFormat="1" ht="63" customHeight="1" x14ac:dyDescent="0.25">
      <c r="A76" s="155">
        <v>61</v>
      </c>
      <c r="B76" s="155"/>
      <c r="C76" s="154" t="s">
        <v>219</v>
      </c>
      <c r="D76" s="154" t="s">
        <v>220</v>
      </c>
      <c r="E76" s="168" t="s">
        <v>185</v>
      </c>
      <c r="F76" s="155">
        <v>3</v>
      </c>
      <c r="G76" s="156">
        <v>396.74</v>
      </c>
      <c r="H76" s="156">
        <f t="shared" si="2"/>
        <v>1190.22</v>
      </c>
      <c r="K76" s="161"/>
    </row>
    <row r="77" spans="1:11" s="164" customFormat="1" ht="31.5" customHeight="1" x14ac:dyDescent="0.25">
      <c r="A77" s="155">
        <v>62</v>
      </c>
      <c r="B77" s="155"/>
      <c r="C77" s="154" t="s">
        <v>172</v>
      </c>
      <c r="D77" s="154" t="s">
        <v>221</v>
      </c>
      <c r="E77" s="168" t="s">
        <v>174</v>
      </c>
      <c r="F77" s="155">
        <v>3</v>
      </c>
      <c r="G77" s="156">
        <v>279.19</v>
      </c>
      <c r="H77" s="156">
        <f t="shared" si="2"/>
        <v>837.57</v>
      </c>
      <c r="K77" s="161"/>
    </row>
    <row r="78" spans="1:11" s="164" customFormat="1" ht="31.5" customHeight="1" x14ac:dyDescent="0.25">
      <c r="A78" s="155">
        <v>63</v>
      </c>
      <c r="B78" s="155"/>
      <c r="C78" s="154" t="s">
        <v>222</v>
      </c>
      <c r="D78" s="154" t="s">
        <v>223</v>
      </c>
      <c r="E78" s="168" t="s">
        <v>185</v>
      </c>
      <c r="F78" s="155">
        <v>1</v>
      </c>
      <c r="G78" s="156">
        <v>627.51</v>
      </c>
      <c r="H78" s="156">
        <f t="shared" si="2"/>
        <v>627.51</v>
      </c>
      <c r="K78" s="161"/>
    </row>
    <row r="79" spans="1:11" s="164" customFormat="1" x14ac:dyDescent="0.25">
      <c r="A79" s="155">
        <v>64</v>
      </c>
      <c r="B79" s="155"/>
      <c r="C79" s="154" t="s">
        <v>224</v>
      </c>
      <c r="D79" s="154" t="s">
        <v>225</v>
      </c>
      <c r="E79" s="168" t="s">
        <v>185</v>
      </c>
      <c r="F79" s="155">
        <v>1</v>
      </c>
      <c r="G79" s="156">
        <v>614.85</v>
      </c>
      <c r="H79" s="156">
        <f t="shared" si="2"/>
        <v>614.85</v>
      </c>
      <c r="K79" s="161"/>
    </row>
    <row r="80" spans="1:11" s="164" customFormat="1" ht="47.25" customHeight="1" x14ac:dyDescent="0.25">
      <c r="A80" s="155">
        <v>65</v>
      </c>
      <c r="B80" s="155"/>
      <c r="C80" s="154" t="s">
        <v>226</v>
      </c>
      <c r="D80" s="154" t="s">
        <v>227</v>
      </c>
      <c r="E80" s="168" t="s">
        <v>188</v>
      </c>
      <c r="F80" s="155">
        <v>5.4</v>
      </c>
      <c r="G80" s="156">
        <v>62.4</v>
      </c>
      <c r="H80" s="156">
        <f t="shared" si="2"/>
        <v>336.96</v>
      </c>
      <c r="K80" s="161"/>
    </row>
    <row r="81" spans="1:11" s="164" customFormat="1" x14ac:dyDescent="0.25">
      <c r="A81" s="155">
        <v>66</v>
      </c>
      <c r="B81" s="155"/>
      <c r="C81" s="154" t="s">
        <v>228</v>
      </c>
      <c r="D81" s="154" t="s">
        <v>229</v>
      </c>
      <c r="E81" s="168" t="s">
        <v>185</v>
      </c>
      <c r="F81" s="155">
        <v>7</v>
      </c>
      <c r="G81" s="156">
        <v>44.3</v>
      </c>
      <c r="H81" s="156">
        <f t="shared" si="2"/>
        <v>310.10000000000002</v>
      </c>
      <c r="K81" s="161"/>
    </row>
    <row r="82" spans="1:11" s="164" customFormat="1" ht="47.25" customHeight="1" x14ac:dyDescent="0.25">
      <c r="A82" s="155">
        <v>67</v>
      </c>
      <c r="B82" s="155"/>
      <c r="C82" s="154" t="s">
        <v>230</v>
      </c>
      <c r="D82" s="154" t="s">
        <v>231</v>
      </c>
      <c r="E82" s="168" t="s">
        <v>188</v>
      </c>
      <c r="F82" s="155">
        <v>1.6</v>
      </c>
      <c r="G82" s="156">
        <v>175.3</v>
      </c>
      <c r="H82" s="156">
        <f t="shared" si="2"/>
        <v>280.48</v>
      </c>
      <c r="K82" s="161"/>
    </row>
    <row r="83" spans="1:11" s="164" customFormat="1" ht="47.25" customHeight="1" x14ac:dyDescent="0.25">
      <c r="A83" s="155">
        <v>68</v>
      </c>
      <c r="B83" s="155"/>
      <c r="C83" s="154" t="s">
        <v>232</v>
      </c>
      <c r="D83" s="154" t="s">
        <v>233</v>
      </c>
      <c r="E83" s="168" t="s">
        <v>188</v>
      </c>
      <c r="F83" s="155">
        <v>2.2000000000000002</v>
      </c>
      <c r="G83" s="156">
        <v>95.1</v>
      </c>
      <c r="H83" s="156">
        <f t="shared" si="2"/>
        <v>209.22</v>
      </c>
      <c r="K83" s="161"/>
    </row>
    <row r="84" spans="1:11" x14ac:dyDescent="0.25">
      <c r="A84" s="225" t="s">
        <v>234</v>
      </c>
      <c r="B84" s="226"/>
      <c r="C84" s="227"/>
      <c r="D84" s="227"/>
      <c r="E84" s="226"/>
      <c r="F84" s="159"/>
      <c r="G84" s="160"/>
      <c r="H84" s="160">
        <f>SUM(H85:H171)</f>
        <v>60747.81</v>
      </c>
    </row>
    <row r="85" spans="1:11" ht="31.5" customHeight="1" x14ac:dyDescent="0.25">
      <c r="A85" s="155">
        <v>69</v>
      </c>
      <c r="B85" s="155" t="s">
        <v>107</v>
      </c>
      <c r="C85" s="154" t="s">
        <v>235</v>
      </c>
      <c r="D85" s="154" t="s">
        <v>236</v>
      </c>
      <c r="E85" s="168" t="s">
        <v>185</v>
      </c>
      <c r="F85" s="155">
        <v>38</v>
      </c>
      <c r="G85" s="156">
        <v>266.67</v>
      </c>
      <c r="H85" s="156">
        <f t="shared" ref="H85:H116" si="3">ROUND(F85*G85,2)</f>
        <v>10133.459999999999</v>
      </c>
      <c r="J85" s="161"/>
    </row>
    <row r="86" spans="1:11" ht="63" customHeight="1" x14ac:dyDescent="0.25">
      <c r="A86" s="155">
        <v>70</v>
      </c>
      <c r="B86" s="155" t="s">
        <v>107</v>
      </c>
      <c r="C86" s="154" t="s">
        <v>237</v>
      </c>
      <c r="D86" s="154" t="s">
        <v>238</v>
      </c>
      <c r="E86" s="168" t="s">
        <v>185</v>
      </c>
      <c r="F86" s="155">
        <v>50</v>
      </c>
      <c r="G86" s="156">
        <v>101.46</v>
      </c>
      <c r="H86" s="156">
        <f t="shared" si="3"/>
        <v>5073</v>
      </c>
      <c r="J86" s="161"/>
    </row>
    <row r="87" spans="1:11" x14ac:dyDescent="0.25">
      <c r="A87" s="155">
        <v>71</v>
      </c>
      <c r="B87" s="155" t="s">
        <v>107</v>
      </c>
      <c r="C87" s="154" t="s">
        <v>239</v>
      </c>
      <c r="D87" s="154" t="s">
        <v>240</v>
      </c>
      <c r="E87" s="168" t="s">
        <v>241</v>
      </c>
      <c r="F87" s="155">
        <v>380</v>
      </c>
      <c r="G87" s="156">
        <v>12.6</v>
      </c>
      <c r="H87" s="156">
        <f t="shared" si="3"/>
        <v>4788</v>
      </c>
      <c r="J87" s="161"/>
    </row>
    <row r="88" spans="1:11" ht="47.25" customHeight="1" x14ac:dyDescent="0.25">
      <c r="A88" s="155">
        <v>72</v>
      </c>
      <c r="B88" s="155" t="s">
        <v>107</v>
      </c>
      <c r="C88" s="154" t="s">
        <v>242</v>
      </c>
      <c r="D88" s="154" t="s">
        <v>243</v>
      </c>
      <c r="E88" s="168" t="s">
        <v>185</v>
      </c>
      <c r="F88" s="155">
        <v>99</v>
      </c>
      <c r="G88" s="156">
        <v>38.01</v>
      </c>
      <c r="H88" s="156">
        <f t="shared" si="3"/>
        <v>3762.99</v>
      </c>
      <c r="J88" s="161"/>
    </row>
    <row r="89" spans="1:11" ht="31.5" customHeight="1" x14ac:dyDescent="0.25">
      <c r="A89" s="155">
        <v>73</v>
      </c>
      <c r="B89" s="155" t="s">
        <v>107</v>
      </c>
      <c r="C89" s="154" t="s">
        <v>244</v>
      </c>
      <c r="D89" s="154" t="s">
        <v>245</v>
      </c>
      <c r="E89" s="168" t="s">
        <v>246</v>
      </c>
      <c r="F89" s="155">
        <v>0.54500000000000004</v>
      </c>
      <c r="G89" s="156">
        <v>5545.45</v>
      </c>
      <c r="H89" s="156">
        <f t="shared" si="3"/>
        <v>3022.27</v>
      </c>
      <c r="J89" s="161"/>
    </row>
    <row r="90" spans="1:11" ht="63" customHeight="1" x14ac:dyDescent="0.25">
      <c r="A90" s="155">
        <v>74</v>
      </c>
      <c r="B90" s="155" t="s">
        <v>107</v>
      </c>
      <c r="C90" s="154" t="s">
        <v>247</v>
      </c>
      <c r="D90" s="154" t="s">
        <v>248</v>
      </c>
      <c r="E90" s="168" t="s">
        <v>249</v>
      </c>
      <c r="F90" s="155">
        <v>88.47</v>
      </c>
      <c r="G90" s="156">
        <v>30.72</v>
      </c>
      <c r="H90" s="156">
        <f t="shared" si="3"/>
        <v>2717.8</v>
      </c>
      <c r="J90" s="161"/>
    </row>
    <row r="91" spans="1:11" ht="31.5" customHeight="1" x14ac:dyDescent="0.25">
      <c r="A91" s="155">
        <v>75</v>
      </c>
      <c r="B91" s="155" t="s">
        <v>107</v>
      </c>
      <c r="C91" s="154" t="s">
        <v>250</v>
      </c>
      <c r="D91" s="154" t="s">
        <v>251</v>
      </c>
      <c r="E91" s="168" t="s">
        <v>177</v>
      </c>
      <c r="F91" s="155">
        <v>0.4536</v>
      </c>
      <c r="G91" s="156">
        <v>5891.61</v>
      </c>
      <c r="H91" s="156">
        <f t="shared" si="3"/>
        <v>2672.43</v>
      </c>
      <c r="J91" s="161"/>
    </row>
    <row r="92" spans="1:11" ht="63" customHeight="1" x14ac:dyDescent="0.25">
      <c r="A92" s="155">
        <v>76</v>
      </c>
      <c r="B92" s="155" t="s">
        <v>107</v>
      </c>
      <c r="C92" s="154" t="s">
        <v>252</v>
      </c>
      <c r="D92" s="154" t="s">
        <v>253</v>
      </c>
      <c r="E92" s="168" t="s">
        <v>249</v>
      </c>
      <c r="F92" s="155">
        <v>54.4</v>
      </c>
      <c r="G92" s="156">
        <v>35.840000000000003</v>
      </c>
      <c r="H92" s="156">
        <f t="shared" si="3"/>
        <v>1949.7</v>
      </c>
      <c r="J92" s="161"/>
    </row>
    <row r="93" spans="1:11" ht="15.75" customHeight="1" x14ac:dyDescent="0.25">
      <c r="A93" s="155">
        <v>77</v>
      </c>
      <c r="B93" s="155" t="s">
        <v>107</v>
      </c>
      <c r="C93" s="154" t="s">
        <v>254</v>
      </c>
      <c r="D93" s="154" t="s">
        <v>255</v>
      </c>
      <c r="E93" s="168" t="s">
        <v>249</v>
      </c>
      <c r="F93" s="155">
        <v>63.02</v>
      </c>
      <c r="G93" s="156">
        <v>25.28</v>
      </c>
      <c r="H93" s="156">
        <f t="shared" si="3"/>
        <v>1593.15</v>
      </c>
      <c r="J93" s="161"/>
    </row>
    <row r="94" spans="1:11" ht="47.25" customHeight="1" x14ac:dyDescent="0.25">
      <c r="A94" s="155">
        <v>78</v>
      </c>
      <c r="B94" s="155" t="s">
        <v>107</v>
      </c>
      <c r="C94" s="154" t="s">
        <v>256</v>
      </c>
      <c r="D94" s="154" t="s">
        <v>257</v>
      </c>
      <c r="E94" s="168" t="s">
        <v>249</v>
      </c>
      <c r="F94" s="155">
        <v>55.8</v>
      </c>
      <c r="G94" s="156">
        <v>27.2</v>
      </c>
      <c r="H94" s="156">
        <f t="shared" si="3"/>
        <v>1517.76</v>
      </c>
      <c r="J94" s="161"/>
    </row>
    <row r="95" spans="1:11" ht="47.25" customHeight="1" x14ac:dyDescent="0.25">
      <c r="A95" s="155">
        <v>79</v>
      </c>
      <c r="B95" s="155" t="s">
        <v>107</v>
      </c>
      <c r="C95" s="154" t="s">
        <v>258</v>
      </c>
      <c r="D95" s="154" t="s">
        <v>259</v>
      </c>
      <c r="E95" s="168" t="s">
        <v>249</v>
      </c>
      <c r="F95" s="155">
        <v>32.58</v>
      </c>
      <c r="G95" s="156">
        <v>42.88</v>
      </c>
      <c r="H95" s="156">
        <f t="shared" si="3"/>
        <v>1397.03</v>
      </c>
      <c r="J95" s="161"/>
    </row>
    <row r="96" spans="1:11" ht="63" customHeight="1" x14ac:dyDescent="0.25">
      <c r="A96" s="155">
        <v>80</v>
      </c>
      <c r="B96" s="155" t="s">
        <v>107</v>
      </c>
      <c r="C96" s="154" t="s">
        <v>260</v>
      </c>
      <c r="D96" s="154" t="s">
        <v>261</v>
      </c>
      <c r="E96" s="168" t="s">
        <v>249</v>
      </c>
      <c r="F96" s="155">
        <v>22.2</v>
      </c>
      <c r="G96" s="156">
        <v>61.76</v>
      </c>
      <c r="H96" s="156">
        <f t="shared" si="3"/>
        <v>1371.07</v>
      </c>
      <c r="J96" s="161"/>
    </row>
    <row r="97" spans="1:11" ht="63" customHeight="1" x14ac:dyDescent="0.25">
      <c r="A97" s="155">
        <v>81</v>
      </c>
      <c r="B97" s="155" t="s">
        <v>107</v>
      </c>
      <c r="C97" s="154" t="s">
        <v>262</v>
      </c>
      <c r="D97" s="154" t="s">
        <v>263</v>
      </c>
      <c r="E97" s="168" t="s">
        <v>249</v>
      </c>
      <c r="F97" s="155">
        <v>13.074999999999999</v>
      </c>
      <c r="G97" s="156">
        <v>103.04</v>
      </c>
      <c r="H97" s="156">
        <f t="shared" si="3"/>
        <v>1347.25</v>
      </c>
      <c r="J97" s="161"/>
      <c r="K97" s="162"/>
    </row>
    <row r="98" spans="1:11" ht="63" customHeight="1" x14ac:dyDescent="0.25">
      <c r="A98" s="155">
        <v>82</v>
      </c>
      <c r="B98" s="155" t="s">
        <v>107</v>
      </c>
      <c r="C98" s="154" t="s">
        <v>264</v>
      </c>
      <c r="D98" s="154" t="s">
        <v>265</v>
      </c>
      <c r="E98" s="168" t="s">
        <v>249</v>
      </c>
      <c r="F98" s="155">
        <v>23.145</v>
      </c>
      <c r="G98" s="156">
        <v>53.12</v>
      </c>
      <c r="H98" s="156">
        <f t="shared" si="3"/>
        <v>1229.46</v>
      </c>
      <c r="J98" s="161"/>
    </row>
    <row r="99" spans="1:11" ht="31.5" customHeight="1" x14ac:dyDescent="0.25">
      <c r="A99" s="155">
        <v>83</v>
      </c>
      <c r="B99" s="155" t="s">
        <v>107</v>
      </c>
      <c r="C99" s="154" t="s">
        <v>266</v>
      </c>
      <c r="D99" s="154" t="s">
        <v>267</v>
      </c>
      <c r="E99" s="168" t="s">
        <v>268</v>
      </c>
      <c r="F99" s="155">
        <v>14.375</v>
      </c>
      <c r="G99" s="156">
        <v>83</v>
      </c>
      <c r="H99" s="156">
        <f t="shared" si="3"/>
        <v>1193.1300000000001</v>
      </c>
      <c r="J99" s="161"/>
    </row>
    <row r="100" spans="1:11" x14ac:dyDescent="0.25">
      <c r="A100" s="155">
        <v>84</v>
      </c>
      <c r="B100" s="155" t="s">
        <v>107</v>
      </c>
      <c r="C100" s="154" t="s">
        <v>269</v>
      </c>
      <c r="D100" s="154" t="s">
        <v>270</v>
      </c>
      <c r="E100" s="168" t="s">
        <v>177</v>
      </c>
      <c r="F100" s="155">
        <v>0.09</v>
      </c>
      <c r="G100" s="156">
        <v>11524</v>
      </c>
      <c r="H100" s="156">
        <f t="shared" si="3"/>
        <v>1037.1600000000001</v>
      </c>
      <c r="J100" s="161"/>
    </row>
    <row r="101" spans="1:11" ht="63" customHeight="1" x14ac:dyDescent="0.25">
      <c r="A101" s="155">
        <v>85</v>
      </c>
      <c r="B101" s="155" t="s">
        <v>107</v>
      </c>
      <c r="C101" s="154" t="s">
        <v>271</v>
      </c>
      <c r="D101" s="154" t="s">
        <v>272</v>
      </c>
      <c r="E101" s="168" t="s">
        <v>185</v>
      </c>
      <c r="F101" s="155">
        <v>9</v>
      </c>
      <c r="G101" s="156">
        <v>111.84</v>
      </c>
      <c r="H101" s="156">
        <f t="shared" si="3"/>
        <v>1006.56</v>
      </c>
      <c r="J101" s="161"/>
    </row>
    <row r="102" spans="1:11" ht="31.5" customHeight="1" x14ac:dyDescent="0.25">
      <c r="A102" s="155">
        <v>86</v>
      </c>
      <c r="B102" s="155" t="s">
        <v>107</v>
      </c>
      <c r="C102" s="154" t="s">
        <v>273</v>
      </c>
      <c r="D102" s="154" t="s">
        <v>274</v>
      </c>
      <c r="E102" s="168" t="s">
        <v>177</v>
      </c>
      <c r="F102" s="155">
        <v>0.1515</v>
      </c>
      <c r="G102" s="156">
        <v>5941.89</v>
      </c>
      <c r="H102" s="156">
        <f t="shared" si="3"/>
        <v>900.2</v>
      </c>
      <c r="J102" s="161"/>
    </row>
    <row r="103" spans="1:11" ht="47.25" customHeight="1" x14ac:dyDescent="0.25">
      <c r="A103" s="155">
        <v>87</v>
      </c>
      <c r="B103" s="155" t="s">
        <v>107</v>
      </c>
      <c r="C103" s="154" t="s">
        <v>275</v>
      </c>
      <c r="D103" s="154" t="s">
        <v>276</v>
      </c>
      <c r="E103" s="168" t="s">
        <v>185</v>
      </c>
      <c r="F103" s="155">
        <v>18</v>
      </c>
      <c r="G103" s="156">
        <v>48.28</v>
      </c>
      <c r="H103" s="156">
        <f t="shared" si="3"/>
        <v>869.04</v>
      </c>
      <c r="J103" s="161"/>
    </row>
    <row r="104" spans="1:11" ht="63" customHeight="1" x14ac:dyDescent="0.25">
      <c r="A104" s="155">
        <v>88</v>
      </c>
      <c r="B104" s="155" t="s">
        <v>107</v>
      </c>
      <c r="C104" s="154" t="s">
        <v>277</v>
      </c>
      <c r="D104" s="154" t="s">
        <v>278</v>
      </c>
      <c r="E104" s="168" t="s">
        <v>185</v>
      </c>
      <c r="F104" s="155">
        <v>9</v>
      </c>
      <c r="G104" s="156">
        <v>94.64</v>
      </c>
      <c r="H104" s="156">
        <f t="shared" si="3"/>
        <v>851.76</v>
      </c>
      <c r="J104" s="161"/>
    </row>
    <row r="105" spans="1:11" ht="31.5" customHeight="1" x14ac:dyDescent="0.25">
      <c r="A105" s="155">
        <v>89</v>
      </c>
      <c r="B105" s="155" t="s">
        <v>107</v>
      </c>
      <c r="C105" s="154" t="s">
        <v>279</v>
      </c>
      <c r="D105" s="154" t="s">
        <v>280</v>
      </c>
      <c r="E105" s="168" t="s">
        <v>249</v>
      </c>
      <c r="F105" s="155">
        <v>44.543999999999997</v>
      </c>
      <c r="G105" s="156">
        <v>15.13</v>
      </c>
      <c r="H105" s="156">
        <f t="shared" si="3"/>
        <v>673.95</v>
      </c>
      <c r="J105" s="161"/>
    </row>
    <row r="106" spans="1:11" x14ac:dyDescent="0.25">
      <c r="A106" s="155">
        <v>90</v>
      </c>
      <c r="B106" s="155" t="s">
        <v>107</v>
      </c>
      <c r="C106" s="154" t="s">
        <v>281</v>
      </c>
      <c r="D106" s="154" t="s">
        <v>282</v>
      </c>
      <c r="E106" s="168" t="s">
        <v>177</v>
      </c>
      <c r="F106" s="155">
        <v>2.2859999999999998E-2</v>
      </c>
      <c r="G106" s="156">
        <v>28300.400000000001</v>
      </c>
      <c r="H106" s="156">
        <f t="shared" si="3"/>
        <v>646.95000000000005</v>
      </c>
      <c r="J106" s="161"/>
    </row>
    <row r="107" spans="1:11" ht="31.5" customHeight="1" x14ac:dyDescent="0.25">
      <c r="A107" s="155">
        <v>91</v>
      </c>
      <c r="B107" s="155" t="s">
        <v>107</v>
      </c>
      <c r="C107" s="154" t="s">
        <v>283</v>
      </c>
      <c r="D107" s="154" t="s">
        <v>284</v>
      </c>
      <c r="E107" s="168" t="s">
        <v>285</v>
      </c>
      <c r="F107" s="155">
        <v>620.55140700000004</v>
      </c>
      <c r="G107" s="156">
        <v>1</v>
      </c>
      <c r="H107" s="156">
        <f t="shared" si="3"/>
        <v>620.54999999999995</v>
      </c>
      <c r="J107" s="161"/>
    </row>
    <row r="108" spans="1:11" ht="63" customHeight="1" x14ac:dyDescent="0.25">
      <c r="A108" s="155">
        <v>92</v>
      </c>
      <c r="B108" s="155" t="s">
        <v>107</v>
      </c>
      <c r="C108" s="154" t="s">
        <v>286</v>
      </c>
      <c r="D108" s="154" t="s">
        <v>287</v>
      </c>
      <c r="E108" s="168" t="s">
        <v>249</v>
      </c>
      <c r="F108" s="155">
        <v>7.52</v>
      </c>
      <c r="G108" s="156">
        <v>79.36</v>
      </c>
      <c r="H108" s="156">
        <f t="shared" si="3"/>
        <v>596.79</v>
      </c>
      <c r="J108" s="161"/>
    </row>
    <row r="109" spans="1:11" x14ac:dyDescent="0.25">
      <c r="A109" s="155">
        <v>93</v>
      </c>
      <c r="B109" s="155" t="s">
        <v>107</v>
      </c>
      <c r="C109" s="154" t="s">
        <v>288</v>
      </c>
      <c r="D109" s="154" t="s">
        <v>289</v>
      </c>
      <c r="E109" s="168" t="s">
        <v>177</v>
      </c>
      <c r="F109" s="155">
        <v>5.7804000000000001E-2</v>
      </c>
      <c r="G109" s="156">
        <v>10315.01</v>
      </c>
      <c r="H109" s="156">
        <f t="shared" si="3"/>
        <v>596.25</v>
      </c>
      <c r="J109" s="161"/>
    </row>
    <row r="110" spans="1:11" ht="31.5" customHeight="1" x14ac:dyDescent="0.25">
      <c r="A110" s="155">
        <v>94</v>
      </c>
      <c r="B110" s="155" t="s">
        <v>107</v>
      </c>
      <c r="C110" s="154" t="s">
        <v>290</v>
      </c>
      <c r="D110" s="154" t="s">
        <v>291</v>
      </c>
      <c r="E110" s="168" t="s">
        <v>241</v>
      </c>
      <c r="F110" s="155">
        <v>38</v>
      </c>
      <c r="G110" s="156">
        <v>15.14</v>
      </c>
      <c r="H110" s="156">
        <f t="shared" si="3"/>
        <v>575.32000000000005</v>
      </c>
      <c r="J110" s="161"/>
    </row>
    <row r="111" spans="1:11" ht="63" customHeight="1" x14ac:dyDescent="0.25">
      <c r="A111" s="155">
        <v>95</v>
      </c>
      <c r="B111" s="155" t="s">
        <v>107</v>
      </c>
      <c r="C111" s="154" t="s">
        <v>292</v>
      </c>
      <c r="D111" s="154" t="s">
        <v>293</v>
      </c>
      <c r="E111" s="168" t="s">
        <v>249</v>
      </c>
      <c r="F111" s="155">
        <v>13.385</v>
      </c>
      <c r="G111" s="156">
        <v>41.28</v>
      </c>
      <c r="H111" s="156">
        <f t="shared" si="3"/>
        <v>552.53</v>
      </c>
      <c r="J111" s="161"/>
    </row>
    <row r="112" spans="1:11" ht="47.25" customHeight="1" x14ac:dyDescent="0.25">
      <c r="A112" s="155">
        <v>96</v>
      </c>
      <c r="B112" s="155" t="s">
        <v>107</v>
      </c>
      <c r="C112" s="154" t="s">
        <v>294</v>
      </c>
      <c r="D112" s="154" t="s">
        <v>295</v>
      </c>
      <c r="E112" s="168" t="s">
        <v>185</v>
      </c>
      <c r="F112" s="155">
        <v>8</v>
      </c>
      <c r="G112" s="156">
        <v>58.12</v>
      </c>
      <c r="H112" s="156">
        <f t="shared" si="3"/>
        <v>464.96</v>
      </c>
      <c r="J112" s="161"/>
    </row>
    <row r="113" spans="1:11" ht="47.25" customHeight="1" x14ac:dyDescent="0.25">
      <c r="A113" s="155">
        <v>97</v>
      </c>
      <c r="B113" s="155" t="s">
        <v>107</v>
      </c>
      <c r="C113" s="154" t="s">
        <v>296</v>
      </c>
      <c r="D113" s="154" t="s">
        <v>297</v>
      </c>
      <c r="E113" s="168" t="s">
        <v>185</v>
      </c>
      <c r="F113" s="155">
        <v>9</v>
      </c>
      <c r="G113" s="156">
        <v>50.14</v>
      </c>
      <c r="H113" s="156">
        <f t="shared" si="3"/>
        <v>451.26</v>
      </c>
      <c r="J113" s="161"/>
    </row>
    <row r="114" spans="1:11" ht="63" customHeight="1" x14ac:dyDescent="0.25">
      <c r="A114" s="155">
        <v>98</v>
      </c>
      <c r="B114" s="155" t="s">
        <v>107</v>
      </c>
      <c r="C114" s="154" t="s">
        <v>298</v>
      </c>
      <c r="D114" s="154" t="s">
        <v>299</v>
      </c>
      <c r="E114" s="168" t="s">
        <v>185</v>
      </c>
      <c r="F114" s="155">
        <v>66</v>
      </c>
      <c r="G114" s="156">
        <v>6.65</v>
      </c>
      <c r="H114" s="156">
        <f t="shared" si="3"/>
        <v>438.9</v>
      </c>
      <c r="J114" s="161"/>
    </row>
    <row r="115" spans="1:11" ht="63" customHeight="1" x14ac:dyDescent="0.25">
      <c r="A115" s="155">
        <v>99</v>
      </c>
      <c r="B115" s="155" t="s">
        <v>107</v>
      </c>
      <c r="C115" s="154" t="s">
        <v>300</v>
      </c>
      <c r="D115" s="154" t="s">
        <v>301</v>
      </c>
      <c r="E115" s="168" t="s">
        <v>185</v>
      </c>
      <c r="F115" s="155">
        <v>3</v>
      </c>
      <c r="G115" s="156">
        <v>141.68</v>
      </c>
      <c r="H115" s="156">
        <f t="shared" si="3"/>
        <v>425.04</v>
      </c>
      <c r="J115" s="161"/>
    </row>
    <row r="116" spans="1:11" ht="63" customHeight="1" x14ac:dyDescent="0.25">
      <c r="A116" s="155">
        <v>100</v>
      </c>
      <c r="B116" s="155" t="s">
        <v>107</v>
      </c>
      <c r="C116" s="154" t="s">
        <v>302</v>
      </c>
      <c r="D116" s="154" t="s">
        <v>303</v>
      </c>
      <c r="E116" s="168" t="s">
        <v>185</v>
      </c>
      <c r="F116" s="155">
        <v>20</v>
      </c>
      <c r="G116" s="156">
        <v>21.15</v>
      </c>
      <c r="H116" s="156">
        <f t="shared" si="3"/>
        <v>423</v>
      </c>
      <c r="J116" s="161"/>
      <c r="K116" s="162"/>
    </row>
    <row r="117" spans="1:11" ht="31.5" customHeight="1" x14ac:dyDescent="0.25">
      <c r="A117" s="155">
        <v>101</v>
      </c>
      <c r="B117" s="155" t="s">
        <v>107</v>
      </c>
      <c r="C117" s="154" t="s">
        <v>304</v>
      </c>
      <c r="D117" s="154" t="s">
        <v>305</v>
      </c>
      <c r="E117" s="168" t="s">
        <v>177</v>
      </c>
      <c r="F117" s="155">
        <v>6.1960000000000001E-3</v>
      </c>
      <c r="G117" s="156">
        <v>65750</v>
      </c>
      <c r="H117" s="156">
        <f t="shared" ref="H117:H148" si="4">ROUND(F117*G117,2)</f>
        <v>407.39</v>
      </c>
      <c r="J117" s="161"/>
    </row>
    <row r="118" spans="1:11" ht="63" customHeight="1" x14ac:dyDescent="0.25">
      <c r="A118" s="155">
        <v>102</v>
      </c>
      <c r="B118" s="155" t="s">
        <v>107</v>
      </c>
      <c r="C118" s="154" t="s">
        <v>306</v>
      </c>
      <c r="D118" s="154" t="s">
        <v>307</v>
      </c>
      <c r="E118" s="168" t="s">
        <v>185</v>
      </c>
      <c r="F118" s="155">
        <v>2</v>
      </c>
      <c r="G118" s="156">
        <v>185.81</v>
      </c>
      <c r="H118" s="156">
        <f t="shared" si="4"/>
        <v>371.62</v>
      </c>
      <c r="J118" s="161"/>
    </row>
    <row r="119" spans="1:11" x14ac:dyDescent="0.25">
      <c r="A119" s="155">
        <v>103</v>
      </c>
      <c r="B119" s="155" t="s">
        <v>107</v>
      </c>
      <c r="C119" s="154" t="s">
        <v>308</v>
      </c>
      <c r="D119" s="154" t="s">
        <v>309</v>
      </c>
      <c r="E119" s="168" t="s">
        <v>177</v>
      </c>
      <c r="F119" s="155">
        <v>2.2847699999999999E-2</v>
      </c>
      <c r="G119" s="156">
        <v>15620</v>
      </c>
      <c r="H119" s="156">
        <f t="shared" si="4"/>
        <v>356.88</v>
      </c>
      <c r="J119" s="161"/>
    </row>
    <row r="120" spans="1:11" ht="63" customHeight="1" x14ac:dyDescent="0.25">
      <c r="A120" s="155">
        <v>104</v>
      </c>
      <c r="B120" s="155" t="s">
        <v>107</v>
      </c>
      <c r="C120" s="154" t="s">
        <v>310</v>
      </c>
      <c r="D120" s="154" t="s">
        <v>311</v>
      </c>
      <c r="E120" s="168" t="s">
        <v>185</v>
      </c>
      <c r="F120" s="155">
        <v>4</v>
      </c>
      <c r="G120" s="156">
        <v>88.14</v>
      </c>
      <c r="H120" s="156">
        <f t="shared" si="4"/>
        <v>352.56</v>
      </c>
      <c r="J120" s="161"/>
    </row>
    <row r="121" spans="1:11" x14ac:dyDescent="0.25">
      <c r="A121" s="155">
        <v>105</v>
      </c>
      <c r="B121" s="155" t="s">
        <v>107</v>
      </c>
      <c r="C121" s="154" t="s">
        <v>312</v>
      </c>
      <c r="D121" s="154" t="s">
        <v>313</v>
      </c>
      <c r="E121" s="168" t="s">
        <v>246</v>
      </c>
      <c r="F121" s="155">
        <v>0.19</v>
      </c>
      <c r="G121" s="156">
        <v>1819.3</v>
      </c>
      <c r="H121" s="156">
        <f t="shared" si="4"/>
        <v>345.67</v>
      </c>
      <c r="J121" s="161"/>
    </row>
    <row r="122" spans="1:11" ht="63" customHeight="1" x14ac:dyDescent="0.25">
      <c r="A122" s="155">
        <v>106</v>
      </c>
      <c r="B122" s="155" t="s">
        <v>107</v>
      </c>
      <c r="C122" s="154" t="s">
        <v>314</v>
      </c>
      <c r="D122" s="154" t="s">
        <v>315</v>
      </c>
      <c r="E122" s="168" t="s">
        <v>185</v>
      </c>
      <c r="F122" s="155">
        <v>3</v>
      </c>
      <c r="G122" s="156">
        <v>110.07</v>
      </c>
      <c r="H122" s="156">
        <f t="shared" si="4"/>
        <v>330.21</v>
      </c>
      <c r="J122" s="161"/>
    </row>
    <row r="123" spans="1:11" ht="63" customHeight="1" x14ac:dyDescent="0.25">
      <c r="A123" s="155">
        <v>107</v>
      </c>
      <c r="B123" s="155" t="s">
        <v>107</v>
      </c>
      <c r="C123" s="154" t="s">
        <v>316</v>
      </c>
      <c r="D123" s="154" t="s">
        <v>317</v>
      </c>
      <c r="E123" s="168" t="s">
        <v>185</v>
      </c>
      <c r="F123" s="155">
        <v>2</v>
      </c>
      <c r="G123" s="156">
        <v>155.94</v>
      </c>
      <c r="H123" s="156">
        <f t="shared" si="4"/>
        <v>311.88</v>
      </c>
      <c r="J123" s="161"/>
    </row>
    <row r="124" spans="1:11" ht="63" customHeight="1" x14ac:dyDescent="0.25">
      <c r="A124" s="155">
        <v>108</v>
      </c>
      <c r="B124" s="155" t="s">
        <v>107</v>
      </c>
      <c r="C124" s="154" t="s">
        <v>318</v>
      </c>
      <c r="D124" s="154" t="s">
        <v>319</v>
      </c>
      <c r="E124" s="168" t="s">
        <v>249</v>
      </c>
      <c r="F124" s="155">
        <v>9.44</v>
      </c>
      <c r="G124" s="156">
        <v>31.75</v>
      </c>
      <c r="H124" s="156">
        <f t="shared" si="4"/>
        <v>299.72000000000003</v>
      </c>
      <c r="J124" s="161"/>
    </row>
    <row r="125" spans="1:11" x14ac:dyDescent="0.25">
      <c r="A125" s="155">
        <v>109</v>
      </c>
      <c r="B125" s="155" t="s">
        <v>107</v>
      </c>
      <c r="C125" s="154" t="s">
        <v>320</v>
      </c>
      <c r="D125" s="154" t="s">
        <v>321</v>
      </c>
      <c r="E125" s="168" t="s">
        <v>322</v>
      </c>
      <c r="F125" s="155">
        <v>37.623107699999998</v>
      </c>
      <c r="G125" s="156">
        <v>6.22</v>
      </c>
      <c r="H125" s="156">
        <f t="shared" si="4"/>
        <v>234.02</v>
      </c>
      <c r="J125" s="161"/>
    </row>
    <row r="126" spans="1:11" ht="31.5" customHeight="1" x14ac:dyDescent="0.25">
      <c r="A126" s="155">
        <v>110</v>
      </c>
      <c r="B126" s="155" t="s">
        <v>107</v>
      </c>
      <c r="C126" s="154" t="s">
        <v>323</v>
      </c>
      <c r="D126" s="154" t="s">
        <v>324</v>
      </c>
      <c r="E126" s="168" t="s">
        <v>249</v>
      </c>
      <c r="F126" s="155">
        <v>9.048</v>
      </c>
      <c r="G126" s="156">
        <v>23.79</v>
      </c>
      <c r="H126" s="156">
        <f t="shared" si="4"/>
        <v>215.25</v>
      </c>
      <c r="J126" s="161"/>
    </row>
    <row r="127" spans="1:11" ht="63" customHeight="1" x14ac:dyDescent="0.25">
      <c r="A127" s="155">
        <v>111</v>
      </c>
      <c r="B127" s="155" t="s">
        <v>107</v>
      </c>
      <c r="C127" s="154" t="s">
        <v>325</v>
      </c>
      <c r="D127" s="154" t="s">
        <v>326</v>
      </c>
      <c r="E127" s="168" t="s">
        <v>185</v>
      </c>
      <c r="F127" s="155">
        <v>8</v>
      </c>
      <c r="G127" s="156">
        <v>25.06</v>
      </c>
      <c r="H127" s="156">
        <f t="shared" si="4"/>
        <v>200.48</v>
      </c>
      <c r="J127" s="161"/>
    </row>
    <row r="128" spans="1:11" x14ac:dyDescent="0.25">
      <c r="A128" s="155">
        <v>112</v>
      </c>
      <c r="B128" s="155" t="s">
        <v>107</v>
      </c>
      <c r="C128" s="154" t="s">
        <v>327</v>
      </c>
      <c r="D128" s="154" t="s">
        <v>328</v>
      </c>
      <c r="E128" s="168" t="s">
        <v>177</v>
      </c>
      <c r="F128" s="155">
        <v>2.0442999999999999E-2</v>
      </c>
      <c r="G128" s="156">
        <v>9765</v>
      </c>
      <c r="H128" s="156">
        <f t="shared" si="4"/>
        <v>199.63</v>
      </c>
      <c r="J128" s="161"/>
    </row>
    <row r="129" spans="1:10" ht="31.5" customHeight="1" x14ac:dyDescent="0.25">
      <c r="A129" s="155">
        <v>113</v>
      </c>
      <c r="B129" s="155" t="s">
        <v>107</v>
      </c>
      <c r="C129" s="154" t="s">
        <v>329</v>
      </c>
      <c r="D129" s="154" t="s">
        <v>330</v>
      </c>
      <c r="E129" s="168" t="s">
        <v>177</v>
      </c>
      <c r="F129" s="155">
        <v>2.8249999999999998E-3</v>
      </c>
      <c r="G129" s="156">
        <v>68050</v>
      </c>
      <c r="H129" s="156">
        <f t="shared" si="4"/>
        <v>192.24</v>
      </c>
      <c r="J129" s="161"/>
    </row>
    <row r="130" spans="1:10" ht="63" customHeight="1" x14ac:dyDescent="0.25">
      <c r="A130" s="155">
        <v>114</v>
      </c>
      <c r="B130" s="155" t="s">
        <v>107</v>
      </c>
      <c r="C130" s="154" t="s">
        <v>331</v>
      </c>
      <c r="D130" s="154" t="s">
        <v>332</v>
      </c>
      <c r="E130" s="168" t="s">
        <v>249</v>
      </c>
      <c r="F130" s="155">
        <v>1.98</v>
      </c>
      <c r="G130" s="156">
        <v>93.26</v>
      </c>
      <c r="H130" s="156">
        <f t="shared" si="4"/>
        <v>184.65</v>
      </c>
      <c r="J130" s="161"/>
    </row>
    <row r="131" spans="1:10" ht="47.25" customHeight="1" x14ac:dyDescent="0.25">
      <c r="A131" s="155">
        <v>115</v>
      </c>
      <c r="B131" s="155" t="s">
        <v>107</v>
      </c>
      <c r="C131" s="154" t="s">
        <v>333</v>
      </c>
      <c r="D131" s="154" t="s">
        <v>334</v>
      </c>
      <c r="E131" s="168" t="s">
        <v>185</v>
      </c>
      <c r="F131" s="155">
        <v>4</v>
      </c>
      <c r="G131" s="156">
        <v>45.75</v>
      </c>
      <c r="H131" s="156">
        <f t="shared" si="4"/>
        <v>183</v>
      </c>
      <c r="J131" s="161"/>
    </row>
    <row r="132" spans="1:10" ht="31.5" customHeight="1" x14ac:dyDescent="0.25">
      <c r="A132" s="155">
        <v>116</v>
      </c>
      <c r="B132" s="155" t="s">
        <v>107</v>
      </c>
      <c r="C132" s="154" t="s">
        <v>335</v>
      </c>
      <c r="D132" s="154" t="s">
        <v>336</v>
      </c>
      <c r="E132" s="168" t="s">
        <v>185</v>
      </c>
      <c r="F132" s="155">
        <v>2</v>
      </c>
      <c r="G132" s="156">
        <v>87.12</v>
      </c>
      <c r="H132" s="156">
        <f t="shared" si="4"/>
        <v>174.24</v>
      </c>
      <c r="J132" s="161"/>
    </row>
    <row r="133" spans="1:10" ht="47.25" customHeight="1" x14ac:dyDescent="0.25">
      <c r="A133" s="155">
        <v>117</v>
      </c>
      <c r="B133" s="155" t="s">
        <v>107</v>
      </c>
      <c r="C133" s="154" t="s">
        <v>337</v>
      </c>
      <c r="D133" s="154" t="s">
        <v>338</v>
      </c>
      <c r="E133" s="168" t="s">
        <v>185</v>
      </c>
      <c r="F133" s="155">
        <v>3</v>
      </c>
      <c r="G133" s="156">
        <v>44.49</v>
      </c>
      <c r="H133" s="156">
        <f t="shared" si="4"/>
        <v>133.47</v>
      </c>
      <c r="J133" s="161"/>
    </row>
    <row r="134" spans="1:10" ht="31.5" customHeight="1" x14ac:dyDescent="0.25">
      <c r="A134" s="155">
        <v>118</v>
      </c>
      <c r="B134" s="155" t="s">
        <v>107</v>
      </c>
      <c r="C134" s="154" t="s">
        <v>339</v>
      </c>
      <c r="D134" s="154" t="s">
        <v>340</v>
      </c>
      <c r="E134" s="168" t="s">
        <v>246</v>
      </c>
      <c r="F134" s="155">
        <v>0.02</v>
      </c>
      <c r="G134" s="156">
        <v>6663.65</v>
      </c>
      <c r="H134" s="156">
        <f t="shared" si="4"/>
        <v>133.27000000000001</v>
      </c>
      <c r="J134" s="161"/>
    </row>
    <row r="135" spans="1:10" ht="63" customHeight="1" x14ac:dyDescent="0.25">
      <c r="A135" s="155">
        <v>119</v>
      </c>
      <c r="B135" s="155" t="s">
        <v>107</v>
      </c>
      <c r="C135" s="154" t="s">
        <v>341</v>
      </c>
      <c r="D135" s="154" t="s">
        <v>342</v>
      </c>
      <c r="E135" s="168" t="s">
        <v>185</v>
      </c>
      <c r="F135" s="155">
        <v>1</v>
      </c>
      <c r="G135" s="156">
        <v>116.94</v>
      </c>
      <c r="H135" s="156">
        <f t="shared" si="4"/>
        <v>116.94</v>
      </c>
      <c r="J135" s="161"/>
    </row>
    <row r="136" spans="1:10" x14ac:dyDescent="0.25">
      <c r="A136" s="155">
        <v>120</v>
      </c>
      <c r="B136" s="155" t="s">
        <v>107</v>
      </c>
      <c r="C136" s="154" t="s">
        <v>343</v>
      </c>
      <c r="D136" s="154" t="s">
        <v>344</v>
      </c>
      <c r="E136" s="168" t="s">
        <v>241</v>
      </c>
      <c r="F136" s="155">
        <v>10.128</v>
      </c>
      <c r="G136" s="156">
        <v>9.42</v>
      </c>
      <c r="H136" s="156">
        <f t="shared" si="4"/>
        <v>95.41</v>
      </c>
      <c r="J136" s="161"/>
    </row>
    <row r="137" spans="1:10" ht="47.25" customHeight="1" x14ac:dyDescent="0.25">
      <c r="A137" s="155">
        <v>121</v>
      </c>
      <c r="B137" s="155" t="s">
        <v>107</v>
      </c>
      <c r="C137" s="154" t="s">
        <v>345</v>
      </c>
      <c r="D137" s="154" t="s">
        <v>346</v>
      </c>
      <c r="E137" s="168" t="s">
        <v>185</v>
      </c>
      <c r="F137" s="155">
        <v>1</v>
      </c>
      <c r="G137" s="156">
        <v>91.41</v>
      </c>
      <c r="H137" s="156">
        <f t="shared" si="4"/>
        <v>91.41</v>
      </c>
      <c r="J137" s="161"/>
    </row>
    <row r="138" spans="1:10" x14ac:dyDescent="0.25">
      <c r="A138" s="155">
        <v>122</v>
      </c>
      <c r="B138" s="155" t="s">
        <v>107</v>
      </c>
      <c r="C138" s="154" t="s">
        <v>347</v>
      </c>
      <c r="D138" s="154" t="s">
        <v>348</v>
      </c>
      <c r="E138" s="168" t="s">
        <v>322</v>
      </c>
      <c r="F138" s="155">
        <v>21.818710500000002</v>
      </c>
      <c r="G138" s="156">
        <v>3.15</v>
      </c>
      <c r="H138" s="156">
        <f t="shared" si="4"/>
        <v>68.73</v>
      </c>
      <c r="J138" s="161"/>
    </row>
    <row r="139" spans="1:10" x14ac:dyDescent="0.25">
      <c r="A139" s="155">
        <v>123</v>
      </c>
      <c r="B139" s="155" t="s">
        <v>107</v>
      </c>
      <c r="C139" s="154" t="s">
        <v>349</v>
      </c>
      <c r="D139" s="154" t="s">
        <v>350</v>
      </c>
      <c r="E139" s="168" t="s">
        <v>268</v>
      </c>
      <c r="F139" s="155">
        <v>0.41799999999999998</v>
      </c>
      <c r="G139" s="156">
        <v>164</v>
      </c>
      <c r="H139" s="156">
        <f t="shared" si="4"/>
        <v>68.55</v>
      </c>
      <c r="J139" s="161"/>
    </row>
    <row r="140" spans="1:10" ht="63" customHeight="1" x14ac:dyDescent="0.25">
      <c r="A140" s="155">
        <v>124</v>
      </c>
      <c r="B140" s="155" t="s">
        <v>107</v>
      </c>
      <c r="C140" s="154" t="s">
        <v>351</v>
      </c>
      <c r="D140" s="154" t="s">
        <v>352</v>
      </c>
      <c r="E140" s="168" t="s">
        <v>185</v>
      </c>
      <c r="F140" s="155">
        <v>2</v>
      </c>
      <c r="G140" s="156">
        <v>33.76</v>
      </c>
      <c r="H140" s="156">
        <f t="shared" si="4"/>
        <v>67.52</v>
      </c>
      <c r="J140" s="161"/>
    </row>
    <row r="141" spans="1:10" x14ac:dyDescent="0.25">
      <c r="A141" s="155">
        <v>125</v>
      </c>
      <c r="B141" s="155" t="s">
        <v>107</v>
      </c>
      <c r="C141" s="154" t="s">
        <v>353</v>
      </c>
      <c r="D141" s="154" t="s">
        <v>354</v>
      </c>
      <c r="E141" s="168" t="s">
        <v>177</v>
      </c>
      <c r="F141" s="155">
        <v>4.5215000000000003E-3</v>
      </c>
      <c r="G141" s="156">
        <v>14312.87</v>
      </c>
      <c r="H141" s="156">
        <f t="shared" si="4"/>
        <v>64.72</v>
      </c>
      <c r="J141" s="161"/>
    </row>
    <row r="142" spans="1:10" ht="31.5" customHeight="1" x14ac:dyDescent="0.25">
      <c r="A142" s="155">
        <v>126</v>
      </c>
      <c r="B142" s="155" t="s">
        <v>107</v>
      </c>
      <c r="C142" s="154" t="s">
        <v>355</v>
      </c>
      <c r="D142" s="154" t="s">
        <v>356</v>
      </c>
      <c r="E142" s="168" t="s">
        <v>241</v>
      </c>
      <c r="F142" s="155">
        <v>2.4180000000000001</v>
      </c>
      <c r="G142" s="156">
        <v>26.32</v>
      </c>
      <c r="H142" s="156">
        <f t="shared" si="4"/>
        <v>63.64</v>
      </c>
      <c r="J142" s="161"/>
    </row>
    <row r="143" spans="1:10" ht="47.25" customHeight="1" x14ac:dyDescent="0.25">
      <c r="A143" s="155">
        <v>127</v>
      </c>
      <c r="B143" s="155" t="s">
        <v>107</v>
      </c>
      <c r="C143" s="154" t="s">
        <v>357</v>
      </c>
      <c r="D143" s="154" t="s">
        <v>358</v>
      </c>
      <c r="E143" s="168" t="s">
        <v>241</v>
      </c>
      <c r="F143" s="155">
        <v>0.56999999999999995</v>
      </c>
      <c r="G143" s="156">
        <v>91.29</v>
      </c>
      <c r="H143" s="156">
        <f t="shared" si="4"/>
        <v>52.04</v>
      </c>
      <c r="J143" s="161"/>
    </row>
    <row r="144" spans="1:10" ht="31.5" customHeight="1" x14ac:dyDescent="0.25">
      <c r="A144" s="155">
        <v>128</v>
      </c>
      <c r="B144" s="155" t="s">
        <v>107</v>
      </c>
      <c r="C144" s="154" t="s">
        <v>359</v>
      </c>
      <c r="D144" s="154" t="s">
        <v>360</v>
      </c>
      <c r="E144" s="168" t="s">
        <v>177</v>
      </c>
      <c r="F144" s="155">
        <v>2.0347999999999998E-3</v>
      </c>
      <c r="G144" s="156">
        <v>25425</v>
      </c>
      <c r="H144" s="156">
        <f t="shared" si="4"/>
        <v>51.73</v>
      </c>
      <c r="J144" s="161"/>
    </row>
    <row r="145" spans="1:10" ht="47.25" customHeight="1" x14ac:dyDescent="0.25">
      <c r="A145" s="155">
        <v>129</v>
      </c>
      <c r="B145" s="155" t="s">
        <v>107</v>
      </c>
      <c r="C145" s="154" t="s">
        <v>361</v>
      </c>
      <c r="D145" s="154" t="s">
        <v>362</v>
      </c>
      <c r="E145" s="168" t="s">
        <v>185</v>
      </c>
      <c r="F145" s="155">
        <v>1</v>
      </c>
      <c r="G145" s="156">
        <v>49.54</v>
      </c>
      <c r="H145" s="156">
        <f t="shared" si="4"/>
        <v>49.54</v>
      </c>
      <c r="J145" s="161"/>
    </row>
    <row r="146" spans="1:10" ht="31.5" customHeight="1" x14ac:dyDescent="0.25">
      <c r="A146" s="155">
        <v>130</v>
      </c>
      <c r="B146" s="155" t="s">
        <v>107</v>
      </c>
      <c r="C146" s="154" t="s">
        <v>363</v>
      </c>
      <c r="D146" s="154" t="s">
        <v>364</v>
      </c>
      <c r="E146" s="168" t="s">
        <v>365</v>
      </c>
      <c r="F146" s="155">
        <v>0.1910038</v>
      </c>
      <c r="G146" s="156">
        <v>253.8</v>
      </c>
      <c r="H146" s="156">
        <f t="shared" si="4"/>
        <v>48.48</v>
      </c>
      <c r="J146" s="161"/>
    </row>
    <row r="147" spans="1:10" x14ac:dyDescent="0.25">
      <c r="A147" s="155">
        <v>131</v>
      </c>
      <c r="B147" s="155" t="s">
        <v>107</v>
      </c>
      <c r="C147" s="154" t="s">
        <v>366</v>
      </c>
      <c r="D147" s="154" t="s">
        <v>367</v>
      </c>
      <c r="E147" s="168" t="s">
        <v>322</v>
      </c>
      <c r="F147" s="155">
        <v>1.0275396999999999</v>
      </c>
      <c r="G147" s="156">
        <v>38.51</v>
      </c>
      <c r="H147" s="156">
        <f t="shared" si="4"/>
        <v>39.57</v>
      </c>
      <c r="J147" s="161"/>
    </row>
    <row r="148" spans="1:10" ht="63" customHeight="1" x14ac:dyDescent="0.25">
      <c r="A148" s="155">
        <v>132</v>
      </c>
      <c r="B148" s="155" t="s">
        <v>107</v>
      </c>
      <c r="C148" s="154" t="s">
        <v>368</v>
      </c>
      <c r="D148" s="154" t="s">
        <v>369</v>
      </c>
      <c r="E148" s="168" t="s">
        <v>185</v>
      </c>
      <c r="F148" s="155">
        <v>1</v>
      </c>
      <c r="G148" s="156">
        <v>36.69</v>
      </c>
      <c r="H148" s="156">
        <f t="shared" si="4"/>
        <v>36.69</v>
      </c>
      <c r="J148" s="161"/>
    </row>
    <row r="149" spans="1:10" x14ac:dyDescent="0.25">
      <c r="A149" s="155">
        <v>133</v>
      </c>
      <c r="B149" s="155" t="s">
        <v>107</v>
      </c>
      <c r="C149" s="154" t="s">
        <v>370</v>
      </c>
      <c r="D149" s="154" t="s">
        <v>371</v>
      </c>
      <c r="E149" s="168" t="s">
        <v>241</v>
      </c>
      <c r="F149" s="155">
        <v>6</v>
      </c>
      <c r="G149" s="156">
        <v>6.09</v>
      </c>
      <c r="H149" s="156">
        <f t="shared" ref="H149:H180" si="5">ROUND(F149*G149,2)</f>
        <v>36.54</v>
      </c>
      <c r="J149" s="161"/>
    </row>
    <row r="150" spans="1:10" x14ac:dyDescent="0.25">
      <c r="A150" s="155">
        <v>134</v>
      </c>
      <c r="B150" s="155" t="s">
        <v>107</v>
      </c>
      <c r="C150" s="154" t="s">
        <v>372</v>
      </c>
      <c r="D150" s="154" t="s">
        <v>373</v>
      </c>
      <c r="E150" s="168" t="s">
        <v>241</v>
      </c>
      <c r="F150" s="155">
        <v>0.93620000000000003</v>
      </c>
      <c r="G150" s="156">
        <v>37.29</v>
      </c>
      <c r="H150" s="156">
        <f t="shared" si="5"/>
        <v>34.909999999999997</v>
      </c>
      <c r="J150" s="161"/>
    </row>
    <row r="151" spans="1:10" ht="47.25" customHeight="1" x14ac:dyDescent="0.25">
      <c r="A151" s="155">
        <v>135</v>
      </c>
      <c r="B151" s="155" t="s">
        <v>107</v>
      </c>
      <c r="C151" s="154" t="s">
        <v>374</v>
      </c>
      <c r="D151" s="154" t="s">
        <v>375</v>
      </c>
      <c r="E151" s="168" t="s">
        <v>185</v>
      </c>
      <c r="F151" s="155">
        <v>1</v>
      </c>
      <c r="G151" s="156">
        <v>29.95</v>
      </c>
      <c r="H151" s="156">
        <f t="shared" si="5"/>
        <v>29.95</v>
      </c>
      <c r="J151" s="161"/>
    </row>
    <row r="152" spans="1:10" ht="31.5" customHeight="1" x14ac:dyDescent="0.25">
      <c r="A152" s="155">
        <v>136</v>
      </c>
      <c r="B152" s="155" t="s">
        <v>107</v>
      </c>
      <c r="C152" s="154" t="s">
        <v>376</v>
      </c>
      <c r="D152" s="154" t="s">
        <v>377</v>
      </c>
      <c r="E152" s="168" t="s">
        <v>241</v>
      </c>
      <c r="F152" s="155">
        <v>1.8724000000000001</v>
      </c>
      <c r="G152" s="156">
        <v>15.12</v>
      </c>
      <c r="H152" s="156">
        <f t="shared" si="5"/>
        <v>28.31</v>
      </c>
      <c r="J152" s="161"/>
    </row>
    <row r="153" spans="1:10" ht="31.5" customHeight="1" x14ac:dyDescent="0.25">
      <c r="A153" s="155">
        <v>137</v>
      </c>
      <c r="B153" s="155" t="s">
        <v>107</v>
      </c>
      <c r="C153" s="154" t="s">
        <v>378</v>
      </c>
      <c r="D153" s="154" t="s">
        <v>379</v>
      </c>
      <c r="E153" s="168" t="s">
        <v>365</v>
      </c>
      <c r="F153" s="155">
        <v>0.1910038</v>
      </c>
      <c r="G153" s="156">
        <v>135.82</v>
      </c>
      <c r="H153" s="156">
        <f t="shared" si="5"/>
        <v>25.94</v>
      </c>
      <c r="J153" s="161"/>
    </row>
    <row r="154" spans="1:10" ht="63" customHeight="1" x14ac:dyDescent="0.25">
      <c r="A154" s="155">
        <v>138</v>
      </c>
      <c r="B154" s="155" t="s">
        <v>107</v>
      </c>
      <c r="C154" s="154" t="s">
        <v>380</v>
      </c>
      <c r="D154" s="154" t="s">
        <v>381</v>
      </c>
      <c r="E154" s="168" t="s">
        <v>185</v>
      </c>
      <c r="F154" s="155">
        <v>1</v>
      </c>
      <c r="G154" s="156">
        <v>22.44</v>
      </c>
      <c r="H154" s="156">
        <f t="shared" si="5"/>
        <v>22.44</v>
      </c>
      <c r="J154" s="161"/>
    </row>
    <row r="155" spans="1:10" ht="31.5" customHeight="1" x14ac:dyDescent="0.25">
      <c r="A155" s="155">
        <v>139</v>
      </c>
      <c r="B155" s="155" t="s">
        <v>107</v>
      </c>
      <c r="C155" s="154" t="s">
        <v>382</v>
      </c>
      <c r="D155" s="154" t="s">
        <v>383</v>
      </c>
      <c r="E155" s="168" t="s">
        <v>241</v>
      </c>
      <c r="F155" s="155">
        <v>0.70799999999999996</v>
      </c>
      <c r="G155" s="156">
        <v>28.22</v>
      </c>
      <c r="H155" s="156">
        <f t="shared" si="5"/>
        <v>19.98</v>
      </c>
      <c r="J155" s="161"/>
    </row>
    <row r="156" spans="1:10" ht="31.5" customHeight="1" x14ac:dyDescent="0.25">
      <c r="A156" s="155">
        <v>140</v>
      </c>
      <c r="B156" s="155" t="s">
        <v>107</v>
      </c>
      <c r="C156" s="154" t="s">
        <v>384</v>
      </c>
      <c r="D156" s="154" t="s">
        <v>385</v>
      </c>
      <c r="E156" s="168" t="s">
        <v>177</v>
      </c>
      <c r="F156" s="155">
        <v>9.2000000000000003E-4</v>
      </c>
      <c r="G156" s="156">
        <v>20775</v>
      </c>
      <c r="H156" s="156">
        <f t="shared" si="5"/>
        <v>19.11</v>
      </c>
      <c r="J156" s="161"/>
    </row>
    <row r="157" spans="1:10" ht="31.5" customHeight="1" x14ac:dyDescent="0.25">
      <c r="A157" s="155">
        <v>141</v>
      </c>
      <c r="B157" s="155" t="s">
        <v>107</v>
      </c>
      <c r="C157" s="154" t="s">
        <v>386</v>
      </c>
      <c r="D157" s="154" t="s">
        <v>387</v>
      </c>
      <c r="E157" s="168" t="s">
        <v>241</v>
      </c>
      <c r="F157" s="155">
        <v>0.60299999999999998</v>
      </c>
      <c r="G157" s="156">
        <v>25.76</v>
      </c>
      <c r="H157" s="156">
        <f t="shared" si="5"/>
        <v>15.53</v>
      </c>
      <c r="J157" s="161"/>
    </row>
    <row r="158" spans="1:10" x14ac:dyDescent="0.25">
      <c r="A158" s="155">
        <v>142</v>
      </c>
      <c r="B158" s="155" t="s">
        <v>107</v>
      </c>
      <c r="C158" s="154" t="s">
        <v>388</v>
      </c>
      <c r="D158" s="154" t="s">
        <v>389</v>
      </c>
      <c r="E158" s="168" t="s">
        <v>241</v>
      </c>
      <c r="F158" s="155">
        <v>1.44</v>
      </c>
      <c r="G158" s="156">
        <v>9.0399999999999991</v>
      </c>
      <c r="H158" s="156">
        <f t="shared" si="5"/>
        <v>13.02</v>
      </c>
      <c r="J158" s="161"/>
    </row>
    <row r="159" spans="1:10" x14ac:dyDescent="0.25">
      <c r="A159" s="155">
        <v>143</v>
      </c>
      <c r="B159" s="155" t="s">
        <v>107</v>
      </c>
      <c r="C159" s="154" t="s">
        <v>390</v>
      </c>
      <c r="D159" s="154" t="s">
        <v>391</v>
      </c>
      <c r="E159" s="168" t="s">
        <v>241</v>
      </c>
      <c r="F159" s="155">
        <v>1.711346</v>
      </c>
      <c r="G159" s="156">
        <v>6.67</v>
      </c>
      <c r="H159" s="156">
        <f t="shared" si="5"/>
        <v>11.41</v>
      </c>
      <c r="J159" s="161"/>
    </row>
    <row r="160" spans="1:10" x14ac:dyDescent="0.25">
      <c r="A160" s="155">
        <v>144</v>
      </c>
      <c r="B160" s="155" t="s">
        <v>107</v>
      </c>
      <c r="C160" s="154" t="s">
        <v>392</v>
      </c>
      <c r="D160" s="154" t="s">
        <v>393</v>
      </c>
      <c r="E160" s="168" t="s">
        <v>241</v>
      </c>
      <c r="F160" s="155">
        <v>0.39589999999999997</v>
      </c>
      <c r="G160" s="156">
        <v>27.74</v>
      </c>
      <c r="H160" s="156">
        <f t="shared" si="5"/>
        <v>10.98</v>
      </c>
      <c r="J160" s="161"/>
    </row>
    <row r="161" spans="1:10" x14ac:dyDescent="0.25">
      <c r="A161" s="155">
        <v>145</v>
      </c>
      <c r="B161" s="155" t="s">
        <v>107</v>
      </c>
      <c r="C161" s="154" t="s">
        <v>394</v>
      </c>
      <c r="D161" s="154" t="s">
        <v>395</v>
      </c>
      <c r="E161" s="168" t="s">
        <v>241</v>
      </c>
      <c r="F161" s="155">
        <v>0.60456699999999997</v>
      </c>
      <c r="G161" s="156">
        <v>17.920000000000002</v>
      </c>
      <c r="H161" s="156">
        <f t="shared" si="5"/>
        <v>10.83</v>
      </c>
      <c r="J161" s="161"/>
    </row>
    <row r="162" spans="1:10" x14ac:dyDescent="0.25">
      <c r="A162" s="155">
        <v>146</v>
      </c>
      <c r="B162" s="155" t="s">
        <v>107</v>
      </c>
      <c r="C162" s="154" t="s">
        <v>396</v>
      </c>
      <c r="D162" s="154" t="s">
        <v>397</v>
      </c>
      <c r="E162" s="168" t="s">
        <v>177</v>
      </c>
      <c r="F162" s="155">
        <v>8.9610000000000004E-4</v>
      </c>
      <c r="G162" s="156">
        <v>7640</v>
      </c>
      <c r="H162" s="156">
        <f t="shared" si="5"/>
        <v>6.85</v>
      </c>
      <c r="J162" s="161"/>
    </row>
    <row r="163" spans="1:10" x14ac:dyDescent="0.25">
      <c r="A163" s="155">
        <v>147</v>
      </c>
      <c r="B163" s="155" t="s">
        <v>107</v>
      </c>
      <c r="C163" s="154" t="s">
        <v>398</v>
      </c>
      <c r="D163" s="154" t="s">
        <v>399</v>
      </c>
      <c r="E163" s="168" t="s">
        <v>268</v>
      </c>
      <c r="F163" s="155">
        <v>0.24</v>
      </c>
      <c r="G163" s="156">
        <v>26.6</v>
      </c>
      <c r="H163" s="156">
        <f t="shared" si="5"/>
        <v>6.38</v>
      </c>
      <c r="J163" s="161"/>
    </row>
    <row r="164" spans="1:10" x14ac:dyDescent="0.25">
      <c r="A164" s="155">
        <v>148</v>
      </c>
      <c r="B164" s="155" t="s">
        <v>107</v>
      </c>
      <c r="C164" s="154" t="s">
        <v>400</v>
      </c>
      <c r="D164" s="154" t="s">
        <v>401</v>
      </c>
      <c r="E164" s="168" t="s">
        <v>177</v>
      </c>
      <c r="F164" s="155">
        <v>5.5300000000000002E-3</v>
      </c>
      <c r="G164" s="156">
        <v>729.98</v>
      </c>
      <c r="H164" s="156">
        <f t="shared" si="5"/>
        <v>4.04</v>
      </c>
      <c r="J164" s="161"/>
    </row>
    <row r="165" spans="1:10" x14ac:dyDescent="0.25">
      <c r="A165" s="155">
        <v>149</v>
      </c>
      <c r="B165" s="155" t="s">
        <v>107</v>
      </c>
      <c r="C165" s="154" t="s">
        <v>402</v>
      </c>
      <c r="D165" s="154" t="s">
        <v>403</v>
      </c>
      <c r="E165" s="168" t="s">
        <v>404</v>
      </c>
      <c r="F165" s="155">
        <v>0.54239999999999999</v>
      </c>
      <c r="G165" s="156">
        <v>6.9</v>
      </c>
      <c r="H165" s="156">
        <f t="shared" si="5"/>
        <v>3.74</v>
      </c>
      <c r="J165" s="161"/>
    </row>
    <row r="166" spans="1:10" ht="31.5" customHeight="1" x14ac:dyDescent="0.25">
      <c r="A166" s="155">
        <v>150</v>
      </c>
      <c r="B166" s="155" t="s">
        <v>107</v>
      </c>
      <c r="C166" s="154" t="s">
        <v>405</v>
      </c>
      <c r="D166" s="154" t="s">
        <v>406</v>
      </c>
      <c r="E166" s="168" t="s">
        <v>241</v>
      </c>
      <c r="F166" s="155">
        <v>0.12</v>
      </c>
      <c r="G166" s="156">
        <v>23.09</v>
      </c>
      <c r="H166" s="156">
        <f t="shared" si="5"/>
        <v>2.77</v>
      </c>
      <c r="J166" s="161"/>
    </row>
    <row r="167" spans="1:10" x14ac:dyDescent="0.25">
      <c r="A167" s="155">
        <v>151</v>
      </c>
      <c r="B167" s="155" t="s">
        <v>107</v>
      </c>
      <c r="C167" s="154" t="s">
        <v>407</v>
      </c>
      <c r="D167" s="154" t="s">
        <v>408</v>
      </c>
      <c r="E167" s="168" t="s">
        <v>177</v>
      </c>
      <c r="F167" s="155">
        <v>3.39E-4</v>
      </c>
      <c r="G167" s="156">
        <v>7826.9</v>
      </c>
      <c r="H167" s="156">
        <f t="shared" si="5"/>
        <v>2.65</v>
      </c>
      <c r="J167" s="161"/>
    </row>
    <row r="168" spans="1:10" x14ac:dyDescent="0.25">
      <c r="A168" s="155">
        <v>152</v>
      </c>
      <c r="B168" s="155" t="s">
        <v>107</v>
      </c>
      <c r="C168" s="154" t="s">
        <v>409</v>
      </c>
      <c r="D168" s="154" t="s">
        <v>410</v>
      </c>
      <c r="E168" s="168" t="s">
        <v>241</v>
      </c>
      <c r="F168" s="155">
        <v>3.5999999999999997E-2</v>
      </c>
      <c r="G168" s="156">
        <v>32.6</v>
      </c>
      <c r="H168" s="156">
        <f t="shared" si="5"/>
        <v>1.17</v>
      </c>
      <c r="J168" s="161"/>
    </row>
    <row r="169" spans="1:10" x14ac:dyDescent="0.25">
      <c r="A169" s="155">
        <v>153</v>
      </c>
      <c r="B169" s="155" t="s">
        <v>107</v>
      </c>
      <c r="C169" s="154" t="s">
        <v>411</v>
      </c>
      <c r="D169" s="154" t="s">
        <v>412</v>
      </c>
      <c r="E169" s="168" t="s">
        <v>241</v>
      </c>
      <c r="F169" s="155">
        <v>0.03</v>
      </c>
      <c r="G169" s="156">
        <v>28.93</v>
      </c>
      <c r="H169" s="156">
        <f t="shared" si="5"/>
        <v>0.87</v>
      </c>
      <c r="J169" s="161"/>
    </row>
    <row r="170" spans="1:10" x14ac:dyDescent="0.25">
      <c r="A170" s="155">
        <v>154</v>
      </c>
      <c r="B170" s="155" t="s">
        <v>107</v>
      </c>
      <c r="C170" s="154" t="s">
        <v>413</v>
      </c>
      <c r="D170" s="154" t="s">
        <v>414</v>
      </c>
      <c r="E170" s="168" t="s">
        <v>241</v>
      </c>
      <c r="F170" s="155">
        <v>1.7999999999999999E-2</v>
      </c>
      <c r="G170" s="156">
        <v>26.44</v>
      </c>
      <c r="H170" s="156">
        <f t="shared" si="5"/>
        <v>0.48</v>
      </c>
      <c r="J170" s="161"/>
    </row>
    <row r="171" spans="1:10" x14ac:dyDescent="0.25">
      <c r="A171" s="155">
        <v>155</v>
      </c>
      <c r="B171" s="155" t="s">
        <v>107</v>
      </c>
      <c r="C171" s="154" t="s">
        <v>415</v>
      </c>
      <c r="D171" s="154" t="s">
        <v>416</v>
      </c>
      <c r="E171" s="168" t="s">
        <v>185</v>
      </c>
      <c r="F171" s="155">
        <v>8.9999999999999993E-3</v>
      </c>
      <c r="G171" s="156">
        <v>4.5</v>
      </c>
      <c r="H171" s="156">
        <f t="shared" si="5"/>
        <v>0.04</v>
      </c>
      <c r="J171" s="161"/>
    </row>
    <row r="174" spans="1:10" x14ac:dyDescent="0.25">
      <c r="B174" s="112" t="s">
        <v>75</v>
      </c>
    </row>
    <row r="175" spans="1:10" x14ac:dyDescent="0.25">
      <c r="B175" s="144" t="s">
        <v>76</v>
      </c>
    </row>
    <row r="177" spans="2:2" x14ac:dyDescent="0.25">
      <c r="B177" s="112" t="s">
        <v>77</v>
      </c>
    </row>
    <row r="178" spans="2:2" x14ac:dyDescent="0.25">
      <c r="B178" s="144" t="s">
        <v>78</v>
      </c>
    </row>
  </sheetData>
  <mergeCells count="15">
    <mergeCell ref="A22:E22"/>
    <mergeCell ref="A84:E84"/>
    <mergeCell ref="A12:E12"/>
    <mergeCell ref="A24:E24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46:E4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4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9" t="s">
        <v>417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8" t="s">
        <v>418</v>
      </c>
      <c r="C5" s="208"/>
      <c r="D5" s="208"/>
      <c r="E5" s="208"/>
    </row>
    <row r="6" spans="2:5" x14ac:dyDescent="0.25">
      <c r="B6" s="143"/>
      <c r="C6" s="4"/>
      <c r="D6" s="4"/>
      <c r="E6" s="4"/>
    </row>
    <row r="7" spans="2:5" ht="25.5" customHeight="1" x14ac:dyDescent="0.25">
      <c r="B7" s="228" t="s">
        <v>47</v>
      </c>
      <c r="C7" s="228"/>
      <c r="D7" s="228"/>
      <c r="E7" s="228"/>
    </row>
    <row r="8" spans="2:5" x14ac:dyDescent="0.25">
      <c r="B8" s="229" t="s">
        <v>49</v>
      </c>
      <c r="C8" s="229"/>
      <c r="D8" s="229"/>
      <c r="E8" s="229"/>
    </row>
    <row r="9" spans="2:5" x14ac:dyDescent="0.25">
      <c r="B9" s="143"/>
      <c r="C9" s="4"/>
      <c r="D9" s="4"/>
      <c r="E9" s="4"/>
    </row>
    <row r="10" spans="2:5" ht="51" customHeight="1" x14ac:dyDescent="0.25">
      <c r="B10" s="2" t="s">
        <v>419</v>
      </c>
      <c r="C10" s="2" t="s">
        <v>420</v>
      </c>
      <c r="D10" s="2" t="s">
        <v>421</v>
      </c>
      <c r="E10" s="2" t="s">
        <v>422</v>
      </c>
    </row>
    <row r="11" spans="2:5" x14ac:dyDescent="0.25">
      <c r="B11" s="24" t="s">
        <v>423</v>
      </c>
      <c r="C11" s="141">
        <f>'Прил.5 Расчет СМР и ОБ'!J14</f>
        <v>1439928.97</v>
      </c>
      <c r="D11" s="26">
        <f t="shared" ref="D11:D18" si="0">C11/$C$24</f>
        <v>0.34095551653127182</v>
      </c>
      <c r="E11" s="26">
        <f t="shared" ref="E11:E18" si="1">C11/$C$40</f>
        <v>0.10361695573870047</v>
      </c>
    </row>
    <row r="12" spans="2:5" x14ac:dyDescent="0.25">
      <c r="B12" s="24" t="s">
        <v>424</v>
      </c>
      <c r="C12" s="141">
        <f>'Прил.5 Расчет СМР и ОБ'!J32</f>
        <v>186115.11000000002</v>
      </c>
      <c r="D12" s="26">
        <f t="shared" si="0"/>
        <v>4.4069516473666387E-2</v>
      </c>
      <c r="E12" s="26">
        <f t="shared" si="1"/>
        <v>1.3392800281789853E-2</v>
      </c>
    </row>
    <row r="13" spans="2:5" x14ac:dyDescent="0.25">
      <c r="B13" s="24" t="s">
        <v>425</v>
      </c>
      <c r="C13" s="141">
        <f>'Прил.5 Расчет СМР и ОБ'!J44</f>
        <v>29654.379999999997</v>
      </c>
      <c r="D13" s="26">
        <f t="shared" si="0"/>
        <v>7.0217522259550169E-3</v>
      </c>
      <c r="E13" s="26">
        <f t="shared" si="1"/>
        <v>2.1339223280705329E-3</v>
      </c>
    </row>
    <row r="14" spans="2:5" x14ac:dyDescent="0.25">
      <c r="B14" s="24" t="s">
        <v>426</v>
      </c>
      <c r="C14" s="141">
        <f>C13+C12</f>
        <v>215769.49000000002</v>
      </c>
      <c r="D14" s="26">
        <f t="shared" si="0"/>
        <v>5.1091268699621405E-2</v>
      </c>
      <c r="E14" s="26">
        <f t="shared" si="1"/>
        <v>1.5526722609860386E-2</v>
      </c>
    </row>
    <row r="15" spans="2:5" x14ac:dyDescent="0.25">
      <c r="B15" s="24" t="s">
        <v>427</v>
      </c>
      <c r="C15" s="141">
        <f>'Прил.5 Расчет СМР и ОБ'!J16</f>
        <v>66670.36</v>
      </c>
      <c r="D15" s="26">
        <f t="shared" si="0"/>
        <v>1.5786630802438709E-2</v>
      </c>
      <c r="E15" s="26">
        <f t="shared" si="1"/>
        <v>4.7975836899810604E-3</v>
      </c>
    </row>
    <row r="16" spans="2:5" x14ac:dyDescent="0.25">
      <c r="B16" s="24" t="s">
        <v>428</v>
      </c>
      <c r="C16" s="141">
        <f>'Прил.5 Расчет СМР и ОБ'!J138</f>
        <v>426016.57000000007</v>
      </c>
      <c r="D16" s="26">
        <f t="shared" si="0"/>
        <v>0.10087490612486999</v>
      </c>
      <c r="E16" s="26">
        <f t="shared" si="1"/>
        <v>3.0656053873020558E-2</v>
      </c>
    </row>
    <row r="17" spans="2:6" x14ac:dyDescent="0.25">
      <c r="B17" s="24" t="s">
        <v>429</v>
      </c>
      <c r="C17" s="141">
        <f>'Прил.5 Расчет СМР и ОБ'!J188</f>
        <v>62394.409999999989</v>
      </c>
      <c r="D17" s="26">
        <f t="shared" si="0"/>
        <v>1.4774144234499253E-2</v>
      </c>
      <c r="E17" s="26">
        <f t="shared" si="1"/>
        <v>4.489887316672523E-3</v>
      </c>
    </row>
    <row r="18" spans="2:6" x14ac:dyDescent="0.25">
      <c r="B18" s="24" t="s">
        <v>430</v>
      </c>
      <c r="C18" s="141">
        <f>C17+C16</f>
        <v>488410.98000000004</v>
      </c>
      <c r="D18" s="26">
        <f t="shared" si="0"/>
        <v>0.11564905035936923</v>
      </c>
      <c r="E18" s="26">
        <f t="shared" si="1"/>
        <v>3.5145941189693081E-2</v>
      </c>
    </row>
    <row r="19" spans="2:6" x14ac:dyDescent="0.25">
      <c r="B19" s="24" t="s">
        <v>431</v>
      </c>
      <c r="C19" s="141">
        <f>C18+C14+C11</f>
        <v>2144109.44</v>
      </c>
      <c r="D19" s="26"/>
      <c r="E19" s="24"/>
    </row>
    <row r="20" spans="2:6" x14ac:dyDescent="0.25">
      <c r="B20" s="24" t="s">
        <v>432</v>
      </c>
      <c r="C20" s="141">
        <f>ROUND(C21*(C11+C15),2)</f>
        <v>708101.69</v>
      </c>
      <c r="D20" s="26">
        <f>C20/$C$24</f>
        <v>0.167668810407097</v>
      </c>
      <c r="E20" s="26">
        <f>C20/$C$40</f>
        <v>5.0954833884083187E-2</v>
      </c>
    </row>
    <row r="21" spans="2:6" x14ac:dyDescent="0.25">
      <c r="B21" s="24" t="s">
        <v>433</v>
      </c>
      <c r="C21" s="27">
        <f>'Прил.5 Расчет СМР и ОБ'!D192</f>
        <v>0.47</v>
      </c>
      <c r="D21" s="26"/>
      <c r="E21" s="24"/>
    </row>
    <row r="22" spans="2:6" x14ac:dyDescent="0.25">
      <c r="B22" s="24" t="s">
        <v>434</v>
      </c>
      <c r="C22" s="141">
        <f>ROUND(C23*(C11+C15),2)</f>
        <v>1371005.39</v>
      </c>
      <c r="D22" s="26">
        <f>C22/$C$24</f>
        <v>0.32463535400264065</v>
      </c>
      <c r="E22" s="26">
        <f>C22/$C$40</f>
        <v>9.865723085851226E-2</v>
      </c>
    </row>
    <row r="23" spans="2:6" x14ac:dyDescent="0.25">
      <c r="B23" s="24" t="s">
        <v>435</v>
      </c>
      <c r="C23" s="27">
        <f>'Прил.5 Расчет СМР и ОБ'!D191</f>
        <v>0.91</v>
      </c>
      <c r="D23" s="26"/>
      <c r="E23" s="24"/>
    </row>
    <row r="24" spans="2:6" x14ac:dyDescent="0.25">
      <c r="B24" s="24" t="s">
        <v>436</v>
      </c>
      <c r="C24" s="141">
        <f>C19+C20+C22</f>
        <v>4223216.5199999996</v>
      </c>
      <c r="D24" s="26">
        <f>C24/$C$24</f>
        <v>1</v>
      </c>
      <c r="E24" s="26">
        <f>C24/$C$40</f>
        <v>0.30390168428084935</v>
      </c>
    </row>
    <row r="25" spans="2:6" ht="25.5" customHeight="1" x14ac:dyDescent="0.25">
      <c r="B25" s="24" t="s">
        <v>437</v>
      </c>
      <c r="C25" s="141">
        <f>'Прил.5 Расчет СМР и ОБ'!J89</f>
        <v>8356816.9699999997</v>
      </c>
      <c r="D25" s="26"/>
      <c r="E25" s="26">
        <f>C25/$C$40</f>
        <v>0.60135461688565861</v>
      </c>
    </row>
    <row r="26" spans="2:6" ht="25.5" customHeight="1" x14ac:dyDescent="0.25">
      <c r="B26" s="24" t="s">
        <v>438</v>
      </c>
      <c r="C26" s="141">
        <f>'Прил.5 Расчет СМР и ОБ'!J90</f>
        <v>8356816.9699999997</v>
      </c>
      <c r="D26" s="26"/>
      <c r="E26" s="26">
        <f>C26/$C$40</f>
        <v>0.60135461688565861</v>
      </c>
    </row>
    <row r="27" spans="2:6" x14ac:dyDescent="0.25">
      <c r="B27" s="24" t="s">
        <v>439</v>
      </c>
      <c r="C27" s="25">
        <f>C24+C25</f>
        <v>12580033.489999998</v>
      </c>
      <c r="D27" s="26"/>
      <c r="E27" s="26">
        <f>C27/$C$40</f>
        <v>0.9052563011665079</v>
      </c>
    </row>
    <row r="28" spans="2:6" ht="33" customHeight="1" x14ac:dyDescent="0.25">
      <c r="B28" s="24" t="s">
        <v>440</v>
      </c>
      <c r="C28" s="24"/>
      <c r="D28" s="24"/>
      <c r="E28" s="24"/>
      <c r="F28" s="142"/>
    </row>
    <row r="29" spans="2:6" ht="25.5" customHeight="1" x14ac:dyDescent="0.25">
      <c r="B29" s="24" t="s">
        <v>441</v>
      </c>
      <c r="C29" s="25">
        <f>ROUND(C24*3.9%,2)</f>
        <v>164705.44</v>
      </c>
      <c r="D29" s="24"/>
      <c r="E29" s="26">
        <f t="shared" ref="E29:E38" si="2">C29/$C$40</f>
        <v>1.1852165378965317E-2</v>
      </c>
    </row>
    <row r="30" spans="2:6" ht="38.25" customHeight="1" x14ac:dyDescent="0.25">
      <c r="B30" s="24" t="s">
        <v>442</v>
      </c>
      <c r="C30" s="25">
        <f>ROUND((C24+C29)*2.1%,2)</f>
        <v>92146.36</v>
      </c>
      <c r="D30" s="24"/>
      <c r="E30" s="26">
        <f t="shared" si="2"/>
        <v>6.630830759382777E-3</v>
      </c>
      <c r="F30" s="142"/>
    </row>
    <row r="31" spans="2:6" x14ac:dyDescent="0.25">
      <c r="B31" s="24" t="s">
        <v>443</v>
      </c>
      <c r="C31" s="193">
        <v>346520</v>
      </c>
      <c r="D31" s="24"/>
      <c r="E31" s="26">
        <f t="shared" si="2"/>
        <v>2.493549907713468E-2</v>
      </c>
    </row>
    <row r="32" spans="2:6" ht="25.5" customHeight="1" x14ac:dyDescent="0.25">
      <c r="B32" s="24" t="s">
        <v>444</v>
      </c>
      <c r="C32" s="25">
        <f>ROUND($C$27*0,2)</f>
        <v>0</v>
      </c>
      <c r="D32" s="24"/>
      <c r="E32" s="26">
        <f t="shared" si="2"/>
        <v>0</v>
      </c>
    </row>
    <row r="33" spans="2:11" ht="25.5" customHeight="1" x14ac:dyDescent="0.25">
      <c r="B33" s="24" t="s">
        <v>445</v>
      </c>
      <c r="C33" s="25">
        <f>ROUND($C$27*0,2)</f>
        <v>0</v>
      </c>
      <c r="D33" s="24"/>
      <c r="E33" s="26">
        <f t="shared" si="2"/>
        <v>0</v>
      </c>
    </row>
    <row r="34" spans="2:11" ht="51" customHeight="1" x14ac:dyDescent="0.25">
      <c r="B34" s="24" t="s">
        <v>446</v>
      </c>
      <c r="C34" s="25">
        <f>ROUND($C$27*0,2)</f>
        <v>0</v>
      </c>
      <c r="D34" s="24"/>
      <c r="E34" s="26">
        <f t="shared" si="2"/>
        <v>0</v>
      </c>
    </row>
    <row r="35" spans="2:11" ht="76.5" customHeight="1" x14ac:dyDescent="0.25">
      <c r="B35" s="24" t="s">
        <v>447</v>
      </c>
      <c r="C35" s="25">
        <v>0</v>
      </c>
      <c r="D35" s="24"/>
      <c r="E35" s="26">
        <f t="shared" si="2"/>
        <v>0</v>
      </c>
    </row>
    <row r="36" spans="2:11" ht="25.5" customHeight="1" x14ac:dyDescent="0.25">
      <c r="B36" s="24" t="s">
        <v>448</v>
      </c>
      <c r="C36" s="25">
        <f>ROUND((C27+C32+C33+C34+C35+C29+C31+C30)*2.14%,2)</f>
        <v>282124.87</v>
      </c>
      <c r="D36" s="24"/>
      <c r="E36" s="26">
        <f t="shared" si="2"/>
        <v>2.0301640411871585E-2</v>
      </c>
      <c r="K36" s="142"/>
    </row>
    <row r="37" spans="2:11" x14ac:dyDescent="0.25">
      <c r="B37" s="24" t="s">
        <v>449</v>
      </c>
      <c r="C37" s="25">
        <f>ROUND((C27+C32+C33+C34+C35+C29+C31+C30)*0.2%,2)</f>
        <v>26366.81</v>
      </c>
      <c r="D37" s="24"/>
      <c r="E37" s="26">
        <f t="shared" si="2"/>
        <v>1.8973495510273158E-3</v>
      </c>
      <c r="K37" s="142"/>
    </row>
    <row r="38" spans="2:11" ht="38.25" customHeight="1" x14ac:dyDescent="0.25">
      <c r="B38" s="24" t="s">
        <v>450</v>
      </c>
      <c r="C38" s="141">
        <f>C27+C32+C33+C34+C35+C29+C31+C30+C36+C37</f>
        <v>13491896.969999997</v>
      </c>
      <c r="D38" s="24"/>
      <c r="E38" s="26">
        <f t="shared" si="2"/>
        <v>0.97087378634488952</v>
      </c>
    </row>
    <row r="39" spans="2:11" ht="13.5" customHeight="1" x14ac:dyDescent="0.25">
      <c r="B39" s="24" t="s">
        <v>451</v>
      </c>
      <c r="C39" s="141">
        <f>ROUND(C38*3%,2)</f>
        <v>404756.91</v>
      </c>
      <c r="D39" s="24"/>
      <c r="E39" s="26">
        <f>C39/$C$38</f>
        <v>3.0000000066706712E-2</v>
      </c>
    </row>
    <row r="40" spans="2:11" x14ac:dyDescent="0.25">
      <c r="B40" s="24" t="s">
        <v>452</v>
      </c>
      <c r="C40" s="141">
        <f>C39+C38</f>
        <v>13896653.879999997</v>
      </c>
      <c r="D40" s="24"/>
      <c r="E40" s="26">
        <f>C40/$C$40</f>
        <v>1</v>
      </c>
    </row>
    <row r="41" spans="2:11" x14ac:dyDescent="0.25">
      <c r="B41" s="24" t="s">
        <v>453</v>
      </c>
      <c r="C41" s="141">
        <f>C40/'Прил.5 Расчет СМР и ОБ'!E195</f>
        <v>6948326.9399999985</v>
      </c>
      <c r="D41" s="24"/>
      <c r="E41" s="24"/>
    </row>
    <row r="42" spans="2:11" x14ac:dyDescent="0.25">
      <c r="B42" s="145"/>
      <c r="C42" s="4"/>
      <c r="D42" s="4"/>
      <c r="E42" s="4"/>
    </row>
    <row r="43" spans="2:11" x14ac:dyDescent="0.25">
      <c r="B43" s="145" t="s">
        <v>454</v>
      </c>
      <c r="C43" s="4"/>
      <c r="D43" s="4"/>
      <c r="E43" s="4"/>
    </row>
    <row r="44" spans="2:11" x14ac:dyDescent="0.25">
      <c r="B44" s="145" t="s">
        <v>455</v>
      </c>
      <c r="C44" s="4"/>
      <c r="D44" s="4"/>
      <c r="E44" s="4"/>
    </row>
    <row r="45" spans="2:11" x14ac:dyDescent="0.25">
      <c r="B45" s="145"/>
      <c r="C45" s="4"/>
      <c r="D45" s="4"/>
      <c r="E45" s="4"/>
    </row>
    <row r="46" spans="2:11" x14ac:dyDescent="0.25">
      <c r="B46" s="145" t="s">
        <v>456</v>
      </c>
      <c r="C46" s="4"/>
      <c r="D46" s="4"/>
      <c r="E46" s="4"/>
    </row>
    <row r="47" spans="2:11" x14ac:dyDescent="0.25">
      <c r="B47" s="229" t="s">
        <v>457</v>
      </c>
      <c r="C47" s="22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208"/>
  <sheetViews>
    <sheetView tabSelected="1" view="pageBreakPreview" workbookViewId="0">
      <selection activeCell="L28" sqref="L2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5" style="12" customWidth="1"/>
    <col min="12" max="12" width="9.140625" style="12"/>
    <col min="16" max="17" width="25.7109375" customWidth="1"/>
  </cols>
  <sheetData>
    <row r="1" spans="1:17" x14ac:dyDescent="0.25">
      <c r="M1" s="12"/>
      <c r="N1" s="12"/>
    </row>
    <row r="2" spans="1:17" ht="15.75" customHeight="1" x14ac:dyDescent="0.25">
      <c r="H2" s="230" t="s">
        <v>458</v>
      </c>
      <c r="I2" s="230"/>
      <c r="J2" s="230"/>
      <c r="M2" s="12"/>
      <c r="N2" s="12"/>
    </row>
    <row r="3" spans="1:17" x14ac:dyDescent="0.25">
      <c r="M3" s="12"/>
      <c r="N3" s="12"/>
    </row>
    <row r="4" spans="1:17" s="4" customFormat="1" ht="12.75" customHeight="1" x14ac:dyDescent="0.2">
      <c r="A4" s="208" t="s">
        <v>459</v>
      </c>
      <c r="B4" s="208"/>
      <c r="C4" s="208"/>
      <c r="D4" s="208"/>
      <c r="E4" s="208"/>
      <c r="F4" s="208"/>
      <c r="G4" s="208"/>
      <c r="H4" s="208"/>
      <c r="I4" s="208"/>
      <c r="J4" s="208"/>
    </row>
    <row r="5" spans="1:17" s="4" customFormat="1" ht="12.75" customHeight="1" x14ac:dyDescent="0.2">
      <c r="A5" s="171"/>
      <c r="B5" s="171"/>
      <c r="C5" s="32"/>
      <c r="D5" s="171"/>
      <c r="E5" s="171"/>
      <c r="F5" s="171"/>
      <c r="G5" s="171"/>
      <c r="H5" s="171"/>
      <c r="I5" s="171"/>
      <c r="J5" s="171"/>
    </row>
    <row r="6" spans="1:17" s="4" customFormat="1" ht="12.75" customHeight="1" x14ac:dyDescent="0.2">
      <c r="A6" s="150" t="s">
        <v>460</v>
      </c>
      <c r="B6" s="151"/>
      <c r="C6" s="151"/>
      <c r="D6" s="236" t="s">
        <v>461</v>
      </c>
      <c r="E6" s="236"/>
      <c r="F6" s="236"/>
      <c r="G6" s="236"/>
      <c r="H6" s="236"/>
      <c r="I6" s="236"/>
      <c r="J6" s="236"/>
    </row>
    <row r="7" spans="1:17" s="4" customFormat="1" ht="12.75" customHeight="1" x14ac:dyDescent="0.2">
      <c r="A7" s="211" t="s">
        <v>49</v>
      </c>
      <c r="B7" s="228"/>
      <c r="C7" s="228"/>
      <c r="D7" s="228"/>
      <c r="E7" s="228"/>
      <c r="F7" s="228"/>
      <c r="G7" s="228"/>
      <c r="H7" s="228"/>
      <c r="I7" s="46"/>
      <c r="J7" s="46"/>
    </row>
    <row r="8" spans="1:17" s="4" customFormat="1" ht="13.5" customHeight="1" x14ac:dyDescent="0.2">
      <c r="A8" s="211"/>
      <c r="B8" s="228"/>
      <c r="C8" s="228"/>
      <c r="D8" s="228"/>
      <c r="E8" s="228"/>
      <c r="F8" s="228"/>
      <c r="G8" s="228"/>
      <c r="H8" s="228"/>
    </row>
    <row r="9" spans="1:17" ht="27" customHeight="1" x14ac:dyDescent="0.25">
      <c r="A9" s="233" t="s">
        <v>13</v>
      </c>
      <c r="B9" s="233" t="s">
        <v>98</v>
      </c>
      <c r="C9" s="233" t="s">
        <v>419</v>
      </c>
      <c r="D9" s="233" t="s">
        <v>100</v>
      </c>
      <c r="E9" s="234" t="s">
        <v>462</v>
      </c>
      <c r="F9" s="231" t="s">
        <v>102</v>
      </c>
      <c r="G9" s="232"/>
      <c r="H9" s="234" t="s">
        <v>463</v>
      </c>
      <c r="I9" s="231" t="s">
        <v>464</v>
      </c>
      <c r="J9" s="232"/>
      <c r="M9" s="12"/>
      <c r="N9" s="12"/>
    </row>
    <row r="10" spans="1:17" ht="28.5" customHeight="1" x14ac:dyDescent="0.25">
      <c r="A10" s="233"/>
      <c r="B10" s="233"/>
      <c r="C10" s="233"/>
      <c r="D10" s="233"/>
      <c r="E10" s="235"/>
      <c r="F10" s="2" t="s">
        <v>465</v>
      </c>
      <c r="G10" s="2" t="s">
        <v>104</v>
      </c>
      <c r="H10" s="235"/>
      <c r="I10" s="2" t="s">
        <v>465</v>
      </c>
      <c r="J10" s="2" t="s">
        <v>104</v>
      </c>
      <c r="M10" s="12"/>
      <c r="N10" s="12"/>
    </row>
    <row r="11" spans="1:17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5">
        <v>9</v>
      </c>
      <c r="J11" s="125">
        <v>10</v>
      </c>
      <c r="M11" s="12"/>
      <c r="N11" s="12"/>
    </row>
    <row r="12" spans="1:17" x14ac:dyDescent="0.25">
      <c r="A12" s="2"/>
      <c r="B12" s="241" t="s">
        <v>466</v>
      </c>
      <c r="C12" s="242"/>
      <c r="D12" s="233"/>
      <c r="E12" s="243"/>
      <c r="F12" s="244"/>
      <c r="G12" s="244"/>
      <c r="H12" s="245"/>
      <c r="I12" s="128"/>
      <c r="J12" s="128"/>
    </row>
    <row r="13" spans="1:17" ht="25.5" customHeight="1" x14ac:dyDescent="0.25">
      <c r="A13" s="2">
        <v>1</v>
      </c>
      <c r="B13" s="169" t="s">
        <v>108</v>
      </c>
      <c r="C13" s="8" t="s">
        <v>467</v>
      </c>
      <c r="D13" s="2" t="s">
        <v>468</v>
      </c>
      <c r="E13" s="129">
        <v>3240.1736638000002</v>
      </c>
      <c r="F13" s="30">
        <v>9.6199999999999992</v>
      </c>
      <c r="G13" s="30">
        <f>Прил.3!H12</f>
        <v>31166.42</v>
      </c>
      <c r="H13" s="131">
        <f>G13/G14</f>
        <v>1</v>
      </c>
      <c r="I13" s="30">
        <f>ФОТр.тек.!E13</f>
        <v>444.39870291576</v>
      </c>
      <c r="J13" s="30">
        <f>ROUND(I13*E13,2)</f>
        <v>1439928.97</v>
      </c>
    </row>
    <row r="14" spans="1:17" s="12" customFormat="1" ht="25.5" customHeight="1" x14ac:dyDescent="0.2">
      <c r="A14" s="2"/>
      <c r="B14" s="2"/>
      <c r="C14" s="101" t="s">
        <v>469</v>
      </c>
      <c r="D14" s="2" t="s">
        <v>468</v>
      </c>
      <c r="E14" s="129">
        <f>SUM(E13:E13)</f>
        <v>3240.1736638000002</v>
      </c>
      <c r="F14" s="30"/>
      <c r="G14" s="30">
        <f>SUM(G13:G13)</f>
        <v>31166.42</v>
      </c>
      <c r="H14" s="127">
        <v>1</v>
      </c>
      <c r="I14" s="128"/>
      <c r="J14" s="30">
        <f>SUM(J13:J13)</f>
        <v>1439928.97</v>
      </c>
    </row>
    <row r="15" spans="1:17" s="12" customFormat="1" ht="14.25" customHeight="1" x14ac:dyDescent="0.2">
      <c r="A15" s="2"/>
      <c r="B15" s="242" t="s">
        <v>127</v>
      </c>
      <c r="C15" s="242"/>
      <c r="D15" s="233"/>
      <c r="E15" s="243"/>
      <c r="F15" s="244"/>
      <c r="G15" s="244"/>
      <c r="H15" s="245"/>
      <c r="I15" s="128"/>
      <c r="J15" s="128"/>
      <c r="Q15" s="179"/>
    </row>
    <row r="16" spans="1:17" s="12" customFormat="1" ht="14.25" customHeight="1" x14ac:dyDescent="0.2">
      <c r="A16" s="2">
        <v>2</v>
      </c>
      <c r="B16" s="2">
        <v>2</v>
      </c>
      <c r="C16" s="8" t="s">
        <v>127</v>
      </c>
      <c r="D16" s="2" t="s">
        <v>468</v>
      </c>
      <c r="E16" s="129">
        <v>128.6302805</v>
      </c>
      <c r="F16" s="30">
        <f>G16/E16</f>
        <v>11.702532204304724</v>
      </c>
      <c r="G16" s="30">
        <f>Прил.3!H22</f>
        <v>1505.3</v>
      </c>
      <c r="H16" s="127">
        <v>1</v>
      </c>
      <c r="I16" s="30">
        <f>ROUND(F16*Прил.10!D11,2)</f>
        <v>518.30999999999995</v>
      </c>
      <c r="J16" s="30">
        <f>ROUND(I16*E16,2)</f>
        <v>66670.36</v>
      </c>
      <c r="Q16" s="179"/>
    </row>
    <row r="17" spans="1:17" s="12" customFormat="1" ht="14.25" customHeight="1" x14ac:dyDescent="0.2">
      <c r="A17" s="2"/>
      <c r="B17" s="241" t="s">
        <v>128</v>
      </c>
      <c r="C17" s="242"/>
      <c r="D17" s="233"/>
      <c r="E17" s="243"/>
      <c r="F17" s="244"/>
      <c r="G17" s="244"/>
      <c r="H17" s="245"/>
      <c r="I17" s="128"/>
      <c r="J17" s="128"/>
      <c r="Q17" s="179"/>
    </row>
    <row r="18" spans="1:17" s="12" customFormat="1" ht="14.25" customHeight="1" x14ac:dyDescent="0.2">
      <c r="A18" s="2"/>
      <c r="B18" s="242" t="s">
        <v>470</v>
      </c>
      <c r="C18" s="242"/>
      <c r="D18" s="233"/>
      <c r="E18" s="243"/>
      <c r="F18" s="244"/>
      <c r="G18" s="244"/>
      <c r="H18" s="245"/>
      <c r="I18" s="128"/>
      <c r="J18" s="128"/>
      <c r="Q18" s="179"/>
    </row>
    <row r="19" spans="1:17" s="12" customFormat="1" ht="25.5" customHeight="1" x14ac:dyDescent="0.2">
      <c r="A19" s="2">
        <v>3</v>
      </c>
      <c r="B19" s="169" t="s">
        <v>129</v>
      </c>
      <c r="C19" s="8" t="s">
        <v>130</v>
      </c>
      <c r="D19" s="2" t="s">
        <v>131</v>
      </c>
      <c r="E19" s="129">
        <v>73.229219999999998</v>
      </c>
      <c r="F19" s="100">
        <v>131.44</v>
      </c>
      <c r="G19" s="30">
        <f>SUM(G20:G23)</f>
        <v>9625.2499999999982</v>
      </c>
      <c r="H19" s="131">
        <f t="shared" ref="H19:H31" si="0">G19/$G$45</f>
        <v>0.60088485409958248</v>
      </c>
      <c r="I19" s="30">
        <f>ROUND(F19*Прил.10!$D$12,2)</f>
        <v>1770.5</v>
      </c>
      <c r="J19" s="30">
        <f t="shared" ref="J19:J31" si="1">ROUND(I19*E19,2)</f>
        <v>129652.33</v>
      </c>
      <c r="Q19" s="179"/>
    </row>
    <row r="20" spans="1:17" s="12" customFormat="1" ht="25.5" hidden="1" customHeight="1" outlineLevel="1" x14ac:dyDescent="0.2">
      <c r="A20" s="2"/>
      <c r="B20" s="169" t="s">
        <v>129</v>
      </c>
      <c r="C20" s="8" t="s">
        <v>130</v>
      </c>
      <c r="D20" s="2" t="s">
        <v>131</v>
      </c>
      <c r="E20" s="129">
        <v>72.5</v>
      </c>
      <c r="F20" s="100">
        <v>131.44</v>
      </c>
      <c r="G20" s="30">
        <f>ROUND(E20*F20,2)</f>
        <v>9529.4</v>
      </c>
      <c r="H20" s="131">
        <f t="shared" si="0"/>
        <v>0.59490113281801127</v>
      </c>
      <c r="I20" s="30">
        <f>ROUND(F20*Прил.10!$D$12,2)</f>
        <v>1770.5</v>
      </c>
      <c r="J20" s="30">
        <f t="shared" si="1"/>
        <v>128361.25</v>
      </c>
      <c r="Q20" s="179"/>
    </row>
    <row r="21" spans="1:17" s="12" customFormat="1" ht="25.5" hidden="1" customHeight="1" outlineLevel="1" x14ac:dyDescent="0.2">
      <c r="A21" s="2"/>
      <c r="B21" s="169" t="s">
        <v>152</v>
      </c>
      <c r="C21" s="8" t="s">
        <v>153</v>
      </c>
      <c r="D21" s="2" t="s">
        <v>131</v>
      </c>
      <c r="E21" s="129">
        <v>7.4939292000000002</v>
      </c>
      <c r="F21" s="100">
        <v>6.66</v>
      </c>
      <c r="G21" s="30">
        <f>ROUND(E21*F21,2)</f>
        <v>49.91</v>
      </c>
      <c r="H21" s="131">
        <f t="shared" si="0"/>
        <v>3.1157801686304428E-3</v>
      </c>
      <c r="I21" s="30">
        <f>ROUND(F21*Прил.10!$D$12,2)</f>
        <v>89.71</v>
      </c>
      <c r="J21" s="30">
        <f t="shared" si="1"/>
        <v>672.28</v>
      </c>
      <c r="Q21" s="179"/>
    </row>
    <row r="22" spans="1:17" s="12" customFormat="1" ht="25.5" hidden="1" customHeight="1" outlineLevel="1" x14ac:dyDescent="0.2">
      <c r="A22" s="2"/>
      <c r="B22" s="169" t="s">
        <v>156</v>
      </c>
      <c r="C22" s="8" t="s">
        <v>157</v>
      </c>
      <c r="D22" s="2" t="s">
        <v>131</v>
      </c>
      <c r="E22" s="129">
        <v>13.56</v>
      </c>
      <c r="F22" s="100">
        <v>3.28</v>
      </c>
      <c r="G22" s="30">
        <f>ROUND(E22*F22,2)</f>
        <v>44.48</v>
      </c>
      <c r="H22" s="131">
        <f t="shared" si="0"/>
        <v>2.7767962713019854E-3</v>
      </c>
      <c r="I22" s="30">
        <f>ROUND(F22*Прил.10!$D$12,2)</f>
        <v>44.18</v>
      </c>
      <c r="J22" s="30">
        <f t="shared" si="1"/>
        <v>599.08000000000004</v>
      </c>
      <c r="Q22" s="179"/>
    </row>
    <row r="23" spans="1:17" s="12" customFormat="1" ht="25.5" hidden="1" customHeight="1" outlineLevel="1" x14ac:dyDescent="0.2">
      <c r="A23" s="2"/>
      <c r="B23" s="169" t="s">
        <v>168</v>
      </c>
      <c r="C23" s="8" t="s">
        <v>169</v>
      </c>
      <c r="D23" s="2" t="s">
        <v>131</v>
      </c>
      <c r="E23" s="129">
        <v>0.86099689999999995</v>
      </c>
      <c r="F23" s="100">
        <v>1.7</v>
      </c>
      <c r="G23" s="30">
        <f>ROUND(E23*F23,2)</f>
        <v>1.46</v>
      </c>
      <c r="H23" s="131">
        <f t="shared" si="0"/>
        <v>9.1144841638959054E-5</v>
      </c>
      <c r="I23" s="30">
        <f>ROUND(F23*Прил.10!$D$12,2)</f>
        <v>22.9</v>
      </c>
      <c r="J23" s="30">
        <f t="shared" si="1"/>
        <v>19.72</v>
      </c>
    </row>
    <row r="24" spans="1:17" s="12" customFormat="1" ht="25.5" customHeight="1" collapsed="1" x14ac:dyDescent="0.2">
      <c r="A24" s="2">
        <v>4</v>
      </c>
      <c r="B24" s="169" t="s">
        <v>132</v>
      </c>
      <c r="C24" s="8" t="s">
        <v>133</v>
      </c>
      <c r="D24" s="2" t="s">
        <v>131</v>
      </c>
      <c r="E24" s="129">
        <v>11.6417872</v>
      </c>
      <c r="F24" s="100">
        <v>115.4</v>
      </c>
      <c r="G24" s="30">
        <f>ROUND(E24*F24,2)</f>
        <v>1343.46</v>
      </c>
      <c r="H24" s="131">
        <f t="shared" si="0"/>
        <v>8.3869485581010914E-2</v>
      </c>
      <c r="I24" s="30">
        <f>ROUND(F24*Прил.10!$D$12,2)</f>
        <v>1554.44</v>
      </c>
      <c r="J24" s="30">
        <f t="shared" si="1"/>
        <v>18096.46</v>
      </c>
    </row>
    <row r="25" spans="1:17" s="12" customFormat="1" ht="25.5" customHeight="1" x14ac:dyDescent="0.2">
      <c r="A25" s="2">
        <v>5</v>
      </c>
      <c r="B25" s="169" t="s">
        <v>134</v>
      </c>
      <c r="C25" s="8" t="s">
        <v>135</v>
      </c>
      <c r="D25" s="2" t="s">
        <v>131</v>
      </c>
      <c r="E25" s="129">
        <v>138.83045000000001</v>
      </c>
      <c r="F25" s="100">
        <v>8.1</v>
      </c>
      <c r="G25" s="30">
        <f>SUM(G26:G27)</f>
        <v>1124.53</v>
      </c>
      <c r="H25" s="131">
        <f t="shared" si="0"/>
        <v>7.0202129293327822E-2</v>
      </c>
      <c r="I25" s="30">
        <f>ROUND(F25*Прил.10!$D$12,2)</f>
        <v>109.11</v>
      </c>
      <c r="J25" s="30">
        <f t="shared" si="1"/>
        <v>15147.79</v>
      </c>
    </row>
    <row r="26" spans="1:17" s="12" customFormat="1" ht="25.5" hidden="1" customHeight="1" outlineLevel="1" x14ac:dyDescent="0.2">
      <c r="A26" s="2"/>
      <c r="B26" s="169" t="s">
        <v>134</v>
      </c>
      <c r="C26" s="8" t="s">
        <v>135</v>
      </c>
      <c r="D26" s="2" t="s">
        <v>131</v>
      </c>
      <c r="E26" s="129">
        <v>138.201031</v>
      </c>
      <c r="F26" s="100">
        <v>8.1</v>
      </c>
      <c r="G26" s="30">
        <f>ROUND(E26*F26,2)</f>
        <v>1119.43</v>
      </c>
      <c r="H26" s="131">
        <f t="shared" si="0"/>
        <v>6.9883746627328727E-2</v>
      </c>
      <c r="I26" s="30">
        <f>ROUND(F26*Прил.10!$D$12,2)</f>
        <v>109.11</v>
      </c>
      <c r="J26" s="30">
        <f t="shared" si="1"/>
        <v>15079.11</v>
      </c>
    </row>
    <row r="27" spans="1:17" s="12" customFormat="1" ht="14.25" hidden="1" customHeight="1" outlineLevel="1" x14ac:dyDescent="0.2">
      <c r="A27" s="2"/>
      <c r="B27" s="169" t="s">
        <v>166</v>
      </c>
      <c r="C27" s="8" t="s">
        <v>167</v>
      </c>
      <c r="D27" s="2" t="s">
        <v>131</v>
      </c>
      <c r="E27" s="129">
        <v>4.25</v>
      </c>
      <c r="F27" s="100">
        <v>1.2</v>
      </c>
      <c r="G27" s="30">
        <f>ROUND(E27*F27,2)</f>
        <v>5.0999999999999996</v>
      </c>
      <c r="H27" s="131">
        <f t="shared" si="0"/>
        <v>3.1838266599910355E-4</v>
      </c>
      <c r="I27" s="30">
        <f>ROUND(F27*Прил.10!$D$12,2)</f>
        <v>16.16</v>
      </c>
      <c r="J27" s="30">
        <f t="shared" si="1"/>
        <v>68.680000000000007</v>
      </c>
    </row>
    <row r="28" spans="1:17" s="12" customFormat="1" ht="25.5" customHeight="1" collapsed="1" x14ac:dyDescent="0.2">
      <c r="A28" s="2">
        <v>6</v>
      </c>
      <c r="B28" s="169" t="s">
        <v>136</v>
      </c>
      <c r="C28" s="8" t="s">
        <v>137</v>
      </c>
      <c r="D28" s="2" t="s">
        <v>131</v>
      </c>
      <c r="E28" s="129">
        <v>14.2007841</v>
      </c>
      <c r="F28" s="100">
        <v>65.709999999999994</v>
      </c>
      <c r="G28" s="30">
        <f>ROUND(E28*F28,2)</f>
        <v>933.13</v>
      </c>
      <c r="H28" s="131">
        <f t="shared" si="0"/>
        <v>5.8253415122302643E-2</v>
      </c>
      <c r="I28" s="30">
        <f>ROUND(F28*Прил.10!$D$12,2)</f>
        <v>885.11</v>
      </c>
      <c r="J28" s="30">
        <f t="shared" si="1"/>
        <v>12569.26</v>
      </c>
    </row>
    <row r="29" spans="1:17" s="12" customFormat="1" ht="38.25" customHeight="1" x14ac:dyDescent="0.2">
      <c r="A29" s="2">
        <v>7</v>
      </c>
      <c r="B29" s="169" t="s">
        <v>140</v>
      </c>
      <c r="C29" s="8" t="s">
        <v>141</v>
      </c>
      <c r="D29" s="2" t="s">
        <v>131</v>
      </c>
      <c r="E29" s="129">
        <v>7.9059200000000001</v>
      </c>
      <c r="F29" s="100">
        <v>100</v>
      </c>
      <c r="G29" s="30">
        <f>G30+G31</f>
        <v>790.58999999999992</v>
      </c>
      <c r="H29" s="131">
        <f t="shared" si="0"/>
        <v>4.9354931747496326E-2</v>
      </c>
      <c r="I29" s="30">
        <f>ROUND(F29*Прил.10!$D$12,2)</f>
        <v>1347</v>
      </c>
      <c r="J29" s="30">
        <f t="shared" si="1"/>
        <v>10649.27</v>
      </c>
    </row>
    <row r="30" spans="1:17" s="12" customFormat="1" ht="38.25" hidden="1" customHeight="1" outlineLevel="1" x14ac:dyDescent="0.2">
      <c r="A30" s="2"/>
      <c r="B30" s="169" t="s">
        <v>140</v>
      </c>
      <c r="C30" s="8" t="s">
        <v>141</v>
      </c>
      <c r="D30" s="2" t="s">
        <v>131</v>
      </c>
      <c r="E30" s="129">
        <v>6.2741875</v>
      </c>
      <c r="F30" s="100">
        <v>100</v>
      </c>
      <c r="G30" s="30">
        <f>ROUND(E30*F30,2)</f>
        <v>627.41999999999996</v>
      </c>
      <c r="H30" s="131">
        <f t="shared" si="0"/>
        <v>3.9168559274736774E-2</v>
      </c>
      <c r="I30" s="30">
        <f>ROUND(F30*Прил.10!$D$12,2)</f>
        <v>1347</v>
      </c>
      <c r="J30" s="30">
        <f t="shared" si="1"/>
        <v>8451.33</v>
      </c>
    </row>
    <row r="31" spans="1:17" s="12" customFormat="1" ht="38.25" hidden="1" customHeight="1" outlineLevel="1" x14ac:dyDescent="0.2">
      <c r="A31" s="2"/>
      <c r="B31" s="169" t="s">
        <v>148</v>
      </c>
      <c r="C31" s="8" t="s">
        <v>149</v>
      </c>
      <c r="D31" s="2" t="s">
        <v>131</v>
      </c>
      <c r="E31" s="129">
        <v>44.1</v>
      </c>
      <c r="F31" s="100">
        <v>3.7</v>
      </c>
      <c r="G31" s="30">
        <f>ROUND(E31*F31,2)</f>
        <v>163.16999999999999</v>
      </c>
      <c r="H31" s="131">
        <f t="shared" si="0"/>
        <v>1.0186372472759553E-2</v>
      </c>
      <c r="I31" s="30">
        <f>ROUND(F31*Прил.10!$D$12,2)</f>
        <v>49.84</v>
      </c>
      <c r="J31" s="30">
        <f t="shared" si="1"/>
        <v>2197.94</v>
      </c>
    </row>
    <row r="32" spans="1:17" s="12" customFormat="1" ht="14.25" customHeight="1" collapsed="1" x14ac:dyDescent="0.2">
      <c r="A32" s="2"/>
      <c r="B32" s="2"/>
      <c r="C32" s="8" t="s">
        <v>471</v>
      </c>
      <c r="D32" s="2"/>
      <c r="E32" s="129"/>
      <c r="F32" s="30"/>
      <c r="G32" s="30">
        <f>G19+G24+G25+G28+G29</f>
        <v>13816.96</v>
      </c>
      <c r="H32" s="127">
        <f>G32/G45</f>
        <v>0.86256481584372025</v>
      </c>
      <c r="I32" s="130"/>
      <c r="J32" s="30">
        <f>J19+J24+J25+J28+J29</f>
        <v>186115.11000000002</v>
      </c>
    </row>
    <row r="33" spans="1:10" s="12" customFormat="1" ht="25.5" hidden="1" customHeight="1" outlineLevel="1" x14ac:dyDescent="0.2">
      <c r="A33" s="2">
        <v>8</v>
      </c>
      <c r="B33" s="169" t="s">
        <v>138</v>
      </c>
      <c r="C33" s="8" t="s">
        <v>139</v>
      </c>
      <c r="D33" s="2" t="s">
        <v>131</v>
      </c>
      <c r="E33" s="129">
        <v>10.18</v>
      </c>
      <c r="F33" s="100">
        <v>73.12</v>
      </c>
      <c r="G33" s="30">
        <f t="shared" ref="G33:G43" si="2">ROUND(E33*F33,2)</f>
        <v>744.36</v>
      </c>
      <c r="H33" s="131">
        <f t="shared" ref="H33:H43" si="3">G33/$G$45</f>
        <v>4.6468886522175047E-2</v>
      </c>
      <c r="I33" s="30">
        <f>ROUND(F33*Прил.10!$D$12,2)</f>
        <v>984.93</v>
      </c>
      <c r="J33" s="30">
        <f t="shared" ref="J33:J43" si="4">ROUND(I33*E33,2)</f>
        <v>10026.59</v>
      </c>
    </row>
    <row r="34" spans="1:10" s="12" customFormat="1" ht="14.25" hidden="1" customHeight="1" outlineLevel="1" x14ac:dyDescent="0.2">
      <c r="A34" s="2">
        <v>9</v>
      </c>
      <c r="B34" s="169" t="s">
        <v>142</v>
      </c>
      <c r="C34" s="8" t="s">
        <v>143</v>
      </c>
      <c r="D34" s="2" t="s">
        <v>131</v>
      </c>
      <c r="E34" s="129">
        <v>25.09675</v>
      </c>
      <c r="F34" s="100">
        <v>18.68</v>
      </c>
      <c r="G34" s="30">
        <f t="shared" si="2"/>
        <v>468.81</v>
      </c>
      <c r="H34" s="131">
        <f t="shared" si="3"/>
        <v>2.9266858362164656E-2</v>
      </c>
      <c r="I34" s="30">
        <f>ROUND(F34*Прил.10!$D$12,2)</f>
        <v>251.62</v>
      </c>
      <c r="J34" s="30">
        <f t="shared" si="4"/>
        <v>6314.84</v>
      </c>
    </row>
    <row r="35" spans="1:10" s="12" customFormat="1" ht="25.5" hidden="1" customHeight="1" outlineLevel="1" x14ac:dyDescent="0.2">
      <c r="A35" s="2">
        <v>10</v>
      </c>
      <c r="B35" s="169" t="s">
        <v>144</v>
      </c>
      <c r="C35" s="8" t="s">
        <v>145</v>
      </c>
      <c r="D35" s="2" t="s">
        <v>131</v>
      </c>
      <c r="E35" s="129">
        <v>6.0359999999999996</v>
      </c>
      <c r="F35" s="100">
        <v>70</v>
      </c>
      <c r="G35" s="30">
        <f t="shared" si="2"/>
        <v>422.52</v>
      </c>
      <c r="H35" s="131">
        <f t="shared" si="3"/>
        <v>2.6377067458419848E-2</v>
      </c>
      <c r="I35" s="30">
        <f>ROUND(F35*Прил.10!$D$12,2)</f>
        <v>942.9</v>
      </c>
      <c r="J35" s="30">
        <f t="shared" si="4"/>
        <v>5691.34</v>
      </c>
    </row>
    <row r="36" spans="1:10" s="12" customFormat="1" ht="25.5" hidden="1" customHeight="1" outlineLevel="1" x14ac:dyDescent="0.2">
      <c r="A36" s="2">
        <v>11</v>
      </c>
      <c r="B36" s="169" t="s">
        <v>146</v>
      </c>
      <c r="C36" s="8" t="s">
        <v>147</v>
      </c>
      <c r="D36" s="2" t="s">
        <v>131</v>
      </c>
      <c r="E36" s="129">
        <v>6.0359999999999996</v>
      </c>
      <c r="F36" s="100">
        <v>56.24</v>
      </c>
      <c r="G36" s="30">
        <f t="shared" si="2"/>
        <v>339.46</v>
      </c>
      <c r="H36" s="131">
        <f t="shared" si="3"/>
        <v>2.1191799960795232E-2</v>
      </c>
      <c r="I36" s="30">
        <f>ROUND(F36*Прил.10!$D$12,2)</f>
        <v>757.55</v>
      </c>
      <c r="J36" s="30">
        <f t="shared" si="4"/>
        <v>4572.57</v>
      </c>
    </row>
    <row r="37" spans="1:10" s="12" customFormat="1" ht="25.5" hidden="1" customHeight="1" outlineLevel="1" x14ac:dyDescent="0.2">
      <c r="A37" s="2">
        <v>12</v>
      </c>
      <c r="B37" s="169" t="s">
        <v>150</v>
      </c>
      <c r="C37" s="8" t="s">
        <v>151</v>
      </c>
      <c r="D37" s="2" t="s">
        <v>131</v>
      </c>
      <c r="E37" s="129">
        <v>6.0359999999999996</v>
      </c>
      <c r="F37" s="100">
        <v>16.920000000000002</v>
      </c>
      <c r="G37" s="30">
        <f t="shared" si="2"/>
        <v>102.13</v>
      </c>
      <c r="H37" s="131">
        <f t="shared" si="3"/>
        <v>6.3757689565663613E-3</v>
      </c>
      <c r="I37" s="30">
        <f>ROUND(F37*Прил.10!$D$12,2)</f>
        <v>227.91</v>
      </c>
      <c r="J37" s="30">
        <f t="shared" si="4"/>
        <v>1375.66</v>
      </c>
    </row>
    <row r="38" spans="1:10" s="12" customFormat="1" ht="38.25" hidden="1" customHeight="1" outlineLevel="1" x14ac:dyDescent="0.2">
      <c r="A38" s="2">
        <v>13</v>
      </c>
      <c r="B38" s="169" t="s">
        <v>154</v>
      </c>
      <c r="C38" s="8" t="s">
        <v>155</v>
      </c>
      <c r="D38" s="2" t="s">
        <v>131</v>
      </c>
      <c r="E38" s="129">
        <v>7.1935295000000004</v>
      </c>
      <c r="F38" s="100">
        <v>6.82</v>
      </c>
      <c r="G38" s="30">
        <f t="shared" si="2"/>
        <v>49.06</v>
      </c>
      <c r="H38" s="131">
        <f t="shared" si="3"/>
        <v>3.0627163909639258E-3</v>
      </c>
      <c r="I38" s="30">
        <f>ROUND(F38*Прил.10!$D$12,2)</f>
        <v>91.87</v>
      </c>
      <c r="J38" s="30">
        <f t="shared" si="4"/>
        <v>660.87</v>
      </c>
    </row>
    <row r="39" spans="1:10" s="12" customFormat="1" ht="14.25" hidden="1" customHeight="1" outlineLevel="1" x14ac:dyDescent="0.2">
      <c r="A39" s="2">
        <v>14</v>
      </c>
      <c r="B39" s="169" t="s">
        <v>158</v>
      </c>
      <c r="C39" s="8" t="s">
        <v>159</v>
      </c>
      <c r="D39" s="2" t="s">
        <v>131</v>
      </c>
      <c r="E39" s="129">
        <v>1.22818</v>
      </c>
      <c r="F39" s="100">
        <v>30.46</v>
      </c>
      <c r="G39" s="30">
        <f t="shared" si="2"/>
        <v>37.409999999999997</v>
      </c>
      <c r="H39" s="131">
        <f t="shared" si="3"/>
        <v>2.3354304970640122E-3</v>
      </c>
      <c r="I39" s="30">
        <f>ROUND(F39*Прил.10!$D$12,2)</f>
        <v>410.3</v>
      </c>
      <c r="J39" s="30">
        <f t="shared" si="4"/>
        <v>503.92</v>
      </c>
    </row>
    <row r="40" spans="1:10" s="12" customFormat="1" ht="14.25" hidden="1" customHeight="1" outlineLevel="1" x14ac:dyDescent="0.2">
      <c r="A40" s="2">
        <v>15</v>
      </c>
      <c r="B40" s="169" t="s">
        <v>160</v>
      </c>
      <c r="C40" s="8" t="s">
        <v>161</v>
      </c>
      <c r="D40" s="2" t="s">
        <v>131</v>
      </c>
      <c r="E40" s="129">
        <v>6.0359999999999996</v>
      </c>
      <c r="F40" s="100">
        <v>2.36</v>
      </c>
      <c r="G40" s="30">
        <f t="shared" si="2"/>
        <v>14.24</v>
      </c>
      <c r="H40" s="131">
        <f t="shared" si="3"/>
        <v>8.8897434584847741E-4</v>
      </c>
      <c r="I40" s="30">
        <f>ROUND(F40*Прил.10!$D$12,2)</f>
        <v>31.79</v>
      </c>
      <c r="J40" s="30">
        <f t="shared" si="4"/>
        <v>191.88</v>
      </c>
    </row>
    <row r="41" spans="1:10" s="12" customFormat="1" ht="25.5" hidden="1" customHeight="1" outlineLevel="1" x14ac:dyDescent="0.2">
      <c r="A41" s="2">
        <v>16</v>
      </c>
      <c r="B41" s="169" t="s">
        <v>162</v>
      </c>
      <c r="C41" s="8" t="s">
        <v>163</v>
      </c>
      <c r="D41" s="2" t="s">
        <v>131</v>
      </c>
      <c r="E41" s="129">
        <v>13.56</v>
      </c>
      <c r="F41" s="100">
        <v>0.9</v>
      </c>
      <c r="G41" s="30">
        <f t="shared" si="2"/>
        <v>12.2</v>
      </c>
      <c r="H41" s="131">
        <f t="shared" si="3"/>
        <v>7.616212794488359E-4</v>
      </c>
      <c r="I41" s="30">
        <f>ROUND(F41*Прил.10!$D$12,2)</f>
        <v>12.12</v>
      </c>
      <c r="J41" s="30">
        <f t="shared" si="4"/>
        <v>164.35</v>
      </c>
    </row>
    <row r="42" spans="1:10" s="12" customFormat="1" ht="14.25" hidden="1" customHeight="1" outlineLevel="1" x14ac:dyDescent="0.2">
      <c r="A42" s="2">
        <v>17</v>
      </c>
      <c r="B42" s="169" t="s">
        <v>164</v>
      </c>
      <c r="C42" s="8" t="s">
        <v>165</v>
      </c>
      <c r="D42" s="2" t="s">
        <v>131</v>
      </c>
      <c r="E42" s="129">
        <v>0.52234499999999995</v>
      </c>
      <c r="F42" s="100">
        <v>19.760000000000002</v>
      </c>
      <c r="G42" s="30">
        <f t="shared" si="2"/>
        <v>10.32</v>
      </c>
      <c r="H42" s="131">
        <f t="shared" si="3"/>
        <v>6.442566888452449E-4</v>
      </c>
      <c r="I42" s="30">
        <f>ROUND(F42*Прил.10!$D$12,2)</f>
        <v>266.17</v>
      </c>
      <c r="J42" s="30">
        <f t="shared" si="4"/>
        <v>139.03</v>
      </c>
    </row>
    <row r="43" spans="1:10" s="12" customFormat="1" ht="14.25" hidden="1" customHeight="1" outlineLevel="1" x14ac:dyDescent="0.2">
      <c r="A43" s="2">
        <v>18</v>
      </c>
      <c r="B43" s="169" t="s">
        <v>170</v>
      </c>
      <c r="C43" s="8" t="s">
        <v>171</v>
      </c>
      <c r="D43" s="2" t="s">
        <v>131</v>
      </c>
      <c r="E43" s="129">
        <v>1.09969E-2</v>
      </c>
      <c r="F43" s="100">
        <v>89.99</v>
      </c>
      <c r="G43" s="30">
        <f t="shared" si="2"/>
        <v>0.99</v>
      </c>
      <c r="H43" s="131">
        <f t="shared" si="3"/>
        <v>6.1803693988061277E-5</v>
      </c>
      <c r="I43" s="30">
        <f>ROUND(F43*Прил.10!$D$12,2)</f>
        <v>1212.17</v>
      </c>
      <c r="J43" s="30">
        <f t="shared" si="4"/>
        <v>13.33</v>
      </c>
    </row>
    <row r="44" spans="1:10" s="12" customFormat="1" ht="14.25" customHeight="1" collapsed="1" x14ac:dyDescent="0.2">
      <c r="A44" s="2"/>
      <c r="B44" s="2"/>
      <c r="C44" s="8" t="s">
        <v>472</v>
      </c>
      <c r="D44" s="2"/>
      <c r="E44" s="126"/>
      <c r="F44" s="30"/>
      <c r="G44" s="130">
        <f>SUM(G33:G43)</f>
        <v>2201.4999999999995</v>
      </c>
      <c r="H44" s="131">
        <f>G44/G45</f>
        <v>0.13743518415627967</v>
      </c>
      <c r="I44" s="30"/>
      <c r="J44" s="30">
        <f>SUM(J33:J43)</f>
        <v>29654.379999999997</v>
      </c>
    </row>
    <row r="45" spans="1:10" s="12" customFormat="1" ht="25.5" customHeight="1" x14ac:dyDescent="0.2">
      <c r="A45" s="2"/>
      <c r="B45" s="2"/>
      <c r="C45" s="101" t="s">
        <v>473</v>
      </c>
      <c r="D45" s="2"/>
      <c r="E45" s="126"/>
      <c r="F45" s="30"/>
      <c r="G45" s="30">
        <f>G44+G32</f>
        <v>16018.46</v>
      </c>
      <c r="H45" s="132">
        <v>1</v>
      </c>
      <c r="I45" s="133"/>
      <c r="J45" s="134">
        <f>J44+J32</f>
        <v>215769.49000000002</v>
      </c>
    </row>
    <row r="46" spans="1:10" s="12" customFormat="1" ht="14.25" customHeight="1" x14ac:dyDescent="0.2">
      <c r="A46" s="2"/>
      <c r="B46" s="241" t="s">
        <v>43</v>
      </c>
      <c r="C46" s="241"/>
      <c r="D46" s="246"/>
      <c r="E46" s="247"/>
      <c r="F46" s="248"/>
      <c r="G46" s="248"/>
      <c r="H46" s="249"/>
      <c r="I46" s="128"/>
      <c r="J46" s="128"/>
    </row>
    <row r="47" spans="1:10" x14ac:dyDescent="0.25">
      <c r="A47" s="2"/>
      <c r="B47" s="242" t="s">
        <v>474</v>
      </c>
      <c r="C47" s="242"/>
      <c r="D47" s="233"/>
      <c r="E47" s="243"/>
      <c r="F47" s="244"/>
      <c r="G47" s="244"/>
      <c r="H47" s="245"/>
      <c r="I47" s="128"/>
      <c r="J47" s="128"/>
    </row>
    <row r="48" spans="1:10" s="12" customFormat="1" ht="25.5" customHeight="1" x14ac:dyDescent="0.2">
      <c r="A48" s="2">
        <v>19</v>
      </c>
      <c r="B48" s="2" t="s">
        <v>172</v>
      </c>
      <c r="C48" s="8" t="s">
        <v>173</v>
      </c>
      <c r="D48" s="2" t="s">
        <v>174</v>
      </c>
      <c r="E48" s="135">
        <v>1</v>
      </c>
      <c r="F48" s="100">
        <v>259933.87</v>
      </c>
      <c r="G48" s="30">
        <f>ROUND(E48*F48,2)</f>
        <v>259933.87</v>
      </c>
      <c r="H48" s="131">
        <f t="shared" ref="H48:H88" si="5">G48/$G$89</f>
        <v>0.1947136710790546</v>
      </c>
      <c r="I48" s="30">
        <f>ROUND(F48*Прил.10!$D$14,2)</f>
        <v>1627186.03</v>
      </c>
      <c r="J48" s="30">
        <f t="shared" ref="J48:J58" si="6">ROUND(I48*E48,2)</f>
        <v>1627186.03</v>
      </c>
    </row>
    <row r="49" spans="1:10" s="12" customFormat="1" ht="14.25" customHeight="1" x14ac:dyDescent="0.2">
      <c r="A49" s="2">
        <v>20</v>
      </c>
      <c r="B49" s="2" t="s">
        <v>175</v>
      </c>
      <c r="C49" s="8" t="s">
        <v>176</v>
      </c>
      <c r="D49" s="2" t="s">
        <v>177</v>
      </c>
      <c r="E49" s="135">
        <v>3.7489890350877002</v>
      </c>
      <c r="F49" s="100">
        <v>68400</v>
      </c>
      <c r="G49" s="30">
        <f>G50+G51</f>
        <v>256430.85</v>
      </c>
      <c r="H49" s="131">
        <f t="shared" si="5"/>
        <v>0.19208959640935747</v>
      </c>
      <c r="I49" s="30">
        <f>ROUND(F49*Прил.10!$D$14,2)</f>
        <v>428184</v>
      </c>
      <c r="J49" s="30">
        <f t="shared" si="6"/>
        <v>1605257.12</v>
      </c>
    </row>
    <row r="50" spans="1:10" s="12" customFormat="1" ht="14.25" hidden="1" customHeight="1" outlineLevel="1" x14ac:dyDescent="0.2">
      <c r="A50" s="2"/>
      <c r="B50" s="2" t="s">
        <v>175</v>
      </c>
      <c r="C50" s="8" t="s">
        <v>176</v>
      </c>
      <c r="D50" s="2" t="s">
        <v>177</v>
      </c>
      <c r="E50" s="135">
        <v>3.74</v>
      </c>
      <c r="F50" s="100">
        <v>68400</v>
      </c>
      <c r="G50" s="30">
        <f t="shared" ref="G50:G55" si="7">ROUND(E50*F50,2)</f>
        <v>255816</v>
      </c>
      <c r="H50" s="131">
        <f t="shared" si="5"/>
        <v>0.19162901887606809</v>
      </c>
      <c r="I50" s="30">
        <f>ROUND(F50*Прил.10!$D$14,2)</f>
        <v>428184</v>
      </c>
      <c r="J50" s="30">
        <f t="shared" si="6"/>
        <v>1601408.16</v>
      </c>
    </row>
    <row r="51" spans="1:10" s="12" customFormat="1" ht="14.25" hidden="1" customHeight="1" outlineLevel="1" x14ac:dyDescent="0.2">
      <c r="A51" s="2"/>
      <c r="B51" s="2" t="s">
        <v>224</v>
      </c>
      <c r="C51" s="8" t="s">
        <v>225</v>
      </c>
      <c r="D51" s="2" t="s">
        <v>185</v>
      </c>
      <c r="E51" s="135">
        <v>1</v>
      </c>
      <c r="F51" s="100">
        <v>614.85</v>
      </c>
      <c r="G51" s="30">
        <f t="shared" si="7"/>
        <v>614.85</v>
      </c>
      <c r="H51" s="131">
        <f t="shared" si="5"/>
        <v>4.6057753328935825E-4</v>
      </c>
      <c r="I51" s="30">
        <f>ROUND(F51*Прил.10!$D$14,2)</f>
        <v>3848.96</v>
      </c>
      <c r="J51" s="30">
        <f t="shared" si="6"/>
        <v>3848.96</v>
      </c>
    </row>
    <row r="52" spans="1:10" s="12" customFormat="1" ht="14.25" customHeight="1" collapsed="1" x14ac:dyDescent="0.2">
      <c r="A52" s="2">
        <v>21</v>
      </c>
      <c r="B52" s="2" t="s">
        <v>172</v>
      </c>
      <c r="C52" s="8" t="s">
        <v>178</v>
      </c>
      <c r="D52" s="2" t="s">
        <v>174</v>
      </c>
      <c r="E52" s="135">
        <v>8</v>
      </c>
      <c r="F52" s="100">
        <v>26987.96</v>
      </c>
      <c r="G52" s="30">
        <f t="shared" si="7"/>
        <v>215903.68</v>
      </c>
      <c r="H52" s="131">
        <f t="shared" si="5"/>
        <v>0.16173112850694471</v>
      </c>
      <c r="I52" s="30">
        <f>ROUND(F52*Прил.10!$D$14,2)</f>
        <v>168944.63</v>
      </c>
      <c r="J52" s="30">
        <f t="shared" si="6"/>
        <v>1351557.04</v>
      </c>
    </row>
    <row r="53" spans="1:10" s="12" customFormat="1" ht="25.5" customHeight="1" x14ac:dyDescent="0.2">
      <c r="A53" s="2">
        <v>22</v>
      </c>
      <c r="B53" s="2" t="s">
        <v>172</v>
      </c>
      <c r="C53" s="8" t="s">
        <v>179</v>
      </c>
      <c r="D53" s="2" t="s">
        <v>174</v>
      </c>
      <c r="E53" s="135">
        <v>3</v>
      </c>
      <c r="F53" s="100">
        <v>51888.959999999999</v>
      </c>
      <c r="G53" s="30">
        <f t="shared" si="7"/>
        <v>155666.88</v>
      </c>
      <c r="H53" s="131">
        <f t="shared" si="5"/>
        <v>0.11660838839595111</v>
      </c>
      <c r="I53" s="30">
        <f>ROUND(F53*Прил.10!$D$14,2)</f>
        <v>324824.89</v>
      </c>
      <c r="J53" s="30">
        <f t="shared" si="6"/>
        <v>974474.67</v>
      </c>
    </row>
    <row r="54" spans="1:10" s="12" customFormat="1" ht="14.25" customHeight="1" x14ac:dyDescent="0.2">
      <c r="A54" s="2">
        <v>23</v>
      </c>
      <c r="B54" s="2" t="s">
        <v>172</v>
      </c>
      <c r="C54" s="8" t="s">
        <v>180</v>
      </c>
      <c r="D54" s="2" t="s">
        <v>174</v>
      </c>
      <c r="E54" s="135">
        <v>6</v>
      </c>
      <c r="F54" s="100">
        <v>19543.009999999998</v>
      </c>
      <c r="G54" s="30">
        <f t="shared" si="7"/>
        <v>117258.06</v>
      </c>
      <c r="H54" s="131">
        <f t="shared" si="5"/>
        <v>8.7836753733586348E-2</v>
      </c>
      <c r="I54" s="30">
        <f>ROUND(F54*Прил.10!$D$14,2)</f>
        <v>122339.24</v>
      </c>
      <c r="J54" s="30">
        <f t="shared" si="6"/>
        <v>734035.44</v>
      </c>
    </row>
    <row r="55" spans="1:10" s="12" customFormat="1" ht="25.5" customHeight="1" x14ac:dyDescent="0.2">
      <c r="A55" s="2">
        <v>24</v>
      </c>
      <c r="B55" s="2" t="s">
        <v>172</v>
      </c>
      <c r="C55" s="8" t="s">
        <v>181</v>
      </c>
      <c r="D55" s="2" t="s">
        <v>174</v>
      </c>
      <c r="E55" s="135">
        <v>2</v>
      </c>
      <c r="F55" s="100">
        <v>42129.34</v>
      </c>
      <c r="G55" s="30">
        <f t="shared" si="7"/>
        <v>84258.68</v>
      </c>
      <c r="H55" s="131">
        <f t="shared" si="5"/>
        <v>6.3117272493481952E-2</v>
      </c>
      <c r="I55" s="30">
        <f>ROUND(F55*Прил.10!$D$14,2)</f>
        <v>263729.67</v>
      </c>
      <c r="J55" s="30">
        <f t="shared" si="6"/>
        <v>527459.34</v>
      </c>
    </row>
    <row r="56" spans="1:10" s="12" customFormat="1" ht="38.25" customHeight="1" x14ac:dyDescent="0.2">
      <c r="A56" s="2">
        <v>25</v>
      </c>
      <c r="B56" s="2" t="s">
        <v>183</v>
      </c>
      <c r="C56" s="8" t="s">
        <v>184</v>
      </c>
      <c r="D56" s="2" t="s">
        <v>185</v>
      </c>
      <c r="E56" s="135">
        <v>635.36851000000001</v>
      </c>
      <c r="F56" s="100">
        <v>116.52</v>
      </c>
      <c r="G56" s="30">
        <f>G57+G58</f>
        <v>74033.279999999999</v>
      </c>
      <c r="H56" s="131">
        <f t="shared" si="5"/>
        <v>5.5457535144702579E-2</v>
      </c>
      <c r="I56" s="30">
        <f>ROUND(F56*Прил.10!$D$14,2)</f>
        <v>729.42</v>
      </c>
      <c r="J56" s="30">
        <f t="shared" si="6"/>
        <v>463450.5</v>
      </c>
    </row>
    <row r="57" spans="1:10" s="12" customFormat="1" ht="38.25" hidden="1" customHeight="1" outlineLevel="1" x14ac:dyDescent="0.2">
      <c r="A57" s="2"/>
      <c r="B57" s="2" t="s">
        <v>183</v>
      </c>
      <c r="C57" s="8" t="s">
        <v>184</v>
      </c>
      <c r="D57" s="2" t="s">
        <v>185</v>
      </c>
      <c r="E57" s="135">
        <v>457</v>
      </c>
      <c r="F57" s="100">
        <v>116.52</v>
      </c>
      <c r="G57" s="30">
        <f>ROUND(E57*F57,2)</f>
        <v>53249.64</v>
      </c>
      <c r="H57" s="131">
        <f t="shared" si="5"/>
        <v>3.9888733576882725E-2</v>
      </c>
      <c r="I57" s="30">
        <f>ROUND(F57*Прил.10!$D$14,2)</f>
        <v>729.42</v>
      </c>
      <c r="J57" s="30">
        <f t="shared" si="6"/>
        <v>333344.94</v>
      </c>
    </row>
    <row r="58" spans="1:10" s="12" customFormat="1" ht="14.25" hidden="1" customHeight="1" outlineLevel="1" x14ac:dyDescent="0.2">
      <c r="A58" s="2"/>
      <c r="B58" s="2" t="s">
        <v>186</v>
      </c>
      <c r="C58" s="8" t="s">
        <v>187</v>
      </c>
      <c r="D58" s="2" t="s">
        <v>188</v>
      </c>
      <c r="E58" s="135">
        <v>6</v>
      </c>
      <c r="F58" s="100">
        <v>3463.94</v>
      </c>
      <c r="G58" s="30">
        <f>ROUND(E58*F58,2)</f>
        <v>20783.64</v>
      </c>
      <c r="H58" s="131">
        <f t="shared" si="5"/>
        <v>1.5568801567819854E-2</v>
      </c>
      <c r="I58" s="30">
        <f>ROUND(F58*Прил.10!$D$14,2)</f>
        <v>21684.26</v>
      </c>
      <c r="J58" s="30">
        <f t="shared" si="6"/>
        <v>130105.56</v>
      </c>
    </row>
    <row r="59" spans="1:10" collapsed="1" x14ac:dyDescent="0.25">
      <c r="A59" s="2"/>
      <c r="B59" s="2"/>
      <c r="C59" s="8" t="s">
        <v>475</v>
      </c>
      <c r="D59" s="2"/>
      <c r="E59" s="129"/>
      <c r="F59" s="100"/>
      <c r="G59" s="30">
        <f>G48+G52+G53+G54+G55+G56+G49</f>
        <v>1163485.3</v>
      </c>
      <c r="H59" s="131">
        <f t="shared" si="5"/>
        <v>0.87155434576307877</v>
      </c>
      <c r="I59" s="130"/>
      <c r="J59" s="30">
        <f>J48+J52+J53+J54+J55+J56+J49</f>
        <v>7283420.1399999997</v>
      </c>
    </row>
    <row r="60" spans="1:10" s="12" customFormat="1" ht="14.25" hidden="1" customHeight="1" outlineLevel="1" x14ac:dyDescent="0.2">
      <c r="A60" s="2">
        <v>26</v>
      </c>
      <c r="B60" s="2" t="s">
        <v>172</v>
      </c>
      <c r="C60" s="8" t="s">
        <v>182</v>
      </c>
      <c r="D60" s="2" t="s">
        <v>174</v>
      </c>
      <c r="E60" s="135">
        <v>4</v>
      </c>
      <c r="F60" s="100">
        <v>17978.77</v>
      </c>
      <c r="G60" s="30">
        <f t="shared" ref="G60:G87" si="8">ROUND(E60*F60,2)</f>
        <v>71915.08</v>
      </c>
      <c r="H60" s="131">
        <f t="shared" si="5"/>
        <v>5.3870814268044014E-2</v>
      </c>
      <c r="I60" s="30">
        <f>ROUND(F60*Прил.10!$D$14,2)</f>
        <v>112547.1</v>
      </c>
      <c r="J60" s="30">
        <f t="shared" ref="J60:J87" si="9">ROUND(I60*E60,2)</f>
        <v>450188.4</v>
      </c>
    </row>
    <row r="61" spans="1:10" s="12" customFormat="1" ht="63.75" hidden="1" customHeight="1" outlineLevel="1" x14ac:dyDescent="0.2">
      <c r="A61" s="2">
        <v>27</v>
      </c>
      <c r="B61" s="2" t="s">
        <v>189</v>
      </c>
      <c r="C61" s="8" t="s">
        <v>190</v>
      </c>
      <c r="D61" s="2" t="s">
        <v>185</v>
      </c>
      <c r="E61" s="135">
        <v>6</v>
      </c>
      <c r="F61" s="100">
        <v>1958.38</v>
      </c>
      <c r="G61" s="30">
        <f t="shared" si="8"/>
        <v>11750.28</v>
      </c>
      <c r="H61" s="131">
        <f t="shared" si="5"/>
        <v>8.8020085839786624E-3</v>
      </c>
      <c r="I61" s="30">
        <f>ROUND(F61*Прил.10!$D$14,2)</f>
        <v>12259.46</v>
      </c>
      <c r="J61" s="30">
        <f t="shared" si="9"/>
        <v>73556.759999999995</v>
      </c>
    </row>
    <row r="62" spans="1:10" s="12" customFormat="1" ht="25.5" hidden="1" customHeight="1" outlineLevel="1" x14ac:dyDescent="0.2">
      <c r="A62" s="2">
        <v>28</v>
      </c>
      <c r="B62" s="2" t="s">
        <v>191</v>
      </c>
      <c r="C62" s="8" t="s">
        <v>192</v>
      </c>
      <c r="D62" s="2" t="s">
        <v>188</v>
      </c>
      <c r="E62" s="135">
        <v>24</v>
      </c>
      <c r="F62" s="100">
        <v>410.04</v>
      </c>
      <c r="G62" s="30">
        <f t="shared" si="8"/>
        <v>9840.9599999999991</v>
      </c>
      <c r="H62" s="131">
        <f t="shared" si="5"/>
        <v>7.3717574725530493E-3</v>
      </c>
      <c r="I62" s="30">
        <f>ROUND(F62*Прил.10!$D$14,2)</f>
        <v>2566.85</v>
      </c>
      <c r="J62" s="30">
        <f t="shared" si="9"/>
        <v>61604.4</v>
      </c>
    </row>
    <row r="63" spans="1:10" s="12" customFormat="1" ht="14.25" hidden="1" customHeight="1" outlineLevel="1" x14ac:dyDescent="0.2">
      <c r="A63" s="2">
        <v>29</v>
      </c>
      <c r="B63" s="2" t="s">
        <v>172</v>
      </c>
      <c r="C63" s="8" t="s">
        <v>193</v>
      </c>
      <c r="D63" s="2" t="s">
        <v>174</v>
      </c>
      <c r="E63" s="135">
        <v>1</v>
      </c>
      <c r="F63" s="100">
        <v>9028.99</v>
      </c>
      <c r="G63" s="30">
        <f t="shared" si="8"/>
        <v>9028.99</v>
      </c>
      <c r="H63" s="131">
        <f t="shared" si="5"/>
        <v>6.7635194637623531E-3</v>
      </c>
      <c r="I63" s="30">
        <f>ROUND(F63*Прил.10!$D$14,2)</f>
        <v>56521.48</v>
      </c>
      <c r="J63" s="30">
        <f t="shared" si="9"/>
        <v>56521.48</v>
      </c>
    </row>
    <row r="64" spans="1:10" s="12" customFormat="1" ht="38.25" hidden="1" customHeight="1" outlineLevel="1" x14ac:dyDescent="0.2">
      <c r="A64" s="2">
        <v>30</v>
      </c>
      <c r="B64" s="2" t="s">
        <v>194</v>
      </c>
      <c r="C64" s="8" t="s">
        <v>195</v>
      </c>
      <c r="D64" s="2" t="s">
        <v>185</v>
      </c>
      <c r="E64" s="135">
        <v>38</v>
      </c>
      <c r="F64" s="100">
        <v>187</v>
      </c>
      <c r="G64" s="30">
        <f t="shared" si="8"/>
        <v>7106</v>
      </c>
      <c r="H64" s="131">
        <f t="shared" si="5"/>
        <v>5.3230283021130026E-3</v>
      </c>
      <c r="I64" s="30">
        <f>ROUND(F64*Прил.10!$D$14,2)</f>
        <v>1170.6199999999999</v>
      </c>
      <c r="J64" s="30">
        <f t="shared" si="9"/>
        <v>44483.56</v>
      </c>
    </row>
    <row r="65" spans="1:10" s="12" customFormat="1" ht="14.25" hidden="1" customHeight="1" outlineLevel="1" x14ac:dyDescent="0.2">
      <c r="A65" s="2">
        <v>31</v>
      </c>
      <c r="B65" s="2" t="s">
        <v>172</v>
      </c>
      <c r="C65" s="8" t="s">
        <v>196</v>
      </c>
      <c r="D65" s="2" t="s">
        <v>174</v>
      </c>
      <c r="E65" s="135">
        <v>28</v>
      </c>
      <c r="F65" s="100">
        <v>218.79</v>
      </c>
      <c r="G65" s="30">
        <f t="shared" si="8"/>
        <v>6126.12</v>
      </c>
      <c r="H65" s="131">
        <f t="shared" si="5"/>
        <v>4.5890107151900514E-3</v>
      </c>
      <c r="I65" s="30">
        <f>ROUND(F65*Прил.10!$D$14,2)</f>
        <v>1369.63</v>
      </c>
      <c r="J65" s="30">
        <f t="shared" si="9"/>
        <v>38349.64</v>
      </c>
    </row>
    <row r="66" spans="1:10" s="12" customFormat="1" ht="38.25" hidden="1" customHeight="1" outlineLevel="1" x14ac:dyDescent="0.2">
      <c r="A66" s="2">
        <v>32</v>
      </c>
      <c r="B66" s="2" t="s">
        <v>197</v>
      </c>
      <c r="C66" s="8" t="s">
        <v>198</v>
      </c>
      <c r="D66" s="2" t="s">
        <v>185</v>
      </c>
      <c r="E66" s="135">
        <v>31</v>
      </c>
      <c r="F66" s="100">
        <v>182.89</v>
      </c>
      <c r="G66" s="30">
        <f t="shared" si="8"/>
        <v>5669.59</v>
      </c>
      <c r="H66" s="131">
        <f t="shared" si="5"/>
        <v>4.2470289940018096E-3</v>
      </c>
      <c r="I66" s="30">
        <f>ROUND(F66*Прил.10!$D$14,2)</f>
        <v>1144.8900000000001</v>
      </c>
      <c r="J66" s="30">
        <f t="shared" si="9"/>
        <v>35491.589999999997</v>
      </c>
    </row>
    <row r="67" spans="1:10" s="12" customFormat="1" ht="14.25" hidden="1" customHeight="1" outlineLevel="1" x14ac:dyDescent="0.2">
      <c r="A67" s="2">
        <v>33</v>
      </c>
      <c r="B67" s="2" t="s">
        <v>172</v>
      </c>
      <c r="C67" s="8" t="s">
        <v>199</v>
      </c>
      <c r="D67" s="2" t="s">
        <v>174</v>
      </c>
      <c r="E67" s="135">
        <v>26</v>
      </c>
      <c r="F67" s="100">
        <v>213.84</v>
      </c>
      <c r="G67" s="30">
        <f t="shared" si="8"/>
        <v>5559.84</v>
      </c>
      <c r="H67" s="131">
        <f t="shared" si="5"/>
        <v>4.1648164473993745E-3</v>
      </c>
      <c r="I67" s="30">
        <f>ROUND(F67*Прил.10!$D$14,2)</f>
        <v>1338.64</v>
      </c>
      <c r="J67" s="30">
        <f t="shared" si="9"/>
        <v>34804.639999999999</v>
      </c>
    </row>
    <row r="68" spans="1:10" s="12" customFormat="1" ht="38.25" hidden="1" customHeight="1" outlineLevel="1" x14ac:dyDescent="0.2">
      <c r="A68" s="2">
        <v>34</v>
      </c>
      <c r="B68" s="2" t="s">
        <v>200</v>
      </c>
      <c r="C68" s="8" t="s">
        <v>201</v>
      </c>
      <c r="D68" s="2" t="s">
        <v>185</v>
      </c>
      <c r="E68" s="135">
        <v>6</v>
      </c>
      <c r="F68" s="100">
        <v>809.71</v>
      </c>
      <c r="G68" s="30">
        <f t="shared" si="8"/>
        <v>4858.26</v>
      </c>
      <c r="H68" s="131">
        <f t="shared" si="5"/>
        <v>3.6392704023393637E-3</v>
      </c>
      <c r="I68" s="30">
        <f>ROUND(F68*Прил.10!$D$14,2)</f>
        <v>5068.78</v>
      </c>
      <c r="J68" s="30">
        <f t="shared" si="9"/>
        <v>30412.68</v>
      </c>
    </row>
    <row r="69" spans="1:10" s="12" customFormat="1" ht="14.25" hidden="1" customHeight="1" outlineLevel="1" x14ac:dyDescent="0.2">
      <c r="A69" s="2">
        <v>35</v>
      </c>
      <c r="B69" s="2" t="s">
        <v>172</v>
      </c>
      <c r="C69" s="8" t="s">
        <v>202</v>
      </c>
      <c r="D69" s="2" t="s">
        <v>185</v>
      </c>
      <c r="E69" s="135">
        <v>6</v>
      </c>
      <c r="F69" s="100">
        <v>752.42</v>
      </c>
      <c r="G69" s="30">
        <f t="shared" si="8"/>
        <v>4514.5200000000004</v>
      </c>
      <c r="H69" s="131">
        <f t="shared" si="5"/>
        <v>3.3817784591127493E-3</v>
      </c>
      <c r="I69" s="30">
        <f>ROUND(F69*Прил.10!$D$14,2)</f>
        <v>4710.1499999999996</v>
      </c>
      <c r="J69" s="30">
        <f t="shared" si="9"/>
        <v>28260.9</v>
      </c>
    </row>
    <row r="70" spans="1:10" s="12" customFormat="1" ht="14.25" hidden="1" customHeight="1" outlineLevel="1" x14ac:dyDescent="0.2">
      <c r="A70" s="2">
        <v>36</v>
      </c>
      <c r="B70" s="2" t="s">
        <v>172</v>
      </c>
      <c r="C70" s="8" t="s">
        <v>203</v>
      </c>
      <c r="D70" s="2" t="s">
        <v>174</v>
      </c>
      <c r="E70" s="135">
        <v>2</v>
      </c>
      <c r="F70" s="100">
        <v>2110.7199999999998</v>
      </c>
      <c r="G70" s="30">
        <f t="shared" si="8"/>
        <v>4221.4399999999996</v>
      </c>
      <c r="H70" s="131">
        <f t="shared" si="5"/>
        <v>3.1622353779442603E-3</v>
      </c>
      <c r="I70" s="30">
        <f>ROUND(F70*Прил.10!$D$14,2)</f>
        <v>13213.11</v>
      </c>
      <c r="J70" s="30">
        <f t="shared" si="9"/>
        <v>26426.22</v>
      </c>
    </row>
    <row r="71" spans="1:10" s="12" customFormat="1" ht="63.75" hidden="1" customHeight="1" outlineLevel="1" x14ac:dyDescent="0.2">
      <c r="A71" s="2">
        <v>37</v>
      </c>
      <c r="B71" s="2" t="s">
        <v>204</v>
      </c>
      <c r="C71" s="8" t="s">
        <v>205</v>
      </c>
      <c r="D71" s="2" t="s">
        <v>188</v>
      </c>
      <c r="E71" s="135">
        <v>6</v>
      </c>
      <c r="F71" s="100">
        <v>688.2</v>
      </c>
      <c r="G71" s="30">
        <f t="shared" si="8"/>
        <v>4129.2</v>
      </c>
      <c r="H71" s="131">
        <f t="shared" si="5"/>
        <v>3.0931393843350702E-3</v>
      </c>
      <c r="I71" s="30">
        <f>ROUND(F71*Прил.10!$D$14,2)</f>
        <v>4308.13</v>
      </c>
      <c r="J71" s="30">
        <f t="shared" si="9"/>
        <v>25848.78</v>
      </c>
    </row>
    <row r="72" spans="1:10" s="12" customFormat="1" ht="14.25" hidden="1" customHeight="1" outlineLevel="1" x14ac:dyDescent="0.2">
      <c r="A72" s="2">
        <v>38</v>
      </c>
      <c r="B72" s="2" t="s">
        <v>172</v>
      </c>
      <c r="C72" s="8" t="s">
        <v>206</v>
      </c>
      <c r="D72" s="2" t="s">
        <v>174</v>
      </c>
      <c r="E72" s="135">
        <v>16</v>
      </c>
      <c r="F72" s="100">
        <v>249.49</v>
      </c>
      <c r="G72" s="30">
        <f t="shared" si="8"/>
        <v>3991.84</v>
      </c>
      <c r="H72" s="131">
        <f t="shared" si="5"/>
        <v>2.990244483184178E-3</v>
      </c>
      <c r="I72" s="30">
        <f>ROUND(F72*Прил.10!$D$14,2)</f>
        <v>1561.81</v>
      </c>
      <c r="J72" s="30">
        <f t="shared" si="9"/>
        <v>24988.959999999999</v>
      </c>
    </row>
    <row r="73" spans="1:10" s="12" customFormat="1" ht="14.25" hidden="1" customHeight="1" outlineLevel="1" x14ac:dyDescent="0.2">
      <c r="A73" s="2">
        <v>39</v>
      </c>
      <c r="B73" s="2" t="s">
        <v>172</v>
      </c>
      <c r="C73" s="8" t="s">
        <v>207</v>
      </c>
      <c r="D73" s="2" t="s">
        <v>174</v>
      </c>
      <c r="E73" s="135">
        <v>16</v>
      </c>
      <c r="F73" s="100">
        <v>218.79</v>
      </c>
      <c r="G73" s="30">
        <f t="shared" si="8"/>
        <v>3500.64</v>
      </c>
      <c r="H73" s="131">
        <f t="shared" si="5"/>
        <v>2.622291837251458E-3</v>
      </c>
      <c r="I73" s="30">
        <f>ROUND(F73*Прил.10!$D$14,2)</f>
        <v>1369.63</v>
      </c>
      <c r="J73" s="30">
        <f t="shared" si="9"/>
        <v>21914.080000000002</v>
      </c>
    </row>
    <row r="74" spans="1:10" s="12" customFormat="1" ht="14.25" hidden="1" customHeight="1" outlineLevel="1" x14ac:dyDescent="0.2">
      <c r="A74" s="2">
        <v>40</v>
      </c>
      <c r="B74" s="2" t="s">
        <v>172</v>
      </c>
      <c r="C74" s="8" t="s">
        <v>208</v>
      </c>
      <c r="D74" s="2" t="s">
        <v>174</v>
      </c>
      <c r="E74" s="135">
        <v>2</v>
      </c>
      <c r="F74" s="100">
        <v>1643.43</v>
      </c>
      <c r="G74" s="30">
        <f t="shared" si="8"/>
        <v>3286.86</v>
      </c>
      <c r="H74" s="131">
        <f t="shared" si="5"/>
        <v>2.4621515346303327E-3</v>
      </c>
      <c r="I74" s="30">
        <f>ROUND(F74*Прил.10!$D$14,2)</f>
        <v>10287.870000000001</v>
      </c>
      <c r="J74" s="30">
        <f t="shared" si="9"/>
        <v>20575.740000000002</v>
      </c>
    </row>
    <row r="75" spans="1:10" s="12" customFormat="1" ht="14.25" hidden="1" customHeight="1" outlineLevel="1" x14ac:dyDescent="0.2">
      <c r="A75" s="2">
        <v>41</v>
      </c>
      <c r="B75" s="2" t="s">
        <v>209</v>
      </c>
      <c r="C75" s="8" t="s">
        <v>210</v>
      </c>
      <c r="D75" s="2" t="s">
        <v>185</v>
      </c>
      <c r="E75" s="135">
        <v>7</v>
      </c>
      <c r="F75" s="100">
        <v>422.41</v>
      </c>
      <c r="G75" s="30">
        <f t="shared" si="8"/>
        <v>2956.87</v>
      </c>
      <c r="H75" s="131">
        <f t="shared" si="5"/>
        <v>2.2149595687684879E-3</v>
      </c>
      <c r="I75" s="30">
        <f>ROUND(F75*Прил.10!$D$14,2)</f>
        <v>2644.29</v>
      </c>
      <c r="J75" s="30">
        <f t="shared" si="9"/>
        <v>18510.03</v>
      </c>
    </row>
    <row r="76" spans="1:10" s="12" customFormat="1" ht="51" hidden="1" customHeight="1" outlineLevel="1" x14ac:dyDescent="0.2">
      <c r="A76" s="2">
        <v>42</v>
      </c>
      <c r="B76" s="2" t="s">
        <v>211</v>
      </c>
      <c r="C76" s="8" t="s">
        <v>212</v>
      </c>
      <c r="D76" s="2" t="s">
        <v>185</v>
      </c>
      <c r="E76" s="135">
        <v>17</v>
      </c>
      <c r="F76" s="100">
        <v>168.8</v>
      </c>
      <c r="G76" s="30">
        <f t="shared" si="8"/>
        <v>2869.6</v>
      </c>
      <c r="H76" s="131">
        <f t="shared" si="5"/>
        <v>2.1495865487958727E-3</v>
      </c>
      <c r="I76" s="30">
        <f>ROUND(F76*Прил.10!$D$14,2)</f>
        <v>1056.69</v>
      </c>
      <c r="J76" s="30">
        <f t="shared" si="9"/>
        <v>17963.73</v>
      </c>
    </row>
    <row r="77" spans="1:10" s="12" customFormat="1" ht="25.5" hidden="1" customHeight="1" outlineLevel="1" x14ac:dyDescent="0.2">
      <c r="A77" s="2">
        <v>43</v>
      </c>
      <c r="B77" s="2" t="s">
        <v>172</v>
      </c>
      <c r="C77" s="8" t="s">
        <v>213</v>
      </c>
      <c r="D77" s="2" t="s">
        <v>174</v>
      </c>
      <c r="E77" s="135">
        <v>2</v>
      </c>
      <c r="F77" s="100">
        <v>1073.18</v>
      </c>
      <c r="G77" s="30">
        <f t="shared" si="8"/>
        <v>2146.36</v>
      </c>
      <c r="H77" s="131">
        <f t="shared" si="5"/>
        <v>1.6078152303016136E-3</v>
      </c>
      <c r="I77" s="30">
        <f>ROUND(F77*Прил.10!$D$14,2)</f>
        <v>6718.11</v>
      </c>
      <c r="J77" s="30">
        <f t="shared" si="9"/>
        <v>13436.22</v>
      </c>
    </row>
    <row r="78" spans="1:10" s="12" customFormat="1" ht="25.5" hidden="1" customHeight="1" outlineLevel="1" x14ac:dyDescent="0.2">
      <c r="A78" s="2">
        <v>44</v>
      </c>
      <c r="B78" s="2" t="s">
        <v>214</v>
      </c>
      <c r="C78" s="8" t="s">
        <v>215</v>
      </c>
      <c r="D78" s="2" t="s">
        <v>185</v>
      </c>
      <c r="E78" s="135">
        <v>6</v>
      </c>
      <c r="F78" s="100">
        <v>243.85</v>
      </c>
      <c r="G78" s="30">
        <f t="shared" si="8"/>
        <v>1463.1</v>
      </c>
      <c r="H78" s="131">
        <f t="shared" si="5"/>
        <v>1.0959925005377897E-3</v>
      </c>
      <c r="I78" s="30">
        <f>ROUND(F78*Прил.10!$D$14,2)</f>
        <v>1526.5</v>
      </c>
      <c r="J78" s="30">
        <f t="shared" si="9"/>
        <v>9159</v>
      </c>
    </row>
    <row r="79" spans="1:10" s="12" customFormat="1" ht="14.25" hidden="1" customHeight="1" outlineLevel="1" x14ac:dyDescent="0.2">
      <c r="A79" s="2">
        <v>45</v>
      </c>
      <c r="B79" s="2" t="s">
        <v>216</v>
      </c>
      <c r="C79" s="8" t="s">
        <v>217</v>
      </c>
      <c r="D79" s="2" t="s">
        <v>185</v>
      </c>
      <c r="E79" s="135">
        <v>38</v>
      </c>
      <c r="F79" s="100">
        <v>38.380000000000003</v>
      </c>
      <c r="G79" s="30">
        <f t="shared" si="8"/>
        <v>1458.44</v>
      </c>
      <c r="H79" s="131">
        <f t="shared" si="5"/>
        <v>1.0925017445727115E-3</v>
      </c>
      <c r="I79" s="30">
        <f>ROUND(F79*Прил.10!$D$14,2)</f>
        <v>240.26</v>
      </c>
      <c r="J79" s="30">
        <f t="shared" si="9"/>
        <v>9129.8799999999992</v>
      </c>
    </row>
    <row r="80" spans="1:10" s="12" customFormat="1" ht="14.25" hidden="1" customHeight="1" outlineLevel="1" x14ac:dyDescent="0.2">
      <c r="A80" s="2">
        <v>46</v>
      </c>
      <c r="B80" s="2" t="s">
        <v>172</v>
      </c>
      <c r="C80" s="8" t="s">
        <v>218</v>
      </c>
      <c r="D80" s="2" t="s">
        <v>174</v>
      </c>
      <c r="E80" s="135">
        <v>6</v>
      </c>
      <c r="F80" s="100">
        <v>213.84</v>
      </c>
      <c r="G80" s="30">
        <f t="shared" si="8"/>
        <v>1283.04</v>
      </c>
      <c r="H80" s="131">
        <f t="shared" si="5"/>
        <v>9.6111148786139414E-4</v>
      </c>
      <c r="I80" s="30">
        <f>ROUND(F80*Прил.10!$D$14,2)</f>
        <v>1338.64</v>
      </c>
      <c r="J80" s="30">
        <f t="shared" si="9"/>
        <v>8031.84</v>
      </c>
    </row>
    <row r="81" spans="1:11" s="12" customFormat="1" ht="51" hidden="1" customHeight="1" outlineLevel="1" x14ac:dyDescent="0.2">
      <c r="A81" s="2">
        <v>47</v>
      </c>
      <c r="B81" s="2" t="s">
        <v>219</v>
      </c>
      <c r="C81" s="8" t="s">
        <v>220</v>
      </c>
      <c r="D81" s="2" t="s">
        <v>185</v>
      </c>
      <c r="E81" s="135">
        <v>3</v>
      </c>
      <c r="F81" s="100">
        <v>396.74</v>
      </c>
      <c r="G81" s="30">
        <f t="shared" si="8"/>
        <v>1190.22</v>
      </c>
      <c r="H81" s="131">
        <f t="shared" si="5"/>
        <v>8.9158102247972675E-4</v>
      </c>
      <c r="I81" s="30">
        <f>ROUND(F81*Прил.10!$D$14,2)</f>
        <v>2483.59</v>
      </c>
      <c r="J81" s="30">
        <f t="shared" si="9"/>
        <v>7450.77</v>
      </c>
    </row>
    <row r="82" spans="1:11" s="12" customFormat="1" ht="25.5" hidden="1" customHeight="1" outlineLevel="1" x14ac:dyDescent="0.2">
      <c r="A82" s="2">
        <v>48</v>
      </c>
      <c r="B82" s="2" t="s">
        <v>172</v>
      </c>
      <c r="C82" s="8" t="s">
        <v>221</v>
      </c>
      <c r="D82" s="2" t="s">
        <v>174</v>
      </c>
      <c r="E82" s="135">
        <v>3</v>
      </c>
      <c r="F82" s="100">
        <v>279.19</v>
      </c>
      <c r="G82" s="30">
        <f t="shared" si="8"/>
        <v>837.57</v>
      </c>
      <c r="H82" s="131">
        <f t="shared" si="5"/>
        <v>6.2741469392074136E-4</v>
      </c>
      <c r="I82" s="30">
        <f>ROUND(F82*Прил.10!$D$14,2)</f>
        <v>1747.73</v>
      </c>
      <c r="J82" s="30">
        <f t="shared" si="9"/>
        <v>5243.19</v>
      </c>
    </row>
    <row r="83" spans="1:11" s="12" customFormat="1" ht="38.25" hidden="1" customHeight="1" outlineLevel="1" x14ac:dyDescent="0.2">
      <c r="A83" s="2">
        <v>49</v>
      </c>
      <c r="B83" s="2" t="s">
        <v>222</v>
      </c>
      <c r="C83" s="8" t="s">
        <v>223</v>
      </c>
      <c r="D83" s="2" t="s">
        <v>185</v>
      </c>
      <c r="E83" s="135">
        <v>1</v>
      </c>
      <c r="F83" s="100">
        <v>627.51</v>
      </c>
      <c r="G83" s="30">
        <f t="shared" si="8"/>
        <v>627.51</v>
      </c>
      <c r="H83" s="131">
        <f t="shared" si="5"/>
        <v>4.7006100335757531E-4</v>
      </c>
      <c r="I83" s="30">
        <f>ROUND(F83*Прил.10!$D$14,2)</f>
        <v>3928.21</v>
      </c>
      <c r="J83" s="30">
        <f t="shared" si="9"/>
        <v>3928.21</v>
      </c>
    </row>
    <row r="84" spans="1:11" s="12" customFormat="1" ht="38.25" hidden="1" customHeight="1" outlineLevel="1" x14ac:dyDescent="0.2">
      <c r="A84" s="2">
        <v>50</v>
      </c>
      <c r="B84" s="2" t="s">
        <v>226</v>
      </c>
      <c r="C84" s="8" t="s">
        <v>227</v>
      </c>
      <c r="D84" s="2" t="s">
        <v>188</v>
      </c>
      <c r="E84" s="135">
        <v>5.4</v>
      </c>
      <c r="F84" s="100">
        <v>62.4</v>
      </c>
      <c r="G84" s="30">
        <f t="shared" si="8"/>
        <v>336.96</v>
      </c>
      <c r="H84" s="131">
        <f t="shared" si="5"/>
        <v>2.524131180242045E-4</v>
      </c>
      <c r="I84" s="30">
        <f>ROUND(F84*Прил.10!$D$14,2)</f>
        <v>390.62</v>
      </c>
      <c r="J84" s="30">
        <f t="shared" si="9"/>
        <v>2109.35</v>
      </c>
    </row>
    <row r="85" spans="1:11" s="12" customFormat="1" ht="14.25" hidden="1" customHeight="1" outlineLevel="1" x14ac:dyDescent="0.2">
      <c r="A85" s="2">
        <v>51</v>
      </c>
      <c r="B85" s="2" t="s">
        <v>228</v>
      </c>
      <c r="C85" s="8" t="s">
        <v>229</v>
      </c>
      <c r="D85" s="2" t="s">
        <v>185</v>
      </c>
      <c r="E85" s="135">
        <v>7</v>
      </c>
      <c r="F85" s="100">
        <v>44.3</v>
      </c>
      <c r="G85" s="30">
        <f t="shared" si="8"/>
        <v>310.10000000000002</v>
      </c>
      <c r="H85" s="131">
        <f t="shared" si="5"/>
        <v>2.3229258042291616E-4</v>
      </c>
      <c r="I85" s="30">
        <f>ROUND(F85*Прил.10!$D$14,2)</f>
        <v>277.32</v>
      </c>
      <c r="J85" s="30">
        <f t="shared" si="9"/>
        <v>1941.24</v>
      </c>
    </row>
    <row r="86" spans="1:11" s="12" customFormat="1" ht="38.25" hidden="1" customHeight="1" outlineLevel="1" x14ac:dyDescent="0.2">
      <c r="A86" s="2">
        <v>52</v>
      </c>
      <c r="B86" s="2" t="s">
        <v>230</v>
      </c>
      <c r="C86" s="8" t="s">
        <v>231</v>
      </c>
      <c r="D86" s="2" t="s">
        <v>188</v>
      </c>
      <c r="E86" s="135">
        <v>1.6</v>
      </c>
      <c r="F86" s="100">
        <v>175.3</v>
      </c>
      <c r="G86" s="30">
        <f t="shared" si="8"/>
        <v>280.48</v>
      </c>
      <c r="H86" s="131">
        <f t="shared" si="5"/>
        <v>2.1010455645604492E-4</v>
      </c>
      <c r="I86" s="30">
        <f>ROUND(F86*Прил.10!$D$14,2)</f>
        <v>1097.3800000000001</v>
      </c>
      <c r="J86" s="30">
        <f t="shared" si="9"/>
        <v>1755.81</v>
      </c>
    </row>
    <row r="87" spans="1:11" s="12" customFormat="1" ht="38.25" hidden="1" customHeight="1" outlineLevel="1" x14ac:dyDescent="0.2">
      <c r="A87" s="2">
        <v>53</v>
      </c>
      <c r="B87" s="2" t="s">
        <v>232</v>
      </c>
      <c r="C87" s="8" t="s">
        <v>233</v>
      </c>
      <c r="D87" s="2" t="s">
        <v>188</v>
      </c>
      <c r="E87" s="135">
        <v>2.2000000000000002</v>
      </c>
      <c r="F87" s="100">
        <v>95.1</v>
      </c>
      <c r="G87" s="30">
        <f t="shared" si="8"/>
        <v>209.22</v>
      </c>
      <c r="H87" s="131">
        <f t="shared" si="5"/>
        <v>1.5672445558233641E-4</v>
      </c>
      <c r="I87" s="30">
        <f>ROUND(F87*Прил.10!$D$14,2)</f>
        <v>595.33000000000004</v>
      </c>
      <c r="J87" s="30">
        <f t="shared" si="9"/>
        <v>1309.73</v>
      </c>
    </row>
    <row r="88" spans="1:11" collapsed="1" x14ac:dyDescent="0.25">
      <c r="A88" s="2"/>
      <c r="B88" s="2"/>
      <c r="C88" s="8" t="s">
        <v>476</v>
      </c>
      <c r="D88" s="2"/>
      <c r="E88" s="129"/>
      <c r="F88" s="100"/>
      <c r="G88" s="30">
        <f>SUM(G60:G87)</f>
        <v>171469.09000000003</v>
      </c>
      <c r="H88" s="131">
        <f t="shared" si="5"/>
        <v>0.12844565423692117</v>
      </c>
      <c r="I88" s="130"/>
      <c r="J88" s="30">
        <f>SUM(J60:J87)</f>
        <v>1073396.83</v>
      </c>
    </row>
    <row r="89" spans="1:11" x14ac:dyDescent="0.25">
      <c r="A89" s="2"/>
      <c r="B89" s="2"/>
      <c r="C89" s="101" t="s">
        <v>477</v>
      </c>
      <c r="D89" s="2"/>
      <c r="E89" s="126"/>
      <c r="F89" s="100"/>
      <c r="G89" s="30">
        <f>G59+G88</f>
        <v>1334954.3900000001</v>
      </c>
      <c r="H89" s="127">
        <v>1</v>
      </c>
      <c r="I89" s="130"/>
      <c r="J89" s="30">
        <f>J88+J59</f>
        <v>8356816.9699999997</v>
      </c>
    </row>
    <row r="90" spans="1:11" ht="25.5" customHeight="1" x14ac:dyDescent="0.25">
      <c r="A90" s="2"/>
      <c r="B90" s="2"/>
      <c r="C90" s="8" t="s">
        <v>478</v>
      </c>
      <c r="D90" s="2"/>
      <c r="E90" s="135"/>
      <c r="F90" s="100"/>
      <c r="G90" s="30">
        <f>'Прил.6 Расчет ОБ'!G49</f>
        <v>1334954.3899999999</v>
      </c>
      <c r="H90" s="127"/>
      <c r="I90" s="130"/>
      <c r="J90" s="30">
        <f>J89</f>
        <v>8356816.9699999997</v>
      </c>
      <c r="K90" s="180"/>
    </row>
    <row r="91" spans="1:11" s="12" customFormat="1" ht="14.25" customHeight="1" x14ac:dyDescent="0.2">
      <c r="A91" s="2"/>
      <c r="B91" s="241" t="s">
        <v>234</v>
      </c>
      <c r="C91" s="241"/>
      <c r="D91" s="246"/>
      <c r="E91" s="247"/>
      <c r="F91" s="248"/>
      <c r="G91" s="248"/>
      <c r="H91" s="249"/>
      <c r="I91" s="128"/>
      <c r="J91" s="128"/>
    </row>
    <row r="92" spans="1:11" s="12" customFormat="1" ht="14.25" customHeight="1" x14ac:dyDescent="0.2">
      <c r="A92" s="125"/>
      <c r="B92" s="237" t="s">
        <v>479</v>
      </c>
      <c r="C92" s="237"/>
      <c r="D92" s="234"/>
      <c r="E92" s="238"/>
      <c r="F92" s="239"/>
      <c r="G92" s="239"/>
      <c r="H92" s="240"/>
      <c r="I92" s="138"/>
      <c r="J92" s="138"/>
    </row>
    <row r="93" spans="1:11" s="12" customFormat="1" ht="25.5" customHeight="1" x14ac:dyDescent="0.2">
      <c r="A93" s="2">
        <v>54</v>
      </c>
      <c r="B93" s="2" t="s">
        <v>235</v>
      </c>
      <c r="C93" s="8" t="s">
        <v>236</v>
      </c>
      <c r="D93" s="2" t="s">
        <v>185</v>
      </c>
      <c r="E93" s="135">
        <v>38</v>
      </c>
      <c r="F93" s="100">
        <v>266.67</v>
      </c>
      <c r="G93" s="30">
        <f>ROUND(E93*F93,2)</f>
        <v>10133.459999999999</v>
      </c>
      <c r="H93" s="131">
        <f t="shared" ref="H93:H124" si="10">G93/$G$189</f>
        <v>0.16681193939337072</v>
      </c>
      <c r="I93" s="30">
        <f>ROUND(F93*Прил.10!$D$13,2)</f>
        <v>2144.0300000000002</v>
      </c>
      <c r="J93" s="30">
        <f t="shared" ref="J93:J137" si="11">ROUND(I93*E93,2)</f>
        <v>81473.14</v>
      </c>
    </row>
    <row r="94" spans="1:11" s="12" customFormat="1" ht="51" customHeight="1" x14ac:dyDescent="0.2">
      <c r="A94" s="2">
        <v>55</v>
      </c>
      <c r="B94" s="169" t="s">
        <v>252</v>
      </c>
      <c r="C94" s="8" t="s">
        <v>253</v>
      </c>
      <c r="D94" s="2" t="s">
        <v>249</v>
      </c>
      <c r="E94" s="129">
        <f>G94/F94</f>
        <v>256.01116071428572</v>
      </c>
      <c r="F94" s="100">
        <v>35.840000000000003</v>
      </c>
      <c r="G94" s="30">
        <f>SUM(G95:G99)</f>
        <v>9175.44</v>
      </c>
      <c r="H94" s="131">
        <f t="shared" si="10"/>
        <v>0.15104149433535136</v>
      </c>
      <c r="I94" s="30">
        <f>ROUND(F94*Прил.10!$D$13,2)</f>
        <v>288.14999999999998</v>
      </c>
      <c r="J94" s="30">
        <f t="shared" si="11"/>
        <v>73769.62</v>
      </c>
    </row>
    <row r="95" spans="1:11" s="12" customFormat="1" ht="51" hidden="1" customHeight="1" outlineLevel="1" x14ac:dyDescent="0.2">
      <c r="A95" s="2"/>
      <c r="B95" s="169" t="s">
        <v>252</v>
      </c>
      <c r="C95" s="8" t="s">
        <v>253</v>
      </c>
      <c r="D95" s="2" t="s">
        <v>249</v>
      </c>
      <c r="E95" s="129">
        <v>54.4</v>
      </c>
      <c r="F95" s="100">
        <v>35.840000000000003</v>
      </c>
      <c r="G95" s="30">
        <f>ROUND(E95*F95,2)</f>
        <v>1949.7</v>
      </c>
      <c r="H95" s="131">
        <f t="shared" si="10"/>
        <v>3.2094984164861257E-2</v>
      </c>
      <c r="I95" s="30">
        <f>ROUND(F95*Прил.10!$D$13,2)</f>
        <v>288.14999999999998</v>
      </c>
      <c r="J95" s="30">
        <f t="shared" si="11"/>
        <v>15675.36</v>
      </c>
    </row>
    <row r="96" spans="1:11" s="12" customFormat="1" ht="51" hidden="1" customHeight="1" outlineLevel="1" x14ac:dyDescent="0.2">
      <c r="A96" s="2"/>
      <c r="B96" s="169" t="s">
        <v>254</v>
      </c>
      <c r="C96" s="8" t="s">
        <v>255</v>
      </c>
      <c r="D96" s="2" t="s">
        <v>249</v>
      </c>
      <c r="E96" s="129">
        <v>63.02</v>
      </c>
      <c r="F96" s="100">
        <v>25.28</v>
      </c>
      <c r="G96" s="30">
        <f>ROUND(E96*F96,2)</f>
        <v>1593.15</v>
      </c>
      <c r="H96" s="131">
        <f t="shared" si="10"/>
        <v>2.6225636776041804E-2</v>
      </c>
      <c r="I96" s="30">
        <f>ROUND(F96*Прил.10!$D$13,2)</f>
        <v>203.25</v>
      </c>
      <c r="J96" s="30">
        <f t="shared" si="11"/>
        <v>12808.82</v>
      </c>
    </row>
    <row r="97" spans="1:10" s="12" customFormat="1" ht="51" hidden="1" customHeight="1" outlineLevel="1" x14ac:dyDescent="0.2">
      <c r="A97" s="2"/>
      <c r="B97" s="169" t="s">
        <v>256</v>
      </c>
      <c r="C97" s="8" t="s">
        <v>257</v>
      </c>
      <c r="D97" s="2" t="s">
        <v>249</v>
      </c>
      <c r="E97" s="129">
        <v>55.8</v>
      </c>
      <c r="F97" s="100">
        <v>27.2</v>
      </c>
      <c r="G97" s="30">
        <f>ROUND(E97*F97,2)</f>
        <v>1517.76</v>
      </c>
      <c r="H97" s="131">
        <f t="shared" si="10"/>
        <v>2.4984604383269125E-2</v>
      </c>
      <c r="I97" s="30">
        <f>ROUND(F97*Прил.10!$D$13,2)</f>
        <v>218.69</v>
      </c>
      <c r="J97" s="30">
        <f t="shared" si="11"/>
        <v>12202.9</v>
      </c>
    </row>
    <row r="98" spans="1:10" s="12" customFormat="1" ht="51" hidden="1" customHeight="1" outlineLevel="1" x14ac:dyDescent="0.2">
      <c r="A98" s="2"/>
      <c r="B98" s="169" t="s">
        <v>258</v>
      </c>
      <c r="C98" s="8" t="s">
        <v>259</v>
      </c>
      <c r="D98" s="2" t="s">
        <v>249</v>
      </c>
      <c r="E98" s="129">
        <v>32.58</v>
      </c>
      <c r="F98" s="100">
        <v>42.88</v>
      </c>
      <c r="G98" s="30">
        <f>ROUND(E98*F98,2)</f>
        <v>1397.03</v>
      </c>
      <c r="H98" s="131">
        <f t="shared" si="10"/>
        <v>2.2997207635962514E-2</v>
      </c>
      <c r="I98" s="30">
        <f>ROUND(F98*Прил.10!$D$13,2)</f>
        <v>344.76</v>
      </c>
      <c r="J98" s="30">
        <f t="shared" si="11"/>
        <v>11232.28</v>
      </c>
    </row>
    <row r="99" spans="1:10" s="12" customFormat="1" ht="51" hidden="1" customHeight="1" outlineLevel="1" x14ac:dyDescent="0.2">
      <c r="A99" s="2"/>
      <c r="B99" s="169" t="s">
        <v>247</v>
      </c>
      <c r="C99" s="8" t="s">
        <v>248</v>
      </c>
      <c r="D99" s="2" t="s">
        <v>249</v>
      </c>
      <c r="E99" s="129">
        <v>88.47</v>
      </c>
      <c r="F99" s="100">
        <v>30.72</v>
      </c>
      <c r="G99" s="30">
        <f>ROUND(E99*F99,2)</f>
        <v>2717.8</v>
      </c>
      <c r="H99" s="131">
        <f t="shared" si="10"/>
        <v>4.473906137521666E-2</v>
      </c>
      <c r="I99" s="30">
        <f>ROUND(F99*Прил.10!$D$13,2)</f>
        <v>246.99</v>
      </c>
      <c r="J99" s="30">
        <f t="shared" si="11"/>
        <v>21851.21</v>
      </c>
    </row>
    <row r="100" spans="1:10" s="12" customFormat="1" ht="51" customHeight="1" collapsed="1" x14ac:dyDescent="0.2">
      <c r="A100" s="2">
        <v>56</v>
      </c>
      <c r="B100" s="169" t="s">
        <v>237</v>
      </c>
      <c r="C100" s="8" t="s">
        <v>238</v>
      </c>
      <c r="D100" s="2" t="s">
        <v>185</v>
      </c>
      <c r="E100" s="129">
        <f>G100/F100</f>
        <v>86.266311847033322</v>
      </c>
      <c r="F100" s="100">
        <v>101.46</v>
      </c>
      <c r="G100" s="30">
        <f>SUM(G101:G109)</f>
        <v>8752.58</v>
      </c>
      <c r="H100" s="131">
        <f t="shared" si="10"/>
        <v>0.14408058496265133</v>
      </c>
      <c r="I100" s="30">
        <f>ROUND(F100*Прил.10!$D$13,2)</f>
        <v>815.74</v>
      </c>
      <c r="J100" s="30">
        <f t="shared" si="11"/>
        <v>70370.880000000005</v>
      </c>
    </row>
    <row r="101" spans="1:10" s="12" customFormat="1" ht="51" hidden="1" customHeight="1" outlineLevel="1" x14ac:dyDescent="0.2">
      <c r="A101" s="2"/>
      <c r="B101" s="169" t="s">
        <v>237</v>
      </c>
      <c r="C101" s="8" t="s">
        <v>238</v>
      </c>
      <c r="D101" s="2" t="s">
        <v>185</v>
      </c>
      <c r="E101" s="129">
        <v>50</v>
      </c>
      <c r="F101" s="100">
        <v>101.46</v>
      </c>
      <c r="G101" s="30">
        <f t="shared" ref="G101:G109" si="12">ROUND(E101*F101,2)</f>
        <v>5073</v>
      </c>
      <c r="H101" s="131">
        <f t="shared" si="10"/>
        <v>8.3509183294015049E-2</v>
      </c>
      <c r="I101" s="30">
        <f>ROUND(F101*Прил.10!$D$13,2)</f>
        <v>815.74</v>
      </c>
      <c r="J101" s="30">
        <f t="shared" si="11"/>
        <v>40787</v>
      </c>
    </row>
    <row r="102" spans="1:10" s="12" customFormat="1" ht="51" hidden="1" customHeight="1" outlineLevel="1" x14ac:dyDescent="0.2">
      <c r="A102" s="2"/>
      <c r="B102" s="169" t="s">
        <v>271</v>
      </c>
      <c r="C102" s="8" t="s">
        <v>272</v>
      </c>
      <c r="D102" s="129" t="s">
        <v>185</v>
      </c>
      <c r="E102" s="129">
        <v>9</v>
      </c>
      <c r="F102" s="100">
        <v>111.84</v>
      </c>
      <c r="G102" s="30">
        <f t="shared" si="12"/>
        <v>1006.56</v>
      </c>
      <c r="H102" s="131">
        <f t="shared" si="10"/>
        <v>1.6569486208638632E-2</v>
      </c>
      <c r="I102" s="30">
        <f>ROUND(F102*Прил.10!$D$13,2)</f>
        <v>899.19</v>
      </c>
      <c r="J102" s="30">
        <f t="shared" si="11"/>
        <v>8092.71</v>
      </c>
    </row>
    <row r="103" spans="1:10" s="12" customFormat="1" ht="51" hidden="1" customHeight="1" outlineLevel="1" x14ac:dyDescent="0.2">
      <c r="A103" s="2"/>
      <c r="B103" s="169" t="s">
        <v>277</v>
      </c>
      <c r="C103" s="8" t="s">
        <v>278</v>
      </c>
      <c r="D103" s="129" t="s">
        <v>185</v>
      </c>
      <c r="E103" s="129">
        <v>9</v>
      </c>
      <c r="F103" s="100">
        <v>94.64</v>
      </c>
      <c r="G103" s="30">
        <f t="shared" si="12"/>
        <v>851.76</v>
      </c>
      <c r="H103" s="131">
        <f t="shared" si="10"/>
        <v>1.402124619801109E-2</v>
      </c>
      <c r="I103" s="30">
        <f>ROUND(F103*Прил.10!$D$13,2)</f>
        <v>760.91</v>
      </c>
      <c r="J103" s="30">
        <f t="shared" si="11"/>
        <v>6848.19</v>
      </c>
    </row>
    <row r="104" spans="1:10" s="12" customFormat="1" ht="51" hidden="1" customHeight="1" outlineLevel="1" x14ac:dyDescent="0.2">
      <c r="A104" s="2"/>
      <c r="B104" s="169" t="s">
        <v>300</v>
      </c>
      <c r="C104" s="8" t="s">
        <v>301</v>
      </c>
      <c r="D104" s="129" t="s">
        <v>185</v>
      </c>
      <c r="E104" s="129">
        <v>3</v>
      </c>
      <c r="F104" s="100">
        <v>141.68</v>
      </c>
      <c r="G104" s="30">
        <f t="shared" si="12"/>
        <v>425.04</v>
      </c>
      <c r="H104" s="131">
        <f t="shared" si="10"/>
        <v>6.9967954400331472E-3</v>
      </c>
      <c r="I104" s="30">
        <f>ROUND(F104*Прил.10!$D$13,2)</f>
        <v>1139.1099999999999</v>
      </c>
      <c r="J104" s="30">
        <f t="shared" si="11"/>
        <v>3417.33</v>
      </c>
    </row>
    <row r="105" spans="1:10" s="12" customFormat="1" ht="51" hidden="1" customHeight="1" outlineLevel="1" x14ac:dyDescent="0.2">
      <c r="A105" s="2"/>
      <c r="B105" s="169" t="s">
        <v>306</v>
      </c>
      <c r="C105" s="8" t="s">
        <v>307</v>
      </c>
      <c r="D105" s="129" t="s">
        <v>185</v>
      </c>
      <c r="E105" s="129">
        <v>2</v>
      </c>
      <c r="F105" s="100">
        <v>185.81</v>
      </c>
      <c r="G105" s="30">
        <f t="shared" si="12"/>
        <v>371.62</v>
      </c>
      <c r="H105" s="131">
        <f t="shared" si="10"/>
        <v>6.1174221753837717E-3</v>
      </c>
      <c r="I105" s="30">
        <f>ROUND(F105*Прил.10!$D$13,2)</f>
        <v>1493.91</v>
      </c>
      <c r="J105" s="30">
        <f t="shared" si="11"/>
        <v>2987.82</v>
      </c>
    </row>
    <row r="106" spans="1:10" s="12" customFormat="1" ht="51" hidden="1" customHeight="1" outlineLevel="1" x14ac:dyDescent="0.2">
      <c r="A106" s="2"/>
      <c r="B106" s="169" t="s">
        <v>310</v>
      </c>
      <c r="C106" s="8" t="s">
        <v>311</v>
      </c>
      <c r="D106" s="129" t="s">
        <v>185</v>
      </c>
      <c r="E106" s="129">
        <v>4</v>
      </c>
      <c r="F106" s="100">
        <v>88.14</v>
      </c>
      <c r="G106" s="30">
        <f t="shared" si="12"/>
        <v>352.56</v>
      </c>
      <c r="H106" s="131">
        <f t="shared" si="10"/>
        <v>5.803666008700561E-3</v>
      </c>
      <c r="I106" s="30">
        <f>ROUND(F106*Прил.10!$D$13,2)</f>
        <v>708.65</v>
      </c>
      <c r="J106" s="30">
        <f t="shared" si="11"/>
        <v>2834.6</v>
      </c>
    </row>
    <row r="107" spans="1:10" s="12" customFormat="1" ht="51" hidden="1" customHeight="1" outlineLevel="1" x14ac:dyDescent="0.2">
      <c r="A107" s="2"/>
      <c r="B107" s="169" t="s">
        <v>314</v>
      </c>
      <c r="C107" s="8" t="s">
        <v>315</v>
      </c>
      <c r="D107" s="129" t="s">
        <v>185</v>
      </c>
      <c r="E107" s="129">
        <v>3</v>
      </c>
      <c r="F107" s="100">
        <v>110.07</v>
      </c>
      <c r="G107" s="30">
        <f t="shared" si="12"/>
        <v>330.21</v>
      </c>
      <c r="H107" s="131">
        <f t="shared" si="10"/>
        <v>5.4357515110421261E-3</v>
      </c>
      <c r="I107" s="30">
        <f>ROUND(F107*Прил.10!$D$13,2)</f>
        <v>884.96</v>
      </c>
      <c r="J107" s="30">
        <f t="shared" si="11"/>
        <v>2654.88</v>
      </c>
    </row>
    <row r="108" spans="1:10" s="12" customFormat="1" ht="51" hidden="1" customHeight="1" outlineLevel="1" x14ac:dyDescent="0.2">
      <c r="A108" s="2"/>
      <c r="B108" s="169" t="s">
        <v>316</v>
      </c>
      <c r="C108" s="8" t="s">
        <v>317</v>
      </c>
      <c r="D108" s="129" t="s">
        <v>185</v>
      </c>
      <c r="E108" s="129">
        <v>2</v>
      </c>
      <c r="F108" s="100">
        <v>155.94</v>
      </c>
      <c r="G108" s="30">
        <f t="shared" si="12"/>
        <v>311.88</v>
      </c>
      <c r="H108" s="131">
        <f t="shared" si="10"/>
        <v>5.134012238465881E-3</v>
      </c>
      <c r="I108" s="30">
        <f>ROUND(F108*Прил.10!$D$13,2)</f>
        <v>1253.76</v>
      </c>
      <c r="J108" s="30">
        <f t="shared" si="11"/>
        <v>2507.52</v>
      </c>
    </row>
    <row r="109" spans="1:10" s="12" customFormat="1" ht="38.25" hidden="1" customHeight="1" outlineLevel="1" x14ac:dyDescent="0.2">
      <c r="A109" s="2"/>
      <c r="B109" s="169" t="s">
        <v>374</v>
      </c>
      <c r="C109" s="8" t="s">
        <v>375</v>
      </c>
      <c r="D109" s="129" t="s">
        <v>185</v>
      </c>
      <c r="E109" s="129">
        <v>1</v>
      </c>
      <c r="F109" s="100">
        <v>29.95</v>
      </c>
      <c r="G109" s="30">
        <f t="shared" si="12"/>
        <v>29.95</v>
      </c>
      <c r="H109" s="131">
        <f t="shared" si="10"/>
        <v>4.9302188836107834E-4</v>
      </c>
      <c r="I109" s="30">
        <f>ROUND(F109*Прил.10!$D$13,2)</f>
        <v>240.8</v>
      </c>
      <c r="J109" s="30">
        <f t="shared" si="11"/>
        <v>240.8</v>
      </c>
    </row>
    <row r="110" spans="1:10" s="12" customFormat="1" ht="38.25" customHeight="1" collapsed="1" x14ac:dyDescent="0.2">
      <c r="A110" s="2">
        <v>57</v>
      </c>
      <c r="B110" s="2" t="s">
        <v>242</v>
      </c>
      <c r="C110" s="8" t="s">
        <v>243</v>
      </c>
      <c r="D110" s="2" t="s">
        <v>185</v>
      </c>
      <c r="E110" s="135">
        <f>G110/F110</f>
        <v>162.58642462509866</v>
      </c>
      <c r="F110" s="100">
        <v>38.01</v>
      </c>
      <c r="G110" s="30">
        <f>SUM(G111:G119)</f>
        <v>6179.91</v>
      </c>
      <c r="H110" s="131">
        <f t="shared" si="10"/>
        <v>0.10173058090489188</v>
      </c>
      <c r="I110" s="30">
        <f>ROUND(F110*Прил.10!$D$13,2)</f>
        <v>305.60000000000002</v>
      </c>
      <c r="J110" s="30">
        <f t="shared" si="11"/>
        <v>49686.41</v>
      </c>
    </row>
    <row r="111" spans="1:10" s="12" customFormat="1" ht="38.25" hidden="1" customHeight="1" outlineLevel="1" x14ac:dyDescent="0.2">
      <c r="A111" s="2"/>
      <c r="B111" s="2" t="s">
        <v>242</v>
      </c>
      <c r="C111" s="8" t="s">
        <v>243</v>
      </c>
      <c r="D111" s="2" t="s">
        <v>185</v>
      </c>
      <c r="E111" s="135">
        <v>99</v>
      </c>
      <c r="F111" s="100">
        <v>38.01</v>
      </c>
      <c r="G111" s="30">
        <f t="shared" ref="G111:G119" si="13">ROUND(E111*F111,2)</f>
        <v>3762.99</v>
      </c>
      <c r="H111" s="131">
        <f t="shared" si="10"/>
        <v>6.1944455281597803E-2</v>
      </c>
      <c r="I111" s="30">
        <f>ROUND(F111*Прил.10!$D$13,2)</f>
        <v>305.60000000000002</v>
      </c>
      <c r="J111" s="30">
        <f t="shared" si="11"/>
        <v>30254.400000000001</v>
      </c>
    </row>
    <row r="112" spans="1:10" s="12" customFormat="1" ht="38.25" hidden="1" customHeight="1" outlineLevel="1" x14ac:dyDescent="0.2">
      <c r="A112" s="2"/>
      <c r="B112" s="2" t="s">
        <v>275</v>
      </c>
      <c r="C112" s="8" t="s">
        <v>276</v>
      </c>
      <c r="D112" s="2" t="s">
        <v>185</v>
      </c>
      <c r="E112" s="135">
        <v>18</v>
      </c>
      <c r="F112" s="100">
        <v>48.28</v>
      </c>
      <c r="G112" s="30">
        <f t="shared" si="13"/>
        <v>869.04</v>
      </c>
      <c r="H112" s="131">
        <f t="shared" si="10"/>
        <v>1.4305700896871838E-2</v>
      </c>
      <c r="I112" s="30">
        <f>ROUND(F112*Прил.10!$D$13,2)</f>
        <v>388.17</v>
      </c>
      <c r="J112" s="30">
        <f t="shared" si="11"/>
        <v>6987.06</v>
      </c>
    </row>
    <row r="113" spans="1:10" s="12" customFormat="1" ht="38.25" hidden="1" customHeight="1" outlineLevel="1" x14ac:dyDescent="0.2">
      <c r="A113" s="2"/>
      <c r="B113" s="2" t="s">
        <v>294</v>
      </c>
      <c r="C113" s="8" t="s">
        <v>295</v>
      </c>
      <c r="D113" s="2" t="s">
        <v>185</v>
      </c>
      <c r="E113" s="135">
        <v>8</v>
      </c>
      <c r="F113" s="100">
        <v>58.12</v>
      </c>
      <c r="G113" s="30">
        <f t="shared" si="13"/>
        <v>464.96</v>
      </c>
      <c r="H113" s="131">
        <f t="shared" si="10"/>
        <v>7.6539384711975626E-3</v>
      </c>
      <c r="I113" s="30">
        <f>ROUND(F113*Прил.10!$D$13,2)</f>
        <v>467.28</v>
      </c>
      <c r="J113" s="30">
        <f t="shared" si="11"/>
        <v>3738.24</v>
      </c>
    </row>
    <row r="114" spans="1:10" s="12" customFormat="1" ht="38.25" hidden="1" customHeight="1" outlineLevel="1" x14ac:dyDescent="0.2">
      <c r="A114" s="2"/>
      <c r="B114" s="2" t="s">
        <v>296</v>
      </c>
      <c r="C114" s="8" t="s">
        <v>297</v>
      </c>
      <c r="D114" s="2" t="s">
        <v>185</v>
      </c>
      <c r="E114" s="135">
        <v>9</v>
      </c>
      <c r="F114" s="100">
        <v>50.14</v>
      </c>
      <c r="G114" s="30">
        <f t="shared" si="13"/>
        <v>451.26</v>
      </c>
      <c r="H114" s="131">
        <f t="shared" si="10"/>
        <v>7.4284159379572699E-3</v>
      </c>
      <c r="I114" s="30">
        <f>ROUND(F114*Прил.10!$D$13,2)</f>
        <v>403.13</v>
      </c>
      <c r="J114" s="30">
        <f t="shared" si="11"/>
        <v>3628.17</v>
      </c>
    </row>
    <row r="115" spans="1:10" s="12" customFormat="1" ht="51" hidden="1" customHeight="1" outlineLevel="1" x14ac:dyDescent="0.2">
      <c r="A115" s="2"/>
      <c r="B115" s="2" t="s">
        <v>333</v>
      </c>
      <c r="C115" s="8" t="s">
        <v>334</v>
      </c>
      <c r="D115" s="2" t="s">
        <v>185</v>
      </c>
      <c r="E115" s="135">
        <v>4</v>
      </c>
      <c r="F115" s="100">
        <v>45.75</v>
      </c>
      <c r="G115" s="30">
        <f t="shared" si="13"/>
        <v>183</v>
      </c>
      <c r="H115" s="131">
        <f t="shared" si="10"/>
        <v>3.0124542761294608E-3</v>
      </c>
      <c r="I115" s="30">
        <f>ROUND(F115*Прил.10!$D$13,2)</f>
        <v>367.83</v>
      </c>
      <c r="J115" s="30">
        <f t="shared" si="11"/>
        <v>1471.32</v>
      </c>
    </row>
    <row r="116" spans="1:10" s="12" customFormat="1" ht="38.25" hidden="1" customHeight="1" outlineLevel="1" x14ac:dyDescent="0.2">
      <c r="A116" s="2"/>
      <c r="B116" s="2" t="s">
        <v>335</v>
      </c>
      <c r="C116" s="8" t="s">
        <v>336</v>
      </c>
      <c r="D116" s="2" t="s">
        <v>185</v>
      </c>
      <c r="E116" s="135">
        <v>2</v>
      </c>
      <c r="F116" s="100">
        <v>87.12</v>
      </c>
      <c r="G116" s="30">
        <f t="shared" si="13"/>
        <v>174.24</v>
      </c>
      <c r="H116" s="131">
        <f t="shared" si="10"/>
        <v>2.8682515468458868E-3</v>
      </c>
      <c r="I116" s="30">
        <f>ROUND(F116*Прил.10!$D$13,2)</f>
        <v>700.44</v>
      </c>
      <c r="J116" s="30">
        <f t="shared" si="11"/>
        <v>1400.88</v>
      </c>
    </row>
    <row r="117" spans="1:10" s="12" customFormat="1" ht="38.25" hidden="1" customHeight="1" outlineLevel="1" x14ac:dyDescent="0.2">
      <c r="A117" s="2"/>
      <c r="B117" s="2" t="s">
        <v>337</v>
      </c>
      <c r="C117" s="8" t="s">
        <v>338</v>
      </c>
      <c r="D117" s="2" t="s">
        <v>185</v>
      </c>
      <c r="E117" s="135">
        <v>3</v>
      </c>
      <c r="F117" s="100">
        <v>44.49</v>
      </c>
      <c r="G117" s="30">
        <f t="shared" si="13"/>
        <v>133.47</v>
      </c>
      <c r="H117" s="131">
        <f t="shared" si="10"/>
        <v>2.1971162417213064E-3</v>
      </c>
      <c r="I117" s="30">
        <f>ROUND(F117*Прил.10!$D$13,2)</f>
        <v>357.7</v>
      </c>
      <c r="J117" s="30">
        <f t="shared" si="11"/>
        <v>1073.0999999999999</v>
      </c>
    </row>
    <row r="118" spans="1:10" s="12" customFormat="1" ht="38.25" hidden="1" customHeight="1" outlineLevel="1" x14ac:dyDescent="0.2">
      <c r="A118" s="2"/>
      <c r="B118" s="2" t="s">
        <v>345</v>
      </c>
      <c r="C118" s="8" t="s">
        <v>346</v>
      </c>
      <c r="D118" s="2" t="s">
        <v>185</v>
      </c>
      <c r="E118" s="135">
        <v>1</v>
      </c>
      <c r="F118" s="100">
        <v>91.41</v>
      </c>
      <c r="G118" s="30">
        <f t="shared" si="13"/>
        <v>91.41</v>
      </c>
      <c r="H118" s="131">
        <f t="shared" si="10"/>
        <v>1.5047456031748304E-3</v>
      </c>
      <c r="I118" s="30">
        <f>ROUND(F118*Прил.10!$D$13,2)</f>
        <v>734.94</v>
      </c>
      <c r="J118" s="30">
        <f t="shared" si="11"/>
        <v>734.94</v>
      </c>
    </row>
    <row r="119" spans="1:10" s="12" customFormat="1" ht="38.25" hidden="1" customHeight="1" outlineLevel="1" x14ac:dyDescent="0.2">
      <c r="A119" s="2"/>
      <c r="B119" s="2" t="s">
        <v>361</v>
      </c>
      <c r="C119" s="8" t="s">
        <v>362</v>
      </c>
      <c r="D119" s="2" t="s">
        <v>185</v>
      </c>
      <c r="E119" s="135">
        <v>1</v>
      </c>
      <c r="F119" s="100">
        <v>49.54</v>
      </c>
      <c r="G119" s="30">
        <f t="shared" si="13"/>
        <v>49.54</v>
      </c>
      <c r="H119" s="131">
        <f t="shared" si="10"/>
        <v>8.1550264939592068E-4</v>
      </c>
      <c r="I119" s="30">
        <f>ROUND(F119*Прил.10!$D$13,2)</f>
        <v>398.3</v>
      </c>
      <c r="J119" s="30">
        <f t="shared" si="11"/>
        <v>398.3</v>
      </c>
    </row>
    <row r="120" spans="1:10" s="12" customFormat="1" ht="51" customHeight="1" collapsed="1" x14ac:dyDescent="0.2">
      <c r="A120" s="2">
        <v>58</v>
      </c>
      <c r="B120" s="2" t="s">
        <v>260</v>
      </c>
      <c r="C120" s="8" t="s">
        <v>261</v>
      </c>
      <c r="D120" s="2" t="s">
        <v>249</v>
      </c>
      <c r="E120" s="135">
        <f>G120/F120</f>
        <v>87.383743523316056</v>
      </c>
      <c r="F120" s="100">
        <v>61.76</v>
      </c>
      <c r="G120" s="30">
        <f>SUM(G121:G126)</f>
        <v>5396.82</v>
      </c>
      <c r="H120" s="131">
        <f t="shared" si="10"/>
        <v>8.8839745827874281E-2</v>
      </c>
      <c r="I120" s="30">
        <f>ROUND(F120*Прил.10!$D$13,2)</f>
        <v>496.55</v>
      </c>
      <c r="J120" s="30">
        <f t="shared" si="11"/>
        <v>43390.400000000001</v>
      </c>
    </row>
    <row r="121" spans="1:10" s="12" customFormat="1" ht="51" hidden="1" customHeight="1" outlineLevel="1" x14ac:dyDescent="0.2">
      <c r="A121" s="2"/>
      <c r="B121" s="2" t="s">
        <v>260</v>
      </c>
      <c r="C121" s="8" t="s">
        <v>261</v>
      </c>
      <c r="D121" s="2" t="s">
        <v>249</v>
      </c>
      <c r="E121" s="135">
        <v>22.2</v>
      </c>
      <c r="F121" s="100">
        <v>61.76</v>
      </c>
      <c r="G121" s="30">
        <f t="shared" ref="G121:G127" si="14">ROUND(E121*F121,2)</f>
        <v>1371.07</v>
      </c>
      <c r="H121" s="131">
        <f t="shared" si="10"/>
        <v>2.2569867127720324E-2</v>
      </c>
      <c r="I121" s="30">
        <f>ROUND(F121*Прил.10!$D$13,2)</f>
        <v>496.55</v>
      </c>
      <c r="J121" s="30">
        <f t="shared" si="11"/>
        <v>11023.41</v>
      </c>
    </row>
    <row r="122" spans="1:10" s="12" customFormat="1" ht="51" hidden="1" customHeight="1" outlineLevel="1" x14ac:dyDescent="0.2">
      <c r="A122" s="2"/>
      <c r="B122" s="2" t="s">
        <v>262</v>
      </c>
      <c r="C122" s="8" t="s">
        <v>263</v>
      </c>
      <c r="D122" s="2" t="s">
        <v>249</v>
      </c>
      <c r="E122" s="135">
        <v>13.074999999999999</v>
      </c>
      <c r="F122" s="100">
        <v>103.04</v>
      </c>
      <c r="G122" s="30">
        <f t="shared" si="14"/>
        <v>1347.25</v>
      </c>
      <c r="H122" s="131">
        <f t="shared" si="10"/>
        <v>2.2177754226860195E-2</v>
      </c>
      <c r="I122" s="30">
        <f>ROUND(F122*Прил.10!$D$13,2)</f>
        <v>828.44</v>
      </c>
      <c r="J122" s="30">
        <f t="shared" si="11"/>
        <v>10831.85</v>
      </c>
    </row>
    <row r="123" spans="1:10" s="12" customFormat="1" ht="51" hidden="1" customHeight="1" outlineLevel="1" x14ac:dyDescent="0.2">
      <c r="A123" s="2"/>
      <c r="B123" s="2" t="s">
        <v>264</v>
      </c>
      <c r="C123" s="8" t="s">
        <v>265</v>
      </c>
      <c r="D123" s="2" t="s">
        <v>249</v>
      </c>
      <c r="E123" s="135">
        <v>23.145</v>
      </c>
      <c r="F123" s="100">
        <v>53.12</v>
      </c>
      <c r="G123" s="30">
        <f t="shared" si="14"/>
        <v>1229.46</v>
      </c>
      <c r="H123" s="131">
        <f t="shared" si="10"/>
        <v>2.0238754285956978E-2</v>
      </c>
      <c r="I123" s="30">
        <f>ROUND(F123*Прил.10!$D$13,2)</f>
        <v>427.08</v>
      </c>
      <c r="J123" s="30">
        <f t="shared" si="11"/>
        <v>9884.77</v>
      </c>
    </row>
    <row r="124" spans="1:10" s="12" customFormat="1" ht="51" hidden="1" customHeight="1" outlineLevel="1" x14ac:dyDescent="0.2">
      <c r="A124" s="2"/>
      <c r="B124" s="2" t="s">
        <v>286</v>
      </c>
      <c r="C124" s="8" t="s">
        <v>287</v>
      </c>
      <c r="D124" s="2" t="s">
        <v>249</v>
      </c>
      <c r="E124" s="135">
        <v>7.52</v>
      </c>
      <c r="F124" s="100">
        <v>79.36</v>
      </c>
      <c r="G124" s="30">
        <f t="shared" si="14"/>
        <v>596.79</v>
      </c>
      <c r="H124" s="131">
        <f t="shared" si="10"/>
        <v>9.82405785492514E-3</v>
      </c>
      <c r="I124" s="30">
        <f>ROUND(F124*Прил.10!$D$13,2)</f>
        <v>638.04999999999995</v>
      </c>
      <c r="J124" s="30">
        <f t="shared" si="11"/>
        <v>4798.1400000000003</v>
      </c>
    </row>
    <row r="125" spans="1:10" s="12" customFormat="1" ht="51" hidden="1" customHeight="1" outlineLevel="1" x14ac:dyDescent="0.2">
      <c r="A125" s="2"/>
      <c r="B125" s="2" t="s">
        <v>292</v>
      </c>
      <c r="C125" s="8" t="s">
        <v>293</v>
      </c>
      <c r="D125" s="2" t="s">
        <v>249</v>
      </c>
      <c r="E125" s="135">
        <v>13.385</v>
      </c>
      <c r="F125" s="100">
        <v>41.28</v>
      </c>
      <c r="G125" s="30">
        <f t="shared" si="14"/>
        <v>552.53</v>
      </c>
      <c r="H125" s="131">
        <f t="shared" ref="H125:H156" si="15">G125/$G$189</f>
        <v>9.0954719190700049E-3</v>
      </c>
      <c r="I125" s="30">
        <f>ROUND(F125*Прил.10!$D$13,2)</f>
        <v>331.89</v>
      </c>
      <c r="J125" s="30">
        <f t="shared" si="11"/>
        <v>4442.3500000000004</v>
      </c>
    </row>
    <row r="126" spans="1:10" s="12" customFormat="1" ht="51" hidden="1" customHeight="1" outlineLevel="1" x14ac:dyDescent="0.2">
      <c r="A126" s="2"/>
      <c r="B126" s="2" t="s">
        <v>318</v>
      </c>
      <c r="C126" s="8" t="s">
        <v>319</v>
      </c>
      <c r="D126" s="2" t="s">
        <v>249</v>
      </c>
      <c r="E126" s="135">
        <v>9.44</v>
      </c>
      <c r="F126" s="100">
        <v>31.75</v>
      </c>
      <c r="G126" s="30">
        <f t="shared" si="14"/>
        <v>299.72000000000003</v>
      </c>
      <c r="H126" s="131">
        <f t="shared" si="15"/>
        <v>4.9338404133416501E-3</v>
      </c>
      <c r="I126" s="30">
        <f>ROUND(F126*Прил.10!$D$13,2)</f>
        <v>255.27</v>
      </c>
      <c r="J126" s="30">
        <f t="shared" si="11"/>
        <v>2409.75</v>
      </c>
    </row>
    <row r="127" spans="1:10" s="12" customFormat="1" ht="14.25" customHeight="1" collapsed="1" x14ac:dyDescent="0.2">
      <c r="A127" s="2">
        <v>59</v>
      </c>
      <c r="B127" s="2" t="s">
        <v>239</v>
      </c>
      <c r="C127" s="8" t="s">
        <v>240</v>
      </c>
      <c r="D127" s="2" t="s">
        <v>241</v>
      </c>
      <c r="E127" s="135">
        <v>380</v>
      </c>
      <c r="F127" s="100">
        <v>12.6</v>
      </c>
      <c r="G127" s="30">
        <f t="shared" si="14"/>
        <v>4788</v>
      </c>
      <c r="H127" s="131">
        <f t="shared" si="15"/>
        <v>7.8817656142665893E-2</v>
      </c>
      <c r="I127" s="30">
        <f>ROUND(F127*Прил.10!$D$13,2)</f>
        <v>101.3</v>
      </c>
      <c r="J127" s="30">
        <f t="shared" si="11"/>
        <v>38494</v>
      </c>
    </row>
    <row r="128" spans="1:10" s="12" customFormat="1" ht="25.5" customHeight="1" x14ac:dyDescent="0.2">
      <c r="A128" s="2">
        <v>60</v>
      </c>
      <c r="B128" s="2" t="s">
        <v>250</v>
      </c>
      <c r="C128" s="8" t="s">
        <v>251</v>
      </c>
      <c r="D128" s="2" t="s">
        <v>177</v>
      </c>
      <c r="E128" s="135">
        <f>G128/F128</f>
        <v>0.60639281961976443</v>
      </c>
      <c r="F128" s="100">
        <v>5891.61</v>
      </c>
      <c r="G128" s="30">
        <f>SUM(G129:G130)</f>
        <v>3572.63</v>
      </c>
      <c r="H128" s="131">
        <f t="shared" si="15"/>
        <v>5.8810844374472107E-2</v>
      </c>
      <c r="I128" s="30">
        <f>ROUND(F128*Прил.10!$D$13,2)</f>
        <v>47368.54</v>
      </c>
      <c r="J128" s="30">
        <f t="shared" si="11"/>
        <v>28723.94</v>
      </c>
    </row>
    <row r="129" spans="1:10" s="12" customFormat="1" ht="25.5" hidden="1" customHeight="1" outlineLevel="1" x14ac:dyDescent="0.2">
      <c r="A129" s="2"/>
      <c r="B129" s="2" t="s">
        <v>250</v>
      </c>
      <c r="C129" s="8" t="s">
        <v>251</v>
      </c>
      <c r="D129" s="2" t="s">
        <v>177</v>
      </c>
      <c r="E129" s="135">
        <v>0.4536</v>
      </c>
      <c r="F129" s="100">
        <v>5891.61</v>
      </c>
      <c r="G129" s="30">
        <f>ROUND(E129*F129,2)</f>
        <v>2672.43</v>
      </c>
      <c r="H129" s="131">
        <f t="shared" si="15"/>
        <v>4.3992203175719419E-2</v>
      </c>
      <c r="I129" s="30">
        <f>ROUND(F129*Прил.10!$D$13,2)</f>
        <v>47368.54</v>
      </c>
      <c r="J129" s="30">
        <f t="shared" si="11"/>
        <v>21486.37</v>
      </c>
    </row>
    <row r="130" spans="1:10" s="12" customFormat="1" ht="25.5" hidden="1" customHeight="1" outlineLevel="1" x14ac:dyDescent="0.2">
      <c r="A130" s="2"/>
      <c r="B130" s="2" t="s">
        <v>273</v>
      </c>
      <c r="C130" s="8" t="s">
        <v>274</v>
      </c>
      <c r="D130" s="2" t="s">
        <v>177</v>
      </c>
      <c r="E130" s="135">
        <v>0.1515</v>
      </c>
      <c r="F130" s="100">
        <v>5941.89</v>
      </c>
      <c r="G130" s="30">
        <f>ROUND(E130*F130,2)</f>
        <v>900.2</v>
      </c>
      <c r="H130" s="131">
        <f t="shared" si="15"/>
        <v>1.4818641198752681E-2</v>
      </c>
      <c r="I130" s="30">
        <f>ROUND(F130*Прил.10!$D$13,2)</f>
        <v>47772.800000000003</v>
      </c>
      <c r="J130" s="30">
        <f t="shared" si="11"/>
        <v>7237.58</v>
      </c>
    </row>
    <row r="131" spans="1:10" s="12" customFormat="1" ht="25.5" customHeight="1" collapsed="1" x14ac:dyDescent="0.2">
      <c r="A131" s="2">
        <v>61</v>
      </c>
      <c r="B131" s="2" t="s">
        <v>244</v>
      </c>
      <c r="C131" s="8" t="s">
        <v>245</v>
      </c>
      <c r="D131" s="2" t="s">
        <v>246</v>
      </c>
      <c r="E131" s="135">
        <f>G131/F131</f>
        <v>0.56903226969858178</v>
      </c>
      <c r="F131" s="100">
        <v>5545.45</v>
      </c>
      <c r="G131" s="30">
        <f>SUM(G132:G133)</f>
        <v>3155.54</v>
      </c>
      <c r="H131" s="131">
        <f t="shared" si="15"/>
        <v>5.1944917849713432E-2</v>
      </c>
      <c r="I131" s="30">
        <f>ROUND(F131*Прил.10!$D$13,2)</f>
        <v>44585.42</v>
      </c>
      <c r="J131" s="30">
        <f t="shared" si="11"/>
        <v>25370.54</v>
      </c>
    </row>
    <row r="132" spans="1:10" s="12" customFormat="1" ht="25.5" hidden="1" customHeight="1" outlineLevel="1" x14ac:dyDescent="0.2">
      <c r="A132" s="2"/>
      <c r="B132" s="2" t="s">
        <v>244</v>
      </c>
      <c r="C132" s="8" t="s">
        <v>245</v>
      </c>
      <c r="D132" s="2" t="s">
        <v>246</v>
      </c>
      <c r="E132" s="135">
        <v>0.54500000000000004</v>
      </c>
      <c r="F132" s="100">
        <v>5545.45</v>
      </c>
      <c r="G132" s="30">
        <f>ROUND(E132*F132,2)</f>
        <v>3022.27</v>
      </c>
      <c r="H132" s="131">
        <f t="shared" si="15"/>
        <v>4.9751093907747457E-2</v>
      </c>
      <c r="I132" s="30">
        <f>ROUND(F132*Прил.10!$D$13,2)</f>
        <v>44585.42</v>
      </c>
      <c r="J132" s="30">
        <f t="shared" si="11"/>
        <v>24299.05</v>
      </c>
    </row>
    <row r="133" spans="1:10" s="12" customFormat="1" ht="25.5" hidden="1" customHeight="1" outlineLevel="1" x14ac:dyDescent="0.2">
      <c r="A133" s="2"/>
      <c r="B133" s="2" t="s">
        <v>339</v>
      </c>
      <c r="C133" s="8" t="s">
        <v>340</v>
      </c>
      <c r="D133" s="2" t="s">
        <v>246</v>
      </c>
      <c r="E133" s="135">
        <v>0.02</v>
      </c>
      <c r="F133" s="100">
        <v>6663.65</v>
      </c>
      <c r="G133" s="30">
        <f>ROUND(E133*F133,2)</f>
        <v>133.27000000000001</v>
      </c>
      <c r="H133" s="131">
        <f t="shared" si="15"/>
        <v>2.1938239419659741E-3</v>
      </c>
      <c r="I133" s="30">
        <f>ROUND(F133*Прил.10!$D$13,2)</f>
        <v>53575.75</v>
      </c>
      <c r="J133" s="30">
        <f t="shared" si="11"/>
        <v>1071.52</v>
      </c>
    </row>
    <row r="134" spans="1:10" s="12" customFormat="1" ht="25.5" customHeight="1" collapsed="1" x14ac:dyDescent="0.2">
      <c r="A134" s="2">
        <v>62</v>
      </c>
      <c r="B134" s="2" t="s">
        <v>269</v>
      </c>
      <c r="C134" s="8" t="s">
        <v>270</v>
      </c>
      <c r="D134" s="2" t="s">
        <v>177</v>
      </c>
      <c r="E134" s="135">
        <f>G134/F134</f>
        <v>0.1590628254078445</v>
      </c>
      <c r="F134" s="100">
        <v>11524</v>
      </c>
      <c r="G134" s="30">
        <f>SUM(G135:G137)</f>
        <v>1833.04</v>
      </c>
      <c r="H134" s="131">
        <f t="shared" si="15"/>
        <v>3.0174585717575662E-2</v>
      </c>
      <c r="I134" s="30">
        <f>ROUND(F134*Прил.10!$D$13,2)</f>
        <v>92652.96</v>
      </c>
      <c r="J134" s="30">
        <f t="shared" si="11"/>
        <v>14737.64</v>
      </c>
    </row>
    <row r="135" spans="1:10" s="12" customFormat="1" ht="25.5" hidden="1" customHeight="1" outlineLevel="1" x14ac:dyDescent="0.2">
      <c r="A135" s="2"/>
      <c r="B135" s="2" t="s">
        <v>269</v>
      </c>
      <c r="C135" s="8" t="s">
        <v>270</v>
      </c>
      <c r="D135" s="2" t="s">
        <v>177</v>
      </c>
      <c r="E135" s="135">
        <v>0.09</v>
      </c>
      <c r="F135" s="100">
        <v>11524</v>
      </c>
      <c r="G135" s="30">
        <f>ROUND(E135*F135,2)</f>
        <v>1037.1600000000001</v>
      </c>
      <c r="H135" s="131">
        <f t="shared" si="15"/>
        <v>1.7073208071204545E-2</v>
      </c>
      <c r="I135" s="30">
        <f>ROUND(F135*Прил.10!$D$13,2)</f>
        <v>92652.96</v>
      </c>
      <c r="J135" s="30">
        <f t="shared" si="11"/>
        <v>8338.77</v>
      </c>
    </row>
    <row r="136" spans="1:10" s="12" customFormat="1" ht="14.25" hidden="1" customHeight="1" outlineLevel="1" x14ac:dyDescent="0.2">
      <c r="A136" s="2"/>
      <c r="B136" s="2" t="s">
        <v>288</v>
      </c>
      <c r="C136" s="8" t="s">
        <v>289</v>
      </c>
      <c r="D136" s="2" t="s">
        <v>177</v>
      </c>
      <c r="E136" s="135">
        <v>5.7804000000000001E-2</v>
      </c>
      <c r="F136" s="100">
        <v>10315.01</v>
      </c>
      <c r="G136" s="30">
        <f>ROUND(E136*F136,2)</f>
        <v>596.25</v>
      </c>
      <c r="H136" s="131">
        <f t="shared" si="15"/>
        <v>9.815168645585742E-3</v>
      </c>
      <c r="I136" s="30">
        <f>ROUND(F136*Прил.10!$D$13,2)</f>
        <v>82932.679999999993</v>
      </c>
      <c r="J136" s="30">
        <f t="shared" si="11"/>
        <v>4793.84</v>
      </c>
    </row>
    <row r="137" spans="1:10" s="12" customFormat="1" ht="14.25" hidden="1" customHeight="1" outlineLevel="1" x14ac:dyDescent="0.2">
      <c r="A137" s="2"/>
      <c r="B137" s="2" t="s">
        <v>327</v>
      </c>
      <c r="C137" s="8" t="s">
        <v>328</v>
      </c>
      <c r="D137" s="2" t="s">
        <v>177</v>
      </c>
      <c r="E137" s="135">
        <v>2.0442999999999999E-2</v>
      </c>
      <c r="F137" s="100">
        <v>9765</v>
      </c>
      <c r="G137" s="30">
        <f>ROUND(E137*F137,2)</f>
        <v>199.63</v>
      </c>
      <c r="H137" s="131">
        <f t="shared" si="15"/>
        <v>3.2862090007853783E-3</v>
      </c>
      <c r="I137" s="30">
        <f>ROUND(F137*Прил.10!$D$13,2)</f>
        <v>78510.600000000006</v>
      </c>
      <c r="J137" s="30">
        <f t="shared" si="11"/>
        <v>1604.99</v>
      </c>
    </row>
    <row r="138" spans="1:10" s="12" customFormat="1" ht="14.25" customHeight="1" collapsed="1" x14ac:dyDescent="0.2">
      <c r="A138" s="174"/>
      <c r="B138" s="175"/>
      <c r="C138" s="176" t="s">
        <v>480</v>
      </c>
      <c r="D138" s="174"/>
      <c r="E138" s="177"/>
      <c r="F138" s="134"/>
      <c r="G138" s="134">
        <f>G93+G94+G100+G110+G120+G127+G128+G131+G134</f>
        <v>52987.42</v>
      </c>
      <c r="H138" s="131">
        <f t="shared" si="15"/>
        <v>0.87225234950856667</v>
      </c>
      <c r="I138" s="30"/>
      <c r="J138" s="134">
        <f>J93+J94+J100+J110+J120+J127+J128+J131+J134</f>
        <v>426016.57000000007</v>
      </c>
    </row>
    <row r="139" spans="1:10" s="12" customFormat="1" ht="25.5" hidden="1" customHeight="1" outlineLevel="1" x14ac:dyDescent="0.2">
      <c r="A139" s="2">
        <v>63</v>
      </c>
      <c r="B139" s="2" t="s">
        <v>266</v>
      </c>
      <c r="C139" s="8" t="s">
        <v>267</v>
      </c>
      <c r="D139" s="2" t="s">
        <v>268</v>
      </c>
      <c r="E139" s="135">
        <v>14.375</v>
      </c>
      <c r="F139" s="100">
        <v>83</v>
      </c>
      <c r="G139" s="30">
        <f t="shared" ref="G139:G170" si="16">ROUND(E139*F139,2)</f>
        <v>1193.1300000000001</v>
      </c>
      <c r="H139" s="131">
        <f t="shared" si="15"/>
        <v>1.9640708035400786E-2</v>
      </c>
      <c r="I139" s="30">
        <f>ROUND(F139*Прил.10!$D$13,2)</f>
        <v>667.32</v>
      </c>
      <c r="J139" s="30">
        <f t="shared" ref="J139:J170" si="17">ROUND(I139*E139,2)</f>
        <v>9592.73</v>
      </c>
    </row>
    <row r="140" spans="1:10" s="12" customFormat="1" ht="25.5" hidden="1" customHeight="1" outlineLevel="1" x14ac:dyDescent="0.2">
      <c r="A140" s="2">
        <v>64</v>
      </c>
      <c r="B140" s="2" t="s">
        <v>279</v>
      </c>
      <c r="C140" s="8" t="s">
        <v>280</v>
      </c>
      <c r="D140" s="2" t="s">
        <v>249</v>
      </c>
      <c r="E140" s="135">
        <v>44.543999999999997</v>
      </c>
      <c r="F140" s="100">
        <v>15.13</v>
      </c>
      <c r="G140" s="30">
        <f t="shared" si="16"/>
        <v>673.95</v>
      </c>
      <c r="H140" s="131">
        <f t="shared" si="15"/>
        <v>1.1094227100532515E-2</v>
      </c>
      <c r="I140" s="30">
        <f>ROUND(F140*Прил.10!$D$13,2)</f>
        <v>121.65</v>
      </c>
      <c r="J140" s="30">
        <f t="shared" si="17"/>
        <v>5418.78</v>
      </c>
    </row>
    <row r="141" spans="1:10" s="12" customFormat="1" ht="14.25" hidden="1" customHeight="1" outlineLevel="1" x14ac:dyDescent="0.2">
      <c r="A141" s="2">
        <v>65</v>
      </c>
      <c r="B141" s="2" t="s">
        <v>281</v>
      </c>
      <c r="C141" s="8" t="s">
        <v>282</v>
      </c>
      <c r="D141" s="2" t="s">
        <v>177</v>
      </c>
      <c r="E141" s="135">
        <v>2.2859999999999998E-2</v>
      </c>
      <c r="F141" s="100">
        <v>28300.400000000001</v>
      </c>
      <c r="G141" s="30">
        <f t="shared" si="16"/>
        <v>646.95000000000005</v>
      </c>
      <c r="H141" s="131">
        <f t="shared" si="15"/>
        <v>1.0649766633562594E-2</v>
      </c>
      <c r="I141" s="30">
        <f>ROUND(F141*Прил.10!$D$13,2)</f>
        <v>227535.22</v>
      </c>
      <c r="J141" s="30">
        <f t="shared" si="17"/>
        <v>5201.46</v>
      </c>
    </row>
    <row r="142" spans="1:10" s="12" customFormat="1" ht="25.5" hidden="1" customHeight="1" outlineLevel="1" x14ac:dyDescent="0.2">
      <c r="A142" s="2">
        <v>66</v>
      </c>
      <c r="B142" s="2" t="s">
        <v>283</v>
      </c>
      <c r="C142" s="8" t="s">
        <v>284</v>
      </c>
      <c r="D142" s="2" t="s">
        <v>285</v>
      </c>
      <c r="E142" s="135">
        <v>620.55140700000004</v>
      </c>
      <c r="F142" s="100">
        <v>1</v>
      </c>
      <c r="G142" s="30">
        <f t="shared" si="16"/>
        <v>620.54999999999995</v>
      </c>
      <c r="H142" s="131">
        <f t="shared" si="15"/>
        <v>1.021518306585867E-2</v>
      </c>
      <c r="I142" s="30">
        <f>ROUND(F142*Прил.10!$D$13,2)</f>
        <v>8.0399999999999991</v>
      </c>
      <c r="J142" s="30">
        <f t="shared" si="17"/>
        <v>4989.2299999999996</v>
      </c>
    </row>
    <row r="143" spans="1:10" s="12" customFormat="1" ht="25.5" hidden="1" customHeight="1" outlineLevel="1" x14ac:dyDescent="0.2">
      <c r="A143" s="2">
        <v>67</v>
      </c>
      <c r="B143" s="2" t="s">
        <v>290</v>
      </c>
      <c r="C143" s="8" t="s">
        <v>291</v>
      </c>
      <c r="D143" s="2" t="s">
        <v>241</v>
      </c>
      <c r="E143" s="135">
        <v>38</v>
      </c>
      <c r="F143" s="100">
        <v>15.14</v>
      </c>
      <c r="G143" s="30">
        <f t="shared" si="16"/>
        <v>575.32000000000005</v>
      </c>
      <c r="H143" s="131">
        <f t="shared" si="15"/>
        <v>9.4706294761901719E-3</v>
      </c>
      <c r="I143" s="30">
        <f>ROUND(F143*Прил.10!$D$13,2)</f>
        <v>121.73</v>
      </c>
      <c r="J143" s="30">
        <f t="shared" si="17"/>
        <v>4625.74</v>
      </c>
    </row>
    <row r="144" spans="1:10" s="12" customFormat="1" ht="51" hidden="1" customHeight="1" outlineLevel="1" x14ac:dyDescent="0.2">
      <c r="A144" s="2">
        <v>68</v>
      </c>
      <c r="B144" s="2" t="s">
        <v>298</v>
      </c>
      <c r="C144" s="8" t="s">
        <v>299</v>
      </c>
      <c r="D144" s="2" t="s">
        <v>185</v>
      </c>
      <c r="E144" s="135">
        <v>66</v>
      </c>
      <c r="F144" s="100">
        <v>6.65</v>
      </c>
      <c r="G144" s="30">
        <f t="shared" si="16"/>
        <v>438.9</v>
      </c>
      <c r="H144" s="131">
        <f t="shared" si="15"/>
        <v>7.2249518130777061E-3</v>
      </c>
      <c r="I144" s="30">
        <f>ROUND(F144*Прил.10!$D$13,2)</f>
        <v>53.47</v>
      </c>
      <c r="J144" s="30">
        <f t="shared" si="17"/>
        <v>3529.02</v>
      </c>
    </row>
    <row r="145" spans="1:10" s="12" customFormat="1" ht="63.75" hidden="1" customHeight="1" outlineLevel="1" x14ac:dyDescent="0.2">
      <c r="A145" s="2">
        <v>69</v>
      </c>
      <c r="B145" s="2" t="s">
        <v>302</v>
      </c>
      <c r="C145" s="8" t="s">
        <v>303</v>
      </c>
      <c r="D145" s="2" t="s">
        <v>185</v>
      </c>
      <c r="E145" s="135">
        <v>20</v>
      </c>
      <c r="F145" s="100">
        <v>21.15</v>
      </c>
      <c r="G145" s="30">
        <f t="shared" si="16"/>
        <v>423</v>
      </c>
      <c r="H145" s="131">
        <f t="shared" si="15"/>
        <v>6.963213982528753E-3</v>
      </c>
      <c r="I145" s="30">
        <f>ROUND(F145*Прил.10!$D$13,2)</f>
        <v>170.05</v>
      </c>
      <c r="J145" s="30">
        <f t="shared" si="17"/>
        <v>3401</v>
      </c>
    </row>
    <row r="146" spans="1:10" s="12" customFormat="1" ht="25.5" hidden="1" customHeight="1" outlineLevel="1" x14ac:dyDescent="0.2">
      <c r="A146" s="2">
        <v>70</v>
      </c>
      <c r="B146" s="2" t="s">
        <v>304</v>
      </c>
      <c r="C146" s="8" t="s">
        <v>305</v>
      </c>
      <c r="D146" s="2" t="s">
        <v>177</v>
      </c>
      <c r="E146" s="135">
        <v>6.1960000000000001E-3</v>
      </c>
      <c r="F146" s="100">
        <v>65750</v>
      </c>
      <c r="G146" s="30">
        <f t="shared" si="16"/>
        <v>407.39</v>
      </c>
      <c r="H146" s="131">
        <f t="shared" si="15"/>
        <v>6.7062499866250326E-3</v>
      </c>
      <c r="I146" s="30">
        <f>ROUND(F146*Прил.10!$D$13,2)</f>
        <v>528630</v>
      </c>
      <c r="J146" s="30">
        <f t="shared" si="17"/>
        <v>3275.39</v>
      </c>
    </row>
    <row r="147" spans="1:10" s="12" customFormat="1" ht="14.25" hidden="1" customHeight="1" outlineLevel="1" x14ac:dyDescent="0.2">
      <c r="A147" s="2">
        <v>71</v>
      </c>
      <c r="B147" s="2" t="s">
        <v>308</v>
      </c>
      <c r="C147" s="8" t="s">
        <v>309</v>
      </c>
      <c r="D147" s="2" t="s">
        <v>177</v>
      </c>
      <c r="E147" s="135">
        <v>2.2847699999999999E-2</v>
      </c>
      <c r="F147" s="100">
        <v>15620</v>
      </c>
      <c r="G147" s="30">
        <f t="shared" si="16"/>
        <v>356.88</v>
      </c>
      <c r="H147" s="131">
        <f t="shared" si="15"/>
        <v>5.8747796834157477E-3</v>
      </c>
      <c r="I147" s="30">
        <f>ROUND(F147*Прил.10!$D$13,2)</f>
        <v>125584.8</v>
      </c>
      <c r="J147" s="30">
        <f t="shared" si="17"/>
        <v>2869.32</v>
      </c>
    </row>
    <row r="148" spans="1:10" s="12" customFormat="1" ht="14.25" hidden="1" customHeight="1" outlineLevel="1" x14ac:dyDescent="0.2">
      <c r="A148" s="2">
        <v>72</v>
      </c>
      <c r="B148" s="2" t="s">
        <v>312</v>
      </c>
      <c r="C148" s="8" t="s">
        <v>313</v>
      </c>
      <c r="D148" s="2" t="s">
        <v>246</v>
      </c>
      <c r="E148" s="135">
        <v>0.19</v>
      </c>
      <c r="F148" s="100">
        <v>1819.3</v>
      </c>
      <c r="G148" s="30">
        <f t="shared" si="16"/>
        <v>345.67</v>
      </c>
      <c r="H148" s="131">
        <f t="shared" si="15"/>
        <v>5.690246282129348E-3</v>
      </c>
      <c r="I148" s="30">
        <f>ROUND(F148*Прил.10!$D$13,2)</f>
        <v>14627.17</v>
      </c>
      <c r="J148" s="30">
        <f t="shared" si="17"/>
        <v>2779.16</v>
      </c>
    </row>
    <row r="149" spans="1:10" s="12" customFormat="1" ht="14.25" hidden="1" customHeight="1" outlineLevel="1" x14ac:dyDescent="0.2">
      <c r="A149" s="2">
        <v>73</v>
      </c>
      <c r="B149" s="2" t="s">
        <v>320</v>
      </c>
      <c r="C149" s="8" t="s">
        <v>321</v>
      </c>
      <c r="D149" s="2" t="s">
        <v>322</v>
      </c>
      <c r="E149" s="135">
        <v>37.623107699999998</v>
      </c>
      <c r="F149" s="100">
        <v>6.22</v>
      </c>
      <c r="G149" s="30">
        <f t="shared" si="16"/>
        <v>234.02</v>
      </c>
      <c r="H149" s="131">
        <f t="shared" si="15"/>
        <v>3.8523199437148436E-3</v>
      </c>
      <c r="I149" s="30">
        <f>ROUND(F149*Прил.10!$D$13,2)</f>
        <v>50.01</v>
      </c>
      <c r="J149" s="30">
        <f t="shared" si="17"/>
        <v>1881.53</v>
      </c>
    </row>
    <row r="150" spans="1:10" s="12" customFormat="1" ht="25.5" hidden="1" customHeight="1" outlineLevel="1" x14ac:dyDescent="0.2">
      <c r="A150" s="2">
        <v>74</v>
      </c>
      <c r="B150" s="2" t="s">
        <v>323</v>
      </c>
      <c r="C150" s="8" t="s">
        <v>324</v>
      </c>
      <c r="D150" s="2" t="s">
        <v>249</v>
      </c>
      <c r="E150" s="135">
        <v>9.048</v>
      </c>
      <c r="F150" s="100">
        <v>23.79</v>
      </c>
      <c r="G150" s="30">
        <f t="shared" si="16"/>
        <v>215.25</v>
      </c>
      <c r="H150" s="131">
        <f t="shared" si="15"/>
        <v>3.5433376116768655E-3</v>
      </c>
      <c r="I150" s="30">
        <f>ROUND(F150*Прил.10!$D$13,2)</f>
        <v>191.27</v>
      </c>
      <c r="J150" s="30">
        <f t="shared" si="17"/>
        <v>1730.61</v>
      </c>
    </row>
    <row r="151" spans="1:10" s="12" customFormat="1" ht="63.75" hidden="1" customHeight="1" outlineLevel="1" x14ac:dyDescent="0.2">
      <c r="A151" s="2">
        <v>75</v>
      </c>
      <c r="B151" s="2" t="s">
        <v>325</v>
      </c>
      <c r="C151" s="8" t="s">
        <v>326</v>
      </c>
      <c r="D151" s="2" t="s">
        <v>185</v>
      </c>
      <c r="E151" s="135">
        <v>8</v>
      </c>
      <c r="F151" s="100">
        <v>25.06</v>
      </c>
      <c r="G151" s="30">
        <f t="shared" si="16"/>
        <v>200.48</v>
      </c>
      <c r="H151" s="131">
        <f t="shared" si="15"/>
        <v>3.3002012747455423E-3</v>
      </c>
      <c r="I151" s="30">
        <f>ROUND(F151*Прил.10!$D$13,2)</f>
        <v>201.48</v>
      </c>
      <c r="J151" s="30">
        <f t="shared" si="17"/>
        <v>1611.84</v>
      </c>
    </row>
    <row r="152" spans="1:10" s="12" customFormat="1" ht="25.5" hidden="1" customHeight="1" outlineLevel="1" x14ac:dyDescent="0.2">
      <c r="A152" s="2">
        <v>76</v>
      </c>
      <c r="B152" s="2" t="s">
        <v>329</v>
      </c>
      <c r="C152" s="8" t="s">
        <v>330</v>
      </c>
      <c r="D152" s="2" t="s">
        <v>177</v>
      </c>
      <c r="E152" s="135">
        <v>2.8249999999999998E-3</v>
      </c>
      <c r="F152" s="100">
        <v>68050</v>
      </c>
      <c r="G152" s="30">
        <f t="shared" si="16"/>
        <v>192.24</v>
      </c>
      <c r="H152" s="131">
        <f t="shared" si="15"/>
        <v>3.1645585248258334E-3</v>
      </c>
      <c r="I152" s="30">
        <f>ROUND(F152*Прил.10!$D$13,2)</f>
        <v>547122</v>
      </c>
      <c r="J152" s="30">
        <f t="shared" si="17"/>
        <v>1545.62</v>
      </c>
    </row>
    <row r="153" spans="1:10" s="12" customFormat="1" ht="63.75" hidden="1" customHeight="1" outlineLevel="1" x14ac:dyDescent="0.2">
      <c r="A153" s="2">
        <v>77</v>
      </c>
      <c r="B153" s="2" t="s">
        <v>331</v>
      </c>
      <c r="C153" s="8" t="s">
        <v>332</v>
      </c>
      <c r="D153" s="2" t="s">
        <v>249</v>
      </c>
      <c r="E153" s="135">
        <v>1.98</v>
      </c>
      <c r="F153" s="100">
        <v>93.26</v>
      </c>
      <c r="G153" s="30">
        <f t="shared" si="16"/>
        <v>184.65</v>
      </c>
      <c r="H153" s="131">
        <f t="shared" si="15"/>
        <v>3.0396157491109558E-3</v>
      </c>
      <c r="I153" s="30">
        <f>ROUND(F153*Прил.10!$D$13,2)</f>
        <v>749.81</v>
      </c>
      <c r="J153" s="30">
        <f t="shared" si="17"/>
        <v>1484.62</v>
      </c>
    </row>
    <row r="154" spans="1:10" s="12" customFormat="1" ht="63.75" hidden="1" customHeight="1" outlineLevel="1" x14ac:dyDescent="0.2">
      <c r="A154" s="2">
        <v>78</v>
      </c>
      <c r="B154" s="2" t="s">
        <v>341</v>
      </c>
      <c r="C154" s="8" t="s">
        <v>342</v>
      </c>
      <c r="D154" s="2" t="s">
        <v>185</v>
      </c>
      <c r="E154" s="135">
        <v>1</v>
      </c>
      <c r="F154" s="100">
        <v>116.94</v>
      </c>
      <c r="G154" s="30">
        <f t="shared" si="16"/>
        <v>116.94</v>
      </c>
      <c r="H154" s="131">
        <f t="shared" si="15"/>
        <v>1.9250076669430553E-3</v>
      </c>
      <c r="I154" s="30">
        <f>ROUND(F154*Прил.10!$D$13,2)</f>
        <v>940.2</v>
      </c>
      <c r="J154" s="30">
        <f t="shared" si="17"/>
        <v>940.2</v>
      </c>
    </row>
    <row r="155" spans="1:10" s="12" customFormat="1" ht="14.25" hidden="1" customHeight="1" outlineLevel="1" x14ac:dyDescent="0.2">
      <c r="A155" s="2">
        <v>79</v>
      </c>
      <c r="B155" s="2" t="s">
        <v>343</v>
      </c>
      <c r="C155" s="8" t="s">
        <v>344</v>
      </c>
      <c r="D155" s="2" t="s">
        <v>241</v>
      </c>
      <c r="E155" s="135">
        <v>10.128</v>
      </c>
      <c r="F155" s="100">
        <v>9.42</v>
      </c>
      <c r="G155" s="30">
        <f t="shared" si="16"/>
        <v>95.41</v>
      </c>
      <c r="H155" s="131">
        <f t="shared" si="15"/>
        <v>1.5705915982814854E-3</v>
      </c>
      <c r="I155" s="30">
        <f>ROUND(F155*Прил.10!$D$13,2)</f>
        <v>75.739999999999995</v>
      </c>
      <c r="J155" s="30">
        <f t="shared" si="17"/>
        <v>767.09</v>
      </c>
    </row>
    <row r="156" spans="1:10" s="12" customFormat="1" ht="14.25" hidden="1" customHeight="1" outlineLevel="1" x14ac:dyDescent="0.2">
      <c r="A156" s="2">
        <v>80</v>
      </c>
      <c r="B156" s="2" t="s">
        <v>347</v>
      </c>
      <c r="C156" s="8" t="s">
        <v>348</v>
      </c>
      <c r="D156" s="2" t="s">
        <v>322</v>
      </c>
      <c r="E156" s="135">
        <v>21.818710500000002</v>
      </c>
      <c r="F156" s="100">
        <v>3.15</v>
      </c>
      <c r="G156" s="30">
        <f t="shared" si="16"/>
        <v>68.73</v>
      </c>
      <c r="H156" s="131">
        <f t="shared" si="15"/>
        <v>1.1313988109200974E-3</v>
      </c>
      <c r="I156" s="30">
        <f>ROUND(F156*Прил.10!$D$13,2)</f>
        <v>25.33</v>
      </c>
      <c r="J156" s="30">
        <f t="shared" si="17"/>
        <v>552.66999999999996</v>
      </c>
    </row>
    <row r="157" spans="1:10" s="12" customFormat="1" ht="14.25" hidden="1" customHeight="1" outlineLevel="1" x14ac:dyDescent="0.2">
      <c r="A157" s="2">
        <v>81</v>
      </c>
      <c r="B157" s="2" t="s">
        <v>349</v>
      </c>
      <c r="C157" s="8" t="s">
        <v>350</v>
      </c>
      <c r="D157" s="2" t="s">
        <v>268</v>
      </c>
      <c r="E157" s="135">
        <v>0.41799999999999998</v>
      </c>
      <c r="F157" s="100">
        <v>164</v>
      </c>
      <c r="G157" s="30">
        <f t="shared" si="16"/>
        <v>68.55</v>
      </c>
      <c r="H157" s="131">
        <f t="shared" ref="H157:H188" si="18">G157/$G$189</f>
        <v>1.1284357411402979E-3</v>
      </c>
      <c r="I157" s="30">
        <f>ROUND(F157*Прил.10!$D$13,2)</f>
        <v>1318.56</v>
      </c>
      <c r="J157" s="30">
        <f t="shared" si="17"/>
        <v>551.16</v>
      </c>
    </row>
    <row r="158" spans="1:10" s="12" customFormat="1" ht="63.75" hidden="1" customHeight="1" outlineLevel="1" x14ac:dyDescent="0.2">
      <c r="A158" s="2">
        <v>82</v>
      </c>
      <c r="B158" s="2" t="s">
        <v>351</v>
      </c>
      <c r="C158" s="8" t="s">
        <v>352</v>
      </c>
      <c r="D158" s="2" t="s">
        <v>185</v>
      </c>
      <c r="E158" s="135">
        <v>2</v>
      </c>
      <c r="F158" s="100">
        <v>33.76</v>
      </c>
      <c r="G158" s="30">
        <f t="shared" si="16"/>
        <v>67.52</v>
      </c>
      <c r="H158" s="131">
        <f t="shared" si="18"/>
        <v>1.1114803974003342E-3</v>
      </c>
      <c r="I158" s="30">
        <f>ROUND(F158*Прил.10!$D$13,2)</f>
        <v>271.43</v>
      </c>
      <c r="J158" s="30">
        <f t="shared" si="17"/>
        <v>542.86</v>
      </c>
    </row>
    <row r="159" spans="1:10" s="12" customFormat="1" ht="14.25" hidden="1" customHeight="1" outlineLevel="1" x14ac:dyDescent="0.2">
      <c r="A159" s="2">
        <v>83</v>
      </c>
      <c r="B159" s="2" t="s">
        <v>353</v>
      </c>
      <c r="C159" s="8" t="s">
        <v>354</v>
      </c>
      <c r="D159" s="2" t="s">
        <v>177</v>
      </c>
      <c r="E159" s="135">
        <v>4.5215000000000003E-3</v>
      </c>
      <c r="F159" s="100">
        <v>14312.87</v>
      </c>
      <c r="G159" s="30">
        <f t="shared" si="16"/>
        <v>64.72</v>
      </c>
      <c r="H159" s="131">
        <f t="shared" si="18"/>
        <v>1.065388200825676E-3</v>
      </c>
      <c r="I159" s="30">
        <f>ROUND(F159*Прил.10!$D$13,2)</f>
        <v>115075.47</v>
      </c>
      <c r="J159" s="30">
        <f t="shared" si="17"/>
        <v>520.30999999999995</v>
      </c>
    </row>
    <row r="160" spans="1:10" s="12" customFormat="1" ht="25.5" hidden="1" customHeight="1" outlineLevel="1" x14ac:dyDescent="0.2">
      <c r="A160" s="2">
        <v>84</v>
      </c>
      <c r="B160" s="2" t="s">
        <v>355</v>
      </c>
      <c r="C160" s="8" t="s">
        <v>356</v>
      </c>
      <c r="D160" s="2" t="s">
        <v>241</v>
      </c>
      <c r="E160" s="135">
        <v>2.4180000000000001</v>
      </c>
      <c r="F160" s="100">
        <v>26.32</v>
      </c>
      <c r="G160" s="30">
        <f t="shared" si="16"/>
        <v>63.64</v>
      </c>
      <c r="H160" s="131">
        <f t="shared" si="18"/>
        <v>1.0476097821468791E-3</v>
      </c>
      <c r="I160" s="30">
        <f>ROUND(F160*Прил.10!$D$13,2)</f>
        <v>211.61</v>
      </c>
      <c r="J160" s="30">
        <f t="shared" si="17"/>
        <v>511.67</v>
      </c>
    </row>
    <row r="161" spans="1:10" s="12" customFormat="1" ht="38.25" hidden="1" customHeight="1" outlineLevel="1" x14ac:dyDescent="0.2">
      <c r="A161" s="2">
        <v>85</v>
      </c>
      <c r="B161" s="2" t="s">
        <v>357</v>
      </c>
      <c r="C161" s="8" t="s">
        <v>358</v>
      </c>
      <c r="D161" s="2" t="s">
        <v>241</v>
      </c>
      <c r="E161" s="135">
        <v>0.56999999999999995</v>
      </c>
      <c r="F161" s="100">
        <v>91.29</v>
      </c>
      <c r="G161" s="30">
        <f t="shared" si="16"/>
        <v>52.04</v>
      </c>
      <c r="H161" s="131">
        <f t="shared" si="18"/>
        <v>8.5665639633757996E-4</v>
      </c>
      <c r="I161" s="30">
        <f>ROUND(F161*Прил.10!$D$13,2)</f>
        <v>733.97</v>
      </c>
      <c r="J161" s="30">
        <f t="shared" si="17"/>
        <v>418.36</v>
      </c>
    </row>
    <row r="162" spans="1:10" s="12" customFormat="1" ht="25.5" hidden="1" customHeight="1" outlineLevel="1" x14ac:dyDescent="0.2">
      <c r="A162" s="2">
        <v>86</v>
      </c>
      <c r="B162" s="2" t="s">
        <v>359</v>
      </c>
      <c r="C162" s="8" t="s">
        <v>360</v>
      </c>
      <c r="D162" s="2" t="s">
        <v>177</v>
      </c>
      <c r="E162" s="135">
        <v>2.0347999999999998E-3</v>
      </c>
      <c r="F162" s="100">
        <v>25425</v>
      </c>
      <c r="G162" s="30">
        <f t="shared" si="16"/>
        <v>51.73</v>
      </c>
      <c r="H162" s="131">
        <f t="shared" si="18"/>
        <v>8.5155333171681418E-4</v>
      </c>
      <c r="I162" s="30">
        <f>ROUND(F162*Прил.10!$D$13,2)</f>
        <v>204417</v>
      </c>
      <c r="J162" s="30">
        <f t="shared" si="17"/>
        <v>415.95</v>
      </c>
    </row>
    <row r="163" spans="1:10" s="12" customFormat="1" ht="25.5" hidden="1" customHeight="1" outlineLevel="1" x14ac:dyDescent="0.2">
      <c r="A163" s="2">
        <v>87</v>
      </c>
      <c r="B163" s="2" t="s">
        <v>363</v>
      </c>
      <c r="C163" s="8" t="s">
        <v>364</v>
      </c>
      <c r="D163" s="2" t="s">
        <v>365</v>
      </c>
      <c r="E163" s="135">
        <v>0.1910038</v>
      </c>
      <c r="F163" s="100">
        <v>253.8</v>
      </c>
      <c r="G163" s="30">
        <f t="shared" si="16"/>
        <v>48.48</v>
      </c>
      <c r="H163" s="131">
        <f t="shared" si="18"/>
        <v>7.9805346069265705E-4</v>
      </c>
      <c r="I163" s="30">
        <f>ROUND(F163*Прил.10!$D$13,2)</f>
        <v>2040.55</v>
      </c>
      <c r="J163" s="30">
        <f t="shared" si="17"/>
        <v>389.75</v>
      </c>
    </row>
    <row r="164" spans="1:10" s="12" customFormat="1" ht="14.25" hidden="1" customHeight="1" outlineLevel="1" x14ac:dyDescent="0.2">
      <c r="A164" s="2">
        <v>88</v>
      </c>
      <c r="B164" s="2" t="s">
        <v>366</v>
      </c>
      <c r="C164" s="8" t="s">
        <v>367</v>
      </c>
      <c r="D164" s="2" t="s">
        <v>322</v>
      </c>
      <c r="E164" s="135">
        <v>1.0275396999999999</v>
      </c>
      <c r="F164" s="100">
        <v>38.51</v>
      </c>
      <c r="G164" s="30">
        <f t="shared" si="16"/>
        <v>39.57</v>
      </c>
      <c r="H164" s="131">
        <f t="shared" si="18"/>
        <v>6.5138150659258334E-4</v>
      </c>
      <c r="I164" s="30">
        <f>ROUND(F164*Прил.10!$D$13,2)</f>
        <v>309.62</v>
      </c>
      <c r="J164" s="30">
        <f t="shared" si="17"/>
        <v>318.14999999999998</v>
      </c>
    </row>
    <row r="165" spans="1:10" s="12" customFormat="1" ht="63.75" hidden="1" customHeight="1" outlineLevel="1" x14ac:dyDescent="0.2">
      <c r="A165" s="2">
        <v>89</v>
      </c>
      <c r="B165" s="2" t="s">
        <v>368</v>
      </c>
      <c r="C165" s="8" t="s">
        <v>369</v>
      </c>
      <c r="D165" s="2" t="s">
        <v>185</v>
      </c>
      <c r="E165" s="135">
        <v>1</v>
      </c>
      <c r="F165" s="100">
        <v>36.69</v>
      </c>
      <c r="G165" s="30">
        <f t="shared" si="16"/>
        <v>36.69</v>
      </c>
      <c r="H165" s="131">
        <f t="shared" si="18"/>
        <v>6.0397239011579181E-4</v>
      </c>
      <c r="I165" s="30">
        <f>ROUND(F165*Прил.10!$D$13,2)</f>
        <v>294.99</v>
      </c>
      <c r="J165" s="30">
        <f t="shared" si="17"/>
        <v>294.99</v>
      </c>
    </row>
    <row r="166" spans="1:10" s="12" customFormat="1" ht="14.25" hidden="1" customHeight="1" outlineLevel="1" x14ac:dyDescent="0.2">
      <c r="A166" s="2">
        <v>90</v>
      </c>
      <c r="B166" s="2" t="s">
        <v>370</v>
      </c>
      <c r="C166" s="8" t="s">
        <v>371</v>
      </c>
      <c r="D166" s="2" t="s">
        <v>241</v>
      </c>
      <c r="E166" s="135">
        <v>6</v>
      </c>
      <c r="F166" s="100">
        <v>6.09</v>
      </c>
      <c r="G166" s="30">
        <f t="shared" si="16"/>
        <v>36.54</v>
      </c>
      <c r="H166" s="131">
        <f t="shared" si="18"/>
        <v>6.0150316529929224E-4</v>
      </c>
      <c r="I166" s="30">
        <f>ROUND(F166*Прил.10!$D$13,2)</f>
        <v>48.96</v>
      </c>
      <c r="J166" s="30">
        <f t="shared" si="17"/>
        <v>293.76</v>
      </c>
    </row>
    <row r="167" spans="1:10" s="12" customFormat="1" ht="14.25" hidden="1" customHeight="1" outlineLevel="1" x14ac:dyDescent="0.2">
      <c r="A167" s="2">
        <v>91</v>
      </c>
      <c r="B167" s="2" t="s">
        <v>372</v>
      </c>
      <c r="C167" s="8" t="s">
        <v>373</v>
      </c>
      <c r="D167" s="2" t="s">
        <v>241</v>
      </c>
      <c r="E167" s="135">
        <v>0.93620000000000003</v>
      </c>
      <c r="F167" s="100">
        <v>37.29</v>
      </c>
      <c r="G167" s="30">
        <f t="shared" si="16"/>
        <v>34.909999999999997</v>
      </c>
      <c r="H167" s="131">
        <f t="shared" si="18"/>
        <v>5.7467092229333036E-4</v>
      </c>
      <c r="I167" s="30">
        <f>ROUND(F167*Прил.10!$D$13,2)</f>
        <v>299.81</v>
      </c>
      <c r="J167" s="30">
        <f t="shared" si="17"/>
        <v>280.68</v>
      </c>
    </row>
    <row r="168" spans="1:10" s="12" customFormat="1" ht="25.5" hidden="1" customHeight="1" outlineLevel="1" x14ac:dyDescent="0.2">
      <c r="A168" s="2">
        <v>92</v>
      </c>
      <c r="B168" s="2" t="s">
        <v>376</v>
      </c>
      <c r="C168" s="8" t="s">
        <v>377</v>
      </c>
      <c r="D168" s="2" t="s">
        <v>241</v>
      </c>
      <c r="E168" s="135">
        <v>1.8724000000000001</v>
      </c>
      <c r="F168" s="100">
        <v>15.12</v>
      </c>
      <c r="G168" s="30">
        <f t="shared" si="16"/>
        <v>28.31</v>
      </c>
      <c r="H168" s="131">
        <f t="shared" si="18"/>
        <v>4.6602503036734987E-4</v>
      </c>
      <c r="I168" s="30">
        <f>ROUND(F168*Прил.10!$D$13,2)</f>
        <v>121.56</v>
      </c>
      <c r="J168" s="30">
        <f t="shared" si="17"/>
        <v>227.61</v>
      </c>
    </row>
    <row r="169" spans="1:10" s="12" customFormat="1" ht="25.5" hidden="1" customHeight="1" outlineLevel="1" x14ac:dyDescent="0.2">
      <c r="A169" s="2">
        <v>93</v>
      </c>
      <c r="B169" s="2" t="s">
        <v>378</v>
      </c>
      <c r="C169" s="8" t="s">
        <v>379</v>
      </c>
      <c r="D169" s="2" t="s">
        <v>365</v>
      </c>
      <c r="E169" s="135">
        <v>0.1910038</v>
      </c>
      <c r="F169" s="100">
        <v>135.82</v>
      </c>
      <c r="G169" s="30">
        <f t="shared" si="16"/>
        <v>25.94</v>
      </c>
      <c r="H169" s="131">
        <f t="shared" si="18"/>
        <v>4.2701127826665688E-4</v>
      </c>
      <c r="I169" s="30">
        <f>ROUND(F169*Прил.10!$D$13,2)</f>
        <v>1091.99</v>
      </c>
      <c r="J169" s="30">
        <f t="shared" si="17"/>
        <v>208.57</v>
      </c>
    </row>
    <row r="170" spans="1:10" s="12" customFormat="1" ht="63.75" hidden="1" customHeight="1" outlineLevel="1" x14ac:dyDescent="0.2">
      <c r="A170" s="2">
        <v>94</v>
      </c>
      <c r="B170" s="2" t="s">
        <v>380</v>
      </c>
      <c r="C170" s="8" t="s">
        <v>381</v>
      </c>
      <c r="D170" s="2" t="s">
        <v>185</v>
      </c>
      <c r="E170" s="135">
        <v>1</v>
      </c>
      <c r="F170" s="100">
        <v>22.44</v>
      </c>
      <c r="G170" s="30">
        <f t="shared" si="16"/>
        <v>22.44</v>
      </c>
      <c r="H170" s="131">
        <f t="shared" si="18"/>
        <v>3.693960325483339E-4</v>
      </c>
      <c r="I170" s="30">
        <f>ROUND(F170*Прил.10!$D$13,2)</f>
        <v>180.42</v>
      </c>
      <c r="J170" s="30">
        <f t="shared" si="17"/>
        <v>180.42</v>
      </c>
    </row>
    <row r="171" spans="1:10" s="12" customFormat="1" ht="25.5" hidden="1" customHeight="1" outlineLevel="1" x14ac:dyDescent="0.2">
      <c r="A171" s="2">
        <v>95</v>
      </c>
      <c r="B171" s="2" t="s">
        <v>382</v>
      </c>
      <c r="C171" s="8" t="s">
        <v>383</v>
      </c>
      <c r="D171" s="2" t="s">
        <v>241</v>
      </c>
      <c r="E171" s="135">
        <v>0.70799999999999996</v>
      </c>
      <c r="F171" s="100">
        <v>28.22</v>
      </c>
      <c r="G171" s="30">
        <f t="shared" ref="G171:G202" si="19">ROUND(E171*F171,2)</f>
        <v>19.98</v>
      </c>
      <c r="H171" s="131">
        <f t="shared" si="18"/>
        <v>3.2890074555774111E-4</v>
      </c>
      <c r="I171" s="30">
        <f>ROUND(F171*Прил.10!$D$13,2)</f>
        <v>226.89</v>
      </c>
      <c r="J171" s="30">
        <f t="shared" ref="J171:J202" si="20">ROUND(I171*E171,2)</f>
        <v>160.63999999999999</v>
      </c>
    </row>
    <row r="172" spans="1:10" s="12" customFormat="1" ht="25.5" hidden="1" customHeight="1" outlineLevel="1" x14ac:dyDescent="0.2">
      <c r="A172" s="2">
        <v>96</v>
      </c>
      <c r="B172" s="2" t="s">
        <v>384</v>
      </c>
      <c r="C172" s="8" t="s">
        <v>385</v>
      </c>
      <c r="D172" s="2" t="s">
        <v>177</v>
      </c>
      <c r="E172" s="135">
        <v>9.2000000000000003E-4</v>
      </c>
      <c r="F172" s="100">
        <v>20775</v>
      </c>
      <c r="G172" s="30">
        <f t="shared" si="19"/>
        <v>19.11</v>
      </c>
      <c r="H172" s="131">
        <f t="shared" si="18"/>
        <v>3.1457924162204366E-4</v>
      </c>
      <c r="I172" s="30">
        <f>ROUND(F172*Прил.10!$D$13,2)</f>
        <v>167031</v>
      </c>
      <c r="J172" s="30">
        <f t="shared" si="20"/>
        <v>153.66999999999999</v>
      </c>
    </row>
    <row r="173" spans="1:10" s="12" customFormat="1" ht="25.5" hidden="1" customHeight="1" outlineLevel="1" x14ac:dyDescent="0.2">
      <c r="A173" s="2">
        <v>97</v>
      </c>
      <c r="B173" s="2" t="s">
        <v>386</v>
      </c>
      <c r="C173" s="8" t="s">
        <v>387</v>
      </c>
      <c r="D173" s="2" t="s">
        <v>241</v>
      </c>
      <c r="E173" s="135">
        <v>0.60299999999999998</v>
      </c>
      <c r="F173" s="100">
        <v>25.76</v>
      </c>
      <c r="G173" s="30">
        <f t="shared" si="19"/>
        <v>15.53</v>
      </c>
      <c r="H173" s="131">
        <f t="shared" si="18"/>
        <v>2.5564707600158752E-4</v>
      </c>
      <c r="I173" s="30">
        <f>ROUND(F173*Прил.10!$D$13,2)</f>
        <v>207.11</v>
      </c>
      <c r="J173" s="30">
        <f t="shared" si="20"/>
        <v>124.89</v>
      </c>
    </row>
    <row r="174" spans="1:10" s="12" customFormat="1" ht="14.25" hidden="1" customHeight="1" outlineLevel="1" x14ac:dyDescent="0.2">
      <c r="A174" s="2">
        <v>98</v>
      </c>
      <c r="B174" s="2" t="s">
        <v>388</v>
      </c>
      <c r="C174" s="8" t="s">
        <v>389</v>
      </c>
      <c r="D174" s="2" t="s">
        <v>241</v>
      </c>
      <c r="E174" s="135">
        <v>1.44</v>
      </c>
      <c r="F174" s="100">
        <v>9.0399999999999991</v>
      </c>
      <c r="G174" s="30">
        <f t="shared" si="19"/>
        <v>13.02</v>
      </c>
      <c r="H174" s="131">
        <f t="shared" si="18"/>
        <v>2.143287140721616E-4</v>
      </c>
      <c r="I174" s="30">
        <f>ROUND(F174*Прил.10!$D$13,2)</f>
        <v>72.680000000000007</v>
      </c>
      <c r="J174" s="30">
        <f t="shared" si="20"/>
        <v>104.66</v>
      </c>
    </row>
    <row r="175" spans="1:10" s="12" customFormat="1" ht="14.25" hidden="1" customHeight="1" outlineLevel="1" x14ac:dyDescent="0.2">
      <c r="A175" s="2">
        <v>99</v>
      </c>
      <c r="B175" s="2" t="s">
        <v>390</v>
      </c>
      <c r="C175" s="8" t="s">
        <v>391</v>
      </c>
      <c r="D175" s="2" t="s">
        <v>241</v>
      </c>
      <c r="E175" s="135">
        <v>1.711346</v>
      </c>
      <c r="F175" s="100">
        <v>6.67</v>
      </c>
      <c r="G175" s="30">
        <f t="shared" si="19"/>
        <v>11.41</v>
      </c>
      <c r="H175" s="131">
        <f t="shared" si="18"/>
        <v>1.8782570104173304E-4</v>
      </c>
      <c r="I175" s="30">
        <f>ROUND(F175*Прил.10!$D$13,2)</f>
        <v>53.63</v>
      </c>
      <c r="J175" s="30">
        <f t="shared" si="20"/>
        <v>91.78</v>
      </c>
    </row>
    <row r="176" spans="1:10" s="12" customFormat="1" ht="14.25" hidden="1" customHeight="1" outlineLevel="1" x14ac:dyDescent="0.2">
      <c r="A176" s="2">
        <v>100</v>
      </c>
      <c r="B176" s="2" t="s">
        <v>392</v>
      </c>
      <c r="C176" s="8" t="s">
        <v>393</v>
      </c>
      <c r="D176" s="2" t="s">
        <v>241</v>
      </c>
      <c r="E176" s="135">
        <v>0.39589999999999997</v>
      </c>
      <c r="F176" s="100">
        <v>27.74</v>
      </c>
      <c r="G176" s="30">
        <f t="shared" si="19"/>
        <v>10.98</v>
      </c>
      <c r="H176" s="131">
        <f t="shared" si="18"/>
        <v>1.8074725656776764E-4</v>
      </c>
      <c r="I176" s="30">
        <f>ROUND(F176*Прил.10!$D$13,2)</f>
        <v>223.03</v>
      </c>
      <c r="J176" s="30">
        <f t="shared" si="20"/>
        <v>88.3</v>
      </c>
    </row>
    <row r="177" spans="1:17" s="12" customFormat="1" ht="25.5" hidden="1" customHeight="1" outlineLevel="1" x14ac:dyDescent="0.2">
      <c r="A177" s="2">
        <v>101</v>
      </c>
      <c r="B177" s="2" t="s">
        <v>394</v>
      </c>
      <c r="C177" s="8" t="s">
        <v>395</v>
      </c>
      <c r="D177" s="2" t="s">
        <v>241</v>
      </c>
      <c r="E177" s="135">
        <v>0.60456699999999997</v>
      </c>
      <c r="F177" s="100">
        <v>17.920000000000002</v>
      </c>
      <c r="G177" s="30">
        <f t="shared" si="19"/>
        <v>10.83</v>
      </c>
      <c r="H177" s="131">
        <f t="shared" si="18"/>
        <v>1.7827803175126807E-4</v>
      </c>
      <c r="I177" s="30">
        <f>ROUND(F177*Прил.10!$D$13,2)</f>
        <v>144.08000000000001</v>
      </c>
      <c r="J177" s="30">
        <f t="shared" si="20"/>
        <v>87.11</v>
      </c>
    </row>
    <row r="178" spans="1:17" s="12" customFormat="1" ht="14.25" hidden="1" customHeight="1" outlineLevel="1" x14ac:dyDescent="0.2">
      <c r="A178" s="2">
        <v>102</v>
      </c>
      <c r="B178" s="2" t="s">
        <v>396</v>
      </c>
      <c r="C178" s="8" t="s">
        <v>397</v>
      </c>
      <c r="D178" s="2" t="s">
        <v>177</v>
      </c>
      <c r="E178" s="135">
        <v>8.9610000000000004E-4</v>
      </c>
      <c r="F178" s="100">
        <v>7640</v>
      </c>
      <c r="G178" s="30">
        <f t="shared" si="19"/>
        <v>6.85</v>
      </c>
      <c r="H178" s="131">
        <f t="shared" si="18"/>
        <v>1.1276126662014647E-4</v>
      </c>
      <c r="I178" s="30">
        <f>ROUND(F178*Прил.10!$D$13,2)</f>
        <v>61425.599999999999</v>
      </c>
      <c r="J178" s="30">
        <f t="shared" si="20"/>
        <v>55.04</v>
      </c>
    </row>
    <row r="179" spans="1:17" s="12" customFormat="1" ht="14.25" hidden="1" customHeight="1" outlineLevel="1" x14ac:dyDescent="0.2">
      <c r="A179" s="2">
        <v>103</v>
      </c>
      <c r="B179" s="2" t="s">
        <v>398</v>
      </c>
      <c r="C179" s="8" t="s">
        <v>399</v>
      </c>
      <c r="D179" s="2" t="s">
        <v>268</v>
      </c>
      <c r="E179" s="135">
        <v>0.24</v>
      </c>
      <c r="F179" s="100">
        <v>26.6</v>
      </c>
      <c r="G179" s="30">
        <f t="shared" si="19"/>
        <v>6.38</v>
      </c>
      <c r="H179" s="131">
        <f t="shared" si="18"/>
        <v>1.0502436219511452E-4</v>
      </c>
      <c r="I179" s="30">
        <f>ROUND(F179*Прил.10!$D$13,2)</f>
        <v>213.86</v>
      </c>
      <c r="J179" s="30">
        <f t="shared" si="20"/>
        <v>51.33</v>
      </c>
    </row>
    <row r="180" spans="1:17" s="12" customFormat="1" ht="14.25" hidden="1" customHeight="1" outlineLevel="1" x14ac:dyDescent="0.2">
      <c r="A180" s="2">
        <v>104</v>
      </c>
      <c r="B180" s="2" t="s">
        <v>400</v>
      </c>
      <c r="C180" s="8" t="s">
        <v>401</v>
      </c>
      <c r="D180" s="2" t="s">
        <v>177</v>
      </c>
      <c r="E180" s="135">
        <v>5.5300000000000002E-3</v>
      </c>
      <c r="F180" s="100">
        <v>729.98</v>
      </c>
      <c r="G180" s="30">
        <f t="shared" si="19"/>
        <v>4.04</v>
      </c>
      <c r="H180" s="131">
        <f t="shared" si="18"/>
        <v>6.650445505772143E-5</v>
      </c>
      <c r="I180" s="30">
        <f>ROUND(F180*Прил.10!$D$13,2)</f>
        <v>5869.04</v>
      </c>
      <c r="J180" s="30">
        <f t="shared" si="20"/>
        <v>32.46</v>
      </c>
    </row>
    <row r="181" spans="1:17" s="12" customFormat="1" ht="14.25" hidden="1" customHeight="1" outlineLevel="1" x14ac:dyDescent="0.2">
      <c r="A181" s="2">
        <v>105</v>
      </c>
      <c r="B181" s="2" t="s">
        <v>402</v>
      </c>
      <c r="C181" s="8" t="s">
        <v>403</v>
      </c>
      <c r="D181" s="2" t="s">
        <v>404</v>
      </c>
      <c r="E181" s="135">
        <v>0.54239999999999999</v>
      </c>
      <c r="F181" s="100">
        <v>6.9</v>
      </c>
      <c r="G181" s="30">
        <f t="shared" si="19"/>
        <v>3.74</v>
      </c>
      <c r="H181" s="131">
        <f t="shared" si="18"/>
        <v>6.1566005424722317E-5</v>
      </c>
      <c r="I181" s="30">
        <f>ROUND(F181*Прил.10!$D$13,2)</f>
        <v>55.48</v>
      </c>
      <c r="J181" s="30">
        <f t="shared" si="20"/>
        <v>30.09</v>
      </c>
    </row>
    <row r="182" spans="1:17" s="12" customFormat="1" ht="25.5" hidden="1" customHeight="1" outlineLevel="1" x14ac:dyDescent="0.2">
      <c r="A182" s="2">
        <v>106</v>
      </c>
      <c r="B182" s="2" t="s">
        <v>405</v>
      </c>
      <c r="C182" s="8" t="s">
        <v>406</v>
      </c>
      <c r="D182" s="2" t="s">
        <v>241</v>
      </c>
      <c r="E182" s="135">
        <v>0.12</v>
      </c>
      <c r="F182" s="100">
        <v>23.09</v>
      </c>
      <c r="G182" s="30">
        <f t="shared" si="19"/>
        <v>2.77</v>
      </c>
      <c r="H182" s="131">
        <f t="shared" si="18"/>
        <v>4.5598351611358504E-5</v>
      </c>
      <c r="I182" s="30">
        <f>ROUND(F182*Прил.10!$D$13,2)</f>
        <v>185.64</v>
      </c>
      <c r="J182" s="30">
        <f t="shared" si="20"/>
        <v>22.28</v>
      </c>
    </row>
    <row r="183" spans="1:17" s="12" customFormat="1" ht="14.25" hidden="1" customHeight="1" outlineLevel="1" x14ac:dyDescent="0.2">
      <c r="A183" s="2">
        <v>107</v>
      </c>
      <c r="B183" s="2" t="s">
        <v>407</v>
      </c>
      <c r="C183" s="8" t="s">
        <v>408</v>
      </c>
      <c r="D183" s="2" t="s">
        <v>177</v>
      </c>
      <c r="E183" s="135">
        <v>3.39E-4</v>
      </c>
      <c r="F183" s="100">
        <v>7826.9</v>
      </c>
      <c r="G183" s="30">
        <f t="shared" si="19"/>
        <v>2.65</v>
      </c>
      <c r="H183" s="131">
        <f t="shared" si="18"/>
        <v>4.3622971758158855E-5</v>
      </c>
      <c r="I183" s="30">
        <f>ROUND(F183*Прил.10!$D$13,2)</f>
        <v>62928.28</v>
      </c>
      <c r="J183" s="30">
        <f t="shared" si="20"/>
        <v>21.33</v>
      </c>
    </row>
    <row r="184" spans="1:17" s="12" customFormat="1" ht="14.25" hidden="1" customHeight="1" outlineLevel="1" x14ac:dyDescent="0.2">
      <c r="A184" s="2">
        <v>108</v>
      </c>
      <c r="B184" s="2" t="s">
        <v>409</v>
      </c>
      <c r="C184" s="8" t="s">
        <v>410</v>
      </c>
      <c r="D184" s="2" t="s">
        <v>241</v>
      </c>
      <c r="E184" s="135">
        <v>3.5999999999999997E-2</v>
      </c>
      <c r="F184" s="100">
        <v>32.6</v>
      </c>
      <c r="G184" s="30">
        <f t="shared" si="19"/>
        <v>1.17</v>
      </c>
      <c r="H184" s="131">
        <f t="shared" si="18"/>
        <v>1.9259953568696549E-5</v>
      </c>
      <c r="I184" s="30">
        <f>ROUND(F184*Прил.10!$D$13,2)</f>
        <v>262.10000000000002</v>
      </c>
      <c r="J184" s="30">
        <f t="shared" si="20"/>
        <v>9.44</v>
      </c>
    </row>
    <row r="185" spans="1:17" s="12" customFormat="1" ht="14.25" hidden="1" customHeight="1" outlineLevel="1" x14ac:dyDescent="0.2">
      <c r="A185" s="2">
        <v>109</v>
      </c>
      <c r="B185" s="2" t="s">
        <v>411</v>
      </c>
      <c r="C185" s="8" t="s">
        <v>412</v>
      </c>
      <c r="D185" s="2" t="s">
        <v>241</v>
      </c>
      <c r="E185" s="135">
        <v>0.03</v>
      </c>
      <c r="F185" s="100">
        <v>28.93</v>
      </c>
      <c r="G185" s="30">
        <f t="shared" si="19"/>
        <v>0.87</v>
      </c>
      <c r="H185" s="131">
        <f t="shared" si="18"/>
        <v>1.4321503935697435E-5</v>
      </c>
      <c r="I185" s="30">
        <f>ROUND(F185*Прил.10!$D$13,2)</f>
        <v>232.6</v>
      </c>
      <c r="J185" s="30">
        <f t="shared" si="20"/>
        <v>6.98</v>
      </c>
    </row>
    <row r="186" spans="1:17" s="12" customFormat="1" ht="14.25" hidden="1" customHeight="1" outlineLevel="1" x14ac:dyDescent="0.2">
      <c r="A186" s="2">
        <v>110</v>
      </c>
      <c r="B186" s="2" t="s">
        <v>413</v>
      </c>
      <c r="C186" s="8" t="s">
        <v>414</v>
      </c>
      <c r="D186" s="2" t="s">
        <v>241</v>
      </c>
      <c r="E186" s="135">
        <v>1.7999999999999999E-2</v>
      </c>
      <c r="F186" s="100">
        <v>26.44</v>
      </c>
      <c r="G186" s="30">
        <f t="shared" si="19"/>
        <v>0.48</v>
      </c>
      <c r="H186" s="131">
        <f t="shared" si="18"/>
        <v>7.9015194127985854E-6</v>
      </c>
      <c r="I186" s="30">
        <f>ROUND(F186*Прил.10!$D$13,2)</f>
        <v>212.58</v>
      </c>
      <c r="J186" s="30">
        <f t="shared" si="20"/>
        <v>3.83</v>
      </c>
    </row>
    <row r="187" spans="1:17" s="12" customFormat="1" ht="14.25" hidden="1" customHeight="1" outlineLevel="1" x14ac:dyDescent="0.2">
      <c r="A187" s="2">
        <v>111</v>
      </c>
      <c r="B187" s="2" t="s">
        <v>415</v>
      </c>
      <c r="C187" s="8" t="s">
        <v>416</v>
      </c>
      <c r="D187" s="2" t="s">
        <v>185</v>
      </c>
      <c r="E187" s="135">
        <v>8.9999999999999993E-3</v>
      </c>
      <c r="F187" s="100">
        <v>4.5</v>
      </c>
      <c r="G187" s="30">
        <f t="shared" si="19"/>
        <v>0.04</v>
      </c>
      <c r="H187" s="131">
        <f t="shared" si="18"/>
        <v>6.5845995106654875E-7</v>
      </c>
      <c r="I187" s="30">
        <f>ROUND(F187*Прил.10!$D$13,2)</f>
        <v>36.18</v>
      </c>
      <c r="J187" s="30">
        <f t="shared" si="20"/>
        <v>0.33</v>
      </c>
    </row>
    <row r="188" spans="1:17" s="12" customFormat="1" ht="14.25" customHeight="1" collapsed="1" x14ac:dyDescent="0.2">
      <c r="A188" s="2"/>
      <c r="B188" s="2"/>
      <c r="C188" s="8" t="s">
        <v>481</v>
      </c>
      <c r="D188" s="2"/>
      <c r="E188" s="126"/>
      <c r="F188" s="100"/>
      <c r="G188" s="30">
        <f>SUM(G139:G187)</f>
        <v>7760.3899999999967</v>
      </c>
      <c r="H188" s="131">
        <f t="shared" si="18"/>
        <v>0.1277476504914333</v>
      </c>
      <c r="I188" s="30"/>
      <c r="J188" s="30">
        <f>SUM(J139:J187)</f>
        <v>62394.409999999989</v>
      </c>
      <c r="Q188" s="179"/>
    </row>
    <row r="189" spans="1:17" s="12" customFormat="1" ht="14.25" customHeight="1" x14ac:dyDescent="0.2">
      <c r="A189" s="2"/>
      <c r="B189" s="2"/>
      <c r="C189" s="101" t="s">
        <v>482</v>
      </c>
      <c r="D189" s="2"/>
      <c r="E189" s="126"/>
      <c r="F189" s="100"/>
      <c r="G189" s="30">
        <f>G138+G188</f>
        <v>60747.81</v>
      </c>
      <c r="H189" s="127">
        <f t="shared" ref="H189:H220" si="21">G189/$G$189</f>
        <v>1</v>
      </c>
      <c r="I189" s="30"/>
      <c r="J189" s="30">
        <f>J138+J188</f>
        <v>488410.98000000004</v>
      </c>
      <c r="Q189" s="179"/>
    </row>
    <row r="190" spans="1:17" s="12" customFormat="1" ht="14.25" customHeight="1" x14ac:dyDescent="0.2">
      <c r="A190" s="2"/>
      <c r="B190" s="2"/>
      <c r="C190" s="8" t="s">
        <v>483</v>
      </c>
      <c r="D190" s="2"/>
      <c r="E190" s="126"/>
      <c r="F190" s="100"/>
      <c r="G190" s="30">
        <f>G14+G45+G189</f>
        <v>107932.69</v>
      </c>
      <c r="H190" s="127"/>
      <c r="I190" s="30"/>
      <c r="J190" s="30">
        <f>J14+J45+J189</f>
        <v>2144109.44</v>
      </c>
      <c r="Q190" s="179"/>
    </row>
    <row r="191" spans="1:17" s="12" customFormat="1" ht="14.25" customHeight="1" x14ac:dyDescent="0.2">
      <c r="A191" s="2"/>
      <c r="B191" s="2"/>
      <c r="C191" s="8" t="s">
        <v>484</v>
      </c>
      <c r="D191" s="136">
        <f>ROUND(G191/(G$16+$G$14),2)</f>
        <v>0.91</v>
      </c>
      <c r="E191" s="126"/>
      <c r="F191" s="100"/>
      <c r="G191" s="30">
        <v>29669.05</v>
      </c>
      <c r="H191" s="127"/>
      <c r="I191" s="30"/>
      <c r="J191" s="30">
        <f>ROUND(D191*(J14+J16),2)</f>
        <v>1371005.39</v>
      </c>
      <c r="Q191" s="179"/>
    </row>
    <row r="192" spans="1:17" s="12" customFormat="1" ht="14.25" customHeight="1" x14ac:dyDescent="0.2">
      <c r="A192" s="2"/>
      <c r="B192" s="2"/>
      <c r="C192" s="8" t="s">
        <v>485</v>
      </c>
      <c r="D192" s="136">
        <f>ROUND(G192/(G$14+G$16),2)</f>
        <v>0.47</v>
      </c>
      <c r="E192" s="126"/>
      <c r="F192" s="100"/>
      <c r="G192" s="30">
        <v>15374.8</v>
      </c>
      <c r="H192" s="127"/>
      <c r="I192" s="30"/>
      <c r="J192" s="30">
        <f>ROUND(D192*(J14+J16),2)</f>
        <v>708101.69</v>
      </c>
      <c r="Q192" s="179"/>
    </row>
    <row r="193" spans="1:18" s="12" customFormat="1" ht="14.25" customHeight="1" x14ac:dyDescent="0.2">
      <c r="A193" s="2"/>
      <c r="B193" s="2"/>
      <c r="C193" s="8" t="s">
        <v>486</v>
      </c>
      <c r="D193" s="2"/>
      <c r="E193" s="126"/>
      <c r="F193" s="100"/>
      <c r="G193" s="30">
        <f>G14+G45+G189+G191+G192</f>
        <v>152976.53999999998</v>
      </c>
      <c r="H193" s="127"/>
      <c r="I193" s="30"/>
      <c r="J193" s="30">
        <f>J14+J45+J189+J191+J192</f>
        <v>4223216.5199999996</v>
      </c>
      <c r="Q193" s="179"/>
    </row>
    <row r="194" spans="1:18" s="12" customFormat="1" ht="14.25" customHeight="1" x14ac:dyDescent="0.2">
      <c r="A194" s="2"/>
      <c r="B194" s="2"/>
      <c r="C194" s="8" t="s">
        <v>487</v>
      </c>
      <c r="D194" s="2"/>
      <c r="E194" s="126"/>
      <c r="F194" s="100"/>
      <c r="G194" s="30">
        <f>G193+G89</f>
        <v>1487930.9300000002</v>
      </c>
      <c r="H194" s="127"/>
      <c r="I194" s="30"/>
      <c r="J194" s="30">
        <f>J193+J89</f>
        <v>12580033.489999998</v>
      </c>
      <c r="Q194" s="179"/>
    </row>
    <row r="195" spans="1:18" s="12" customFormat="1" ht="34.5" customHeight="1" x14ac:dyDescent="0.2">
      <c r="A195" s="2"/>
      <c r="B195" s="2"/>
      <c r="C195" s="8" t="s">
        <v>453</v>
      </c>
      <c r="D195" s="2" t="s">
        <v>488</v>
      </c>
      <c r="E195" s="170">
        <v>2</v>
      </c>
      <c r="F195" s="100"/>
      <c r="G195" s="30">
        <f>G194/E195</f>
        <v>743965.46500000008</v>
      </c>
      <c r="H195" s="127"/>
      <c r="I195" s="30"/>
      <c r="J195" s="30">
        <f>J194/E195</f>
        <v>6290016.7449999992</v>
      </c>
    </row>
    <row r="196" spans="1:18" x14ac:dyDescent="0.25">
      <c r="P196" s="12"/>
      <c r="Q196" s="12"/>
      <c r="R196" s="12"/>
    </row>
    <row r="197" spans="1:18" s="12" customFormat="1" ht="14.25" customHeight="1" x14ac:dyDescent="0.2">
      <c r="A197" s="4" t="s">
        <v>489</v>
      </c>
    </row>
    <row r="198" spans="1:18" s="12" customFormat="1" ht="14.25" customHeight="1" x14ac:dyDescent="0.2">
      <c r="A198" s="146" t="s">
        <v>76</v>
      </c>
    </row>
    <row r="199" spans="1:18" s="12" customFormat="1" ht="14.25" customHeight="1" x14ac:dyDescent="0.2">
      <c r="A199" s="4"/>
    </row>
    <row r="200" spans="1:18" s="12" customFormat="1" ht="14.25" customHeight="1" x14ac:dyDescent="0.2">
      <c r="A200" s="4" t="s">
        <v>490</v>
      </c>
    </row>
    <row r="201" spans="1:18" s="12" customFormat="1" ht="14.25" customHeight="1" x14ac:dyDescent="0.2">
      <c r="A201" s="146" t="s">
        <v>78</v>
      </c>
    </row>
    <row r="202" spans="1:18" x14ac:dyDescent="0.25">
      <c r="P202" s="12"/>
      <c r="Q202" s="12"/>
      <c r="R202" s="12"/>
    </row>
    <row r="203" spans="1:18" x14ac:dyDescent="0.25">
      <c r="P203" s="12"/>
      <c r="Q203" s="12"/>
      <c r="R203" s="12"/>
    </row>
    <row r="204" spans="1:18" x14ac:dyDescent="0.25">
      <c r="P204" s="12"/>
      <c r="Q204" s="12"/>
      <c r="R204" s="12"/>
    </row>
    <row r="205" spans="1:18" x14ac:dyDescent="0.25">
      <c r="P205" s="12"/>
      <c r="Q205" s="12"/>
      <c r="R205" s="12"/>
    </row>
    <row r="206" spans="1:18" x14ac:dyDescent="0.25">
      <c r="P206" s="12"/>
      <c r="Q206" s="12"/>
      <c r="R206" s="12"/>
    </row>
    <row r="207" spans="1:18" x14ac:dyDescent="0.25">
      <c r="P207" s="12"/>
      <c r="Q207" s="12"/>
      <c r="R207" s="12"/>
    </row>
    <row r="208" spans="1:18" x14ac:dyDescent="0.25">
      <c r="P208" s="12"/>
      <c r="Q208" s="12"/>
      <c r="R208" s="12"/>
    </row>
  </sheetData>
  <sheetProtection formatCells="0" formatColumns="0" formatRows="0" insertColumns="0" insertRows="0" insertHyperlinks="0" deleteColumns="0" deleteRows="0" sort="0" autoFilter="0" pivotTables="0"/>
  <mergeCells count="21">
    <mergeCell ref="B92:H92"/>
    <mergeCell ref="B12:H12"/>
    <mergeCell ref="B15:H15"/>
    <mergeCell ref="B17:H17"/>
    <mergeCell ref="B18:H18"/>
    <mergeCell ref="B47:H47"/>
    <mergeCell ref="B46:H46"/>
    <mergeCell ref="B91:H91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56"/>
  <sheetViews>
    <sheetView view="pageBreakPreview" topLeftCell="A19" zoomScale="55" zoomScaleSheetLayoutView="55" workbookViewId="0">
      <selection activeCell="D53" sqref="D53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0" t="s">
        <v>491</v>
      </c>
      <c r="B1" s="250"/>
      <c r="C1" s="250"/>
      <c r="D1" s="250"/>
      <c r="E1" s="250"/>
      <c r="F1" s="250"/>
      <c r="G1" s="250"/>
    </row>
    <row r="2" spans="1:7" ht="21.75" customHeight="1" x14ac:dyDescent="0.25">
      <c r="A2" s="49"/>
      <c r="B2" s="49"/>
      <c r="C2" s="49"/>
      <c r="D2" s="49"/>
      <c r="E2" s="49"/>
      <c r="F2" s="49"/>
      <c r="G2" s="49"/>
    </row>
    <row r="3" spans="1:7" x14ac:dyDescent="0.25">
      <c r="A3" s="208" t="s">
        <v>492</v>
      </c>
      <c r="B3" s="208"/>
      <c r="C3" s="208"/>
      <c r="D3" s="208"/>
      <c r="E3" s="208"/>
      <c r="F3" s="208"/>
      <c r="G3" s="208"/>
    </row>
    <row r="4" spans="1:7" ht="25.5" customHeight="1" x14ac:dyDescent="0.25">
      <c r="A4" s="211" t="s">
        <v>47</v>
      </c>
      <c r="B4" s="211"/>
      <c r="C4" s="211"/>
      <c r="D4" s="211"/>
      <c r="E4" s="211"/>
      <c r="F4" s="211"/>
      <c r="G4" s="21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5" t="s">
        <v>13</v>
      </c>
      <c r="B6" s="255" t="s">
        <v>98</v>
      </c>
      <c r="C6" s="255" t="s">
        <v>419</v>
      </c>
      <c r="D6" s="255" t="s">
        <v>100</v>
      </c>
      <c r="E6" s="234" t="s">
        <v>462</v>
      </c>
      <c r="F6" s="255" t="s">
        <v>102</v>
      </c>
      <c r="G6" s="255"/>
    </row>
    <row r="7" spans="1:7" x14ac:dyDescent="0.25">
      <c r="A7" s="255"/>
      <c r="B7" s="255"/>
      <c r="C7" s="255"/>
      <c r="D7" s="255"/>
      <c r="E7" s="235"/>
      <c r="F7" s="2" t="s">
        <v>465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4"/>
      <c r="B9" s="251" t="s">
        <v>493</v>
      </c>
      <c r="C9" s="252"/>
      <c r="D9" s="252"/>
      <c r="E9" s="252"/>
      <c r="F9" s="252"/>
      <c r="G9" s="253"/>
    </row>
    <row r="10" spans="1:7" ht="27" customHeight="1" x14ac:dyDescent="0.25">
      <c r="A10" s="2"/>
      <c r="B10" s="101"/>
      <c r="C10" s="8" t="s">
        <v>494</v>
      </c>
      <c r="D10" s="101"/>
      <c r="E10" s="178"/>
      <c r="F10" s="100"/>
      <c r="G10" s="30">
        <v>0</v>
      </c>
    </row>
    <row r="11" spans="1:7" x14ac:dyDescent="0.25">
      <c r="A11" s="2"/>
      <c r="B11" s="242" t="s">
        <v>495</v>
      </c>
      <c r="C11" s="242"/>
      <c r="D11" s="242"/>
      <c r="E11" s="254"/>
      <c r="F11" s="244"/>
      <c r="G11" s="244"/>
    </row>
    <row r="12" spans="1:7" s="112" customFormat="1" ht="25.5" customHeight="1" x14ac:dyDescent="0.25">
      <c r="A12" s="2">
        <v>1</v>
      </c>
      <c r="B12" s="8" t="s">
        <v>172</v>
      </c>
      <c r="C12" s="8" t="s">
        <v>173</v>
      </c>
      <c r="D12" s="2" t="s">
        <v>174</v>
      </c>
      <c r="E12" s="135">
        <v>1</v>
      </c>
      <c r="F12" s="100">
        <v>259933.87</v>
      </c>
      <c r="G12" s="30">
        <f t="shared" ref="G12:G48" si="0">ROUND(E12*F12,2)</f>
        <v>259933.87</v>
      </c>
    </row>
    <row r="13" spans="1:7" s="112" customFormat="1" ht="15.75" customHeight="1" x14ac:dyDescent="0.25">
      <c r="A13" s="2">
        <v>2</v>
      </c>
      <c r="B13" s="8" t="s">
        <v>175</v>
      </c>
      <c r="C13" s="8" t="s">
        <v>176</v>
      </c>
      <c r="D13" s="2" t="s">
        <v>177</v>
      </c>
      <c r="E13" s="135">
        <v>3.74</v>
      </c>
      <c r="F13" s="100">
        <v>68400</v>
      </c>
      <c r="G13" s="30">
        <f t="shared" si="0"/>
        <v>255816</v>
      </c>
    </row>
    <row r="14" spans="1:7" s="112" customFormat="1" ht="15.75" customHeight="1" x14ac:dyDescent="0.25">
      <c r="A14" s="2">
        <v>3</v>
      </c>
      <c r="B14" s="8" t="s">
        <v>172</v>
      </c>
      <c r="C14" s="8" t="s">
        <v>178</v>
      </c>
      <c r="D14" s="2" t="s">
        <v>174</v>
      </c>
      <c r="E14" s="135">
        <v>8</v>
      </c>
      <c r="F14" s="100">
        <v>26987.96</v>
      </c>
      <c r="G14" s="30">
        <f t="shared" si="0"/>
        <v>215903.68</v>
      </c>
    </row>
    <row r="15" spans="1:7" s="112" customFormat="1" ht="25.5" customHeight="1" x14ac:dyDescent="0.25">
      <c r="A15" s="2">
        <v>4</v>
      </c>
      <c r="B15" s="8" t="s">
        <v>172</v>
      </c>
      <c r="C15" s="8" t="s">
        <v>179</v>
      </c>
      <c r="D15" s="2" t="s">
        <v>174</v>
      </c>
      <c r="E15" s="135">
        <v>3</v>
      </c>
      <c r="F15" s="100">
        <v>51888.959999999999</v>
      </c>
      <c r="G15" s="30">
        <f t="shared" si="0"/>
        <v>155666.88</v>
      </c>
    </row>
    <row r="16" spans="1:7" s="112" customFormat="1" ht="15.75" customHeight="1" x14ac:dyDescent="0.25">
      <c r="A16" s="2">
        <v>5</v>
      </c>
      <c r="B16" s="8" t="s">
        <v>172</v>
      </c>
      <c r="C16" s="8" t="s">
        <v>180</v>
      </c>
      <c r="D16" s="2" t="s">
        <v>174</v>
      </c>
      <c r="E16" s="135">
        <v>6</v>
      </c>
      <c r="F16" s="100">
        <v>19543.009999999998</v>
      </c>
      <c r="G16" s="30">
        <f t="shared" si="0"/>
        <v>117258.06</v>
      </c>
    </row>
    <row r="17" spans="1:7" s="112" customFormat="1" ht="25.5" customHeight="1" x14ac:dyDescent="0.25">
      <c r="A17" s="2">
        <v>6</v>
      </c>
      <c r="B17" s="8" t="s">
        <v>172</v>
      </c>
      <c r="C17" s="8" t="s">
        <v>181</v>
      </c>
      <c r="D17" s="2" t="s">
        <v>174</v>
      </c>
      <c r="E17" s="135">
        <v>2</v>
      </c>
      <c r="F17" s="100">
        <v>42129.34</v>
      </c>
      <c r="G17" s="30">
        <f t="shared" si="0"/>
        <v>84258.68</v>
      </c>
    </row>
    <row r="18" spans="1:7" s="112" customFormat="1" ht="15.75" customHeight="1" x14ac:dyDescent="0.25">
      <c r="A18" s="2">
        <v>7</v>
      </c>
      <c r="B18" s="8" t="s">
        <v>172</v>
      </c>
      <c r="C18" s="8" t="s">
        <v>182</v>
      </c>
      <c r="D18" s="2" t="s">
        <v>174</v>
      </c>
      <c r="E18" s="135">
        <v>4</v>
      </c>
      <c r="F18" s="100">
        <v>17978.77</v>
      </c>
      <c r="G18" s="30">
        <f t="shared" si="0"/>
        <v>71915.08</v>
      </c>
    </row>
    <row r="19" spans="1:7" s="112" customFormat="1" ht="38.25" customHeight="1" x14ac:dyDescent="0.25">
      <c r="A19" s="2">
        <v>8</v>
      </c>
      <c r="B19" s="8" t="s">
        <v>183</v>
      </c>
      <c r="C19" s="8" t="s">
        <v>184</v>
      </c>
      <c r="D19" s="2" t="s">
        <v>185</v>
      </c>
      <c r="E19" s="135">
        <v>457</v>
      </c>
      <c r="F19" s="100">
        <v>116.52</v>
      </c>
      <c r="G19" s="30">
        <f t="shared" si="0"/>
        <v>53249.64</v>
      </c>
    </row>
    <row r="20" spans="1:7" s="112" customFormat="1" ht="15.75" customHeight="1" x14ac:dyDescent="0.25">
      <c r="A20" s="2">
        <v>9</v>
      </c>
      <c r="B20" s="8" t="s">
        <v>186</v>
      </c>
      <c r="C20" s="8" t="s">
        <v>187</v>
      </c>
      <c r="D20" s="2" t="s">
        <v>188</v>
      </c>
      <c r="E20" s="135">
        <v>6</v>
      </c>
      <c r="F20" s="100">
        <v>3463.94</v>
      </c>
      <c r="G20" s="30">
        <f t="shared" si="0"/>
        <v>20783.64</v>
      </c>
    </row>
    <row r="21" spans="1:7" s="112" customFormat="1" ht="63.75" customHeight="1" x14ac:dyDescent="0.25">
      <c r="A21" s="2">
        <v>10</v>
      </c>
      <c r="B21" s="8" t="s">
        <v>189</v>
      </c>
      <c r="C21" s="8" t="s">
        <v>190</v>
      </c>
      <c r="D21" s="2" t="s">
        <v>185</v>
      </c>
      <c r="E21" s="135">
        <v>6</v>
      </c>
      <c r="F21" s="100">
        <v>1958.38</v>
      </c>
      <c r="G21" s="30">
        <f t="shared" si="0"/>
        <v>11750.28</v>
      </c>
    </row>
    <row r="22" spans="1:7" s="112" customFormat="1" ht="25.5" customHeight="1" x14ac:dyDescent="0.25">
      <c r="A22" s="2">
        <v>11</v>
      </c>
      <c r="B22" s="8" t="s">
        <v>191</v>
      </c>
      <c r="C22" s="8" t="s">
        <v>192</v>
      </c>
      <c r="D22" s="2" t="s">
        <v>188</v>
      </c>
      <c r="E22" s="135">
        <v>24</v>
      </c>
      <c r="F22" s="100">
        <v>410.04</v>
      </c>
      <c r="G22" s="30">
        <f t="shared" si="0"/>
        <v>9840.9599999999991</v>
      </c>
    </row>
    <row r="23" spans="1:7" s="112" customFormat="1" ht="15.75" customHeight="1" x14ac:dyDescent="0.25">
      <c r="A23" s="2">
        <v>12</v>
      </c>
      <c r="B23" s="8" t="s">
        <v>172</v>
      </c>
      <c r="C23" s="8" t="s">
        <v>193</v>
      </c>
      <c r="D23" s="2" t="s">
        <v>174</v>
      </c>
      <c r="E23" s="135">
        <v>1</v>
      </c>
      <c r="F23" s="100">
        <v>9028.99</v>
      </c>
      <c r="G23" s="30">
        <f t="shared" si="0"/>
        <v>9028.99</v>
      </c>
    </row>
    <row r="24" spans="1:7" s="112" customFormat="1" ht="38.25" customHeight="1" x14ac:dyDescent="0.25">
      <c r="A24" s="2">
        <v>13</v>
      </c>
      <c r="B24" s="8" t="s">
        <v>194</v>
      </c>
      <c r="C24" s="8" t="s">
        <v>195</v>
      </c>
      <c r="D24" s="2" t="s">
        <v>185</v>
      </c>
      <c r="E24" s="135">
        <v>38</v>
      </c>
      <c r="F24" s="100">
        <v>187</v>
      </c>
      <c r="G24" s="30">
        <f t="shared" si="0"/>
        <v>7106</v>
      </c>
    </row>
    <row r="25" spans="1:7" s="112" customFormat="1" ht="15.75" customHeight="1" x14ac:dyDescent="0.25">
      <c r="A25" s="2">
        <v>14</v>
      </c>
      <c r="B25" s="8" t="s">
        <v>172</v>
      </c>
      <c r="C25" s="8" t="s">
        <v>196</v>
      </c>
      <c r="D25" s="2" t="s">
        <v>174</v>
      </c>
      <c r="E25" s="135">
        <v>28</v>
      </c>
      <c r="F25" s="100">
        <v>218.79</v>
      </c>
      <c r="G25" s="30">
        <f t="shared" si="0"/>
        <v>6126.12</v>
      </c>
    </row>
    <row r="26" spans="1:7" s="112" customFormat="1" ht="38.25" customHeight="1" x14ac:dyDescent="0.25">
      <c r="A26" s="2">
        <v>15</v>
      </c>
      <c r="B26" s="8" t="s">
        <v>197</v>
      </c>
      <c r="C26" s="8" t="s">
        <v>198</v>
      </c>
      <c r="D26" s="2" t="s">
        <v>185</v>
      </c>
      <c r="E26" s="135">
        <v>31</v>
      </c>
      <c r="F26" s="100">
        <v>182.89</v>
      </c>
      <c r="G26" s="30">
        <f t="shared" si="0"/>
        <v>5669.59</v>
      </c>
    </row>
    <row r="27" spans="1:7" s="112" customFormat="1" ht="15.75" customHeight="1" x14ac:dyDescent="0.25">
      <c r="A27" s="2">
        <v>16</v>
      </c>
      <c r="B27" s="8" t="s">
        <v>172</v>
      </c>
      <c r="C27" s="8" t="s">
        <v>199</v>
      </c>
      <c r="D27" s="2" t="s">
        <v>174</v>
      </c>
      <c r="E27" s="135">
        <v>26</v>
      </c>
      <c r="F27" s="100">
        <v>213.84</v>
      </c>
      <c r="G27" s="30">
        <f t="shared" si="0"/>
        <v>5559.84</v>
      </c>
    </row>
    <row r="28" spans="1:7" s="112" customFormat="1" ht="38.25" customHeight="1" x14ac:dyDescent="0.25">
      <c r="A28" s="2">
        <v>17</v>
      </c>
      <c r="B28" s="8" t="s">
        <v>200</v>
      </c>
      <c r="C28" s="8" t="s">
        <v>201</v>
      </c>
      <c r="D28" s="2" t="s">
        <v>185</v>
      </c>
      <c r="E28" s="135">
        <v>6</v>
      </c>
      <c r="F28" s="100">
        <v>809.71</v>
      </c>
      <c r="G28" s="30">
        <f t="shared" si="0"/>
        <v>4858.26</v>
      </c>
    </row>
    <row r="29" spans="1:7" s="112" customFormat="1" ht="15.75" customHeight="1" x14ac:dyDescent="0.25">
      <c r="A29" s="2">
        <v>18</v>
      </c>
      <c r="B29" s="8" t="s">
        <v>172</v>
      </c>
      <c r="C29" s="8" t="s">
        <v>202</v>
      </c>
      <c r="D29" s="2" t="s">
        <v>185</v>
      </c>
      <c r="E29" s="135">
        <v>6</v>
      </c>
      <c r="F29" s="100">
        <v>752.42</v>
      </c>
      <c r="G29" s="30">
        <f t="shared" si="0"/>
        <v>4514.5200000000004</v>
      </c>
    </row>
    <row r="30" spans="1:7" s="112" customFormat="1" ht="15.75" customHeight="1" x14ac:dyDescent="0.25">
      <c r="A30" s="2">
        <v>19</v>
      </c>
      <c r="B30" s="8" t="s">
        <v>172</v>
      </c>
      <c r="C30" s="8" t="s">
        <v>203</v>
      </c>
      <c r="D30" s="2" t="s">
        <v>174</v>
      </c>
      <c r="E30" s="135">
        <v>2</v>
      </c>
      <c r="F30" s="100">
        <v>2110.7199999999998</v>
      </c>
      <c r="G30" s="30">
        <f t="shared" si="0"/>
        <v>4221.4399999999996</v>
      </c>
    </row>
    <row r="31" spans="1:7" s="112" customFormat="1" ht="63.75" customHeight="1" x14ac:dyDescent="0.25">
      <c r="A31" s="2">
        <v>20</v>
      </c>
      <c r="B31" s="8" t="s">
        <v>204</v>
      </c>
      <c r="C31" s="8" t="s">
        <v>205</v>
      </c>
      <c r="D31" s="2" t="s">
        <v>188</v>
      </c>
      <c r="E31" s="135">
        <v>6</v>
      </c>
      <c r="F31" s="100">
        <v>688.2</v>
      </c>
      <c r="G31" s="30">
        <f t="shared" si="0"/>
        <v>4129.2</v>
      </c>
    </row>
    <row r="32" spans="1:7" s="112" customFormat="1" ht="15.75" customHeight="1" x14ac:dyDescent="0.25">
      <c r="A32" s="2">
        <v>21</v>
      </c>
      <c r="B32" s="8" t="s">
        <v>172</v>
      </c>
      <c r="C32" s="8" t="s">
        <v>206</v>
      </c>
      <c r="D32" s="2" t="s">
        <v>174</v>
      </c>
      <c r="E32" s="135">
        <v>16</v>
      </c>
      <c r="F32" s="100">
        <v>249.49</v>
      </c>
      <c r="G32" s="30">
        <f t="shared" si="0"/>
        <v>3991.84</v>
      </c>
    </row>
    <row r="33" spans="1:7" s="112" customFormat="1" ht="15.75" customHeight="1" x14ac:dyDescent="0.25">
      <c r="A33" s="2">
        <v>22</v>
      </c>
      <c r="B33" s="8" t="s">
        <v>172</v>
      </c>
      <c r="C33" s="8" t="s">
        <v>207</v>
      </c>
      <c r="D33" s="2" t="s">
        <v>174</v>
      </c>
      <c r="E33" s="135">
        <v>16</v>
      </c>
      <c r="F33" s="100">
        <v>218.79</v>
      </c>
      <c r="G33" s="30">
        <f t="shared" si="0"/>
        <v>3500.64</v>
      </c>
    </row>
    <row r="34" spans="1:7" s="112" customFormat="1" ht="15.75" customHeight="1" x14ac:dyDescent="0.25">
      <c r="A34" s="2">
        <v>23</v>
      </c>
      <c r="B34" s="8" t="s">
        <v>172</v>
      </c>
      <c r="C34" s="8" t="s">
        <v>208</v>
      </c>
      <c r="D34" s="2" t="s">
        <v>174</v>
      </c>
      <c r="E34" s="135">
        <v>2</v>
      </c>
      <c r="F34" s="100">
        <v>1643.43</v>
      </c>
      <c r="G34" s="30">
        <f t="shared" si="0"/>
        <v>3286.86</v>
      </c>
    </row>
    <row r="35" spans="1:7" s="112" customFormat="1" ht="15.75" customHeight="1" x14ac:dyDescent="0.25">
      <c r="A35" s="2">
        <v>24</v>
      </c>
      <c r="B35" s="8" t="s">
        <v>209</v>
      </c>
      <c r="C35" s="8" t="s">
        <v>210</v>
      </c>
      <c r="D35" s="2" t="s">
        <v>185</v>
      </c>
      <c r="E35" s="135">
        <v>7</v>
      </c>
      <c r="F35" s="100">
        <v>422.41</v>
      </c>
      <c r="G35" s="30">
        <f t="shared" si="0"/>
        <v>2956.87</v>
      </c>
    </row>
    <row r="36" spans="1:7" s="112" customFormat="1" ht="51" customHeight="1" x14ac:dyDescent="0.25">
      <c r="A36" s="2">
        <v>25</v>
      </c>
      <c r="B36" s="8" t="s">
        <v>211</v>
      </c>
      <c r="C36" s="8" t="s">
        <v>212</v>
      </c>
      <c r="D36" s="2" t="s">
        <v>185</v>
      </c>
      <c r="E36" s="135">
        <v>17</v>
      </c>
      <c r="F36" s="100">
        <v>168.8</v>
      </c>
      <c r="G36" s="30">
        <f t="shared" si="0"/>
        <v>2869.6</v>
      </c>
    </row>
    <row r="37" spans="1:7" s="112" customFormat="1" ht="25.5" customHeight="1" x14ac:dyDescent="0.25">
      <c r="A37" s="2">
        <v>26</v>
      </c>
      <c r="B37" s="8" t="s">
        <v>172</v>
      </c>
      <c r="C37" s="8" t="s">
        <v>213</v>
      </c>
      <c r="D37" s="2" t="s">
        <v>174</v>
      </c>
      <c r="E37" s="135">
        <v>2</v>
      </c>
      <c r="F37" s="100">
        <v>1073.18</v>
      </c>
      <c r="G37" s="30">
        <f t="shared" si="0"/>
        <v>2146.36</v>
      </c>
    </row>
    <row r="38" spans="1:7" s="112" customFormat="1" ht="25.5" customHeight="1" x14ac:dyDescent="0.25">
      <c r="A38" s="2">
        <v>27</v>
      </c>
      <c r="B38" s="8" t="s">
        <v>214</v>
      </c>
      <c r="C38" s="8" t="s">
        <v>215</v>
      </c>
      <c r="D38" s="2" t="s">
        <v>185</v>
      </c>
      <c r="E38" s="135">
        <v>6</v>
      </c>
      <c r="F38" s="100">
        <v>243.85</v>
      </c>
      <c r="G38" s="30">
        <f t="shared" si="0"/>
        <v>1463.1</v>
      </c>
    </row>
    <row r="39" spans="1:7" s="112" customFormat="1" ht="15.75" customHeight="1" x14ac:dyDescent="0.25">
      <c r="A39" s="2">
        <v>28</v>
      </c>
      <c r="B39" s="8" t="s">
        <v>216</v>
      </c>
      <c r="C39" s="8" t="s">
        <v>217</v>
      </c>
      <c r="D39" s="2" t="s">
        <v>185</v>
      </c>
      <c r="E39" s="135">
        <v>38</v>
      </c>
      <c r="F39" s="100">
        <v>38.380000000000003</v>
      </c>
      <c r="G39" s="30">
        <f t="shared" si="0"/>
        <v>1458.44</v>
      </c>
    </row>
    <row r="40" spans="1:7" s="112" customFormat="1" ht="15.75" customHeight="1" x14ac:dyDescent="0.25">
      <c r="A40" s="2">
        <v>29</v>
      </c>
      <c r="B40" s="8" t="s">
        <v>172</v>
      </c>
      <c r="C40" s="8" t="s">
        <v>218</v>
      </c>
      <c r="D40" s="2" t="s">
        <v>174</v>
      </c>
      <c r="E40" s="135">
        <v>6</v>
      </c>
      <c r="F40" s="100">
        <v>213.84</v>
      </c>
      <c r="G40" s="30">
        <f t="shared" si="0"/>
        <v>1283.04</v>
      </c>
    </row>
    <row r="41" spans="1:7" s="112" customFormat="1" ht="51" customHeight="1" x14ac:dyDescent="0.25">
      <c r="A41" s="2">
        <v>30</v>
      </c>
      <c r="B41" s="8" t="s">
        <v>219</v>
      </c>
      <c r="C41" s="8" t="s">
        <v>220</v>
      </c>
      <c r="D41" s="2" t="s">
        <v>185</v>
      </c>
      <c r="E41" s="135">
        <v>3</v>
      </c>
      <c r="F41" s="100">
        <v>396.74</v>
      </c>
      <c r="G41" s="30">
        <f t="shared" si="0"/>
        <v>1190.22</v>
      </c>
    </row>
    <row r="42" spans="1:7" s="112" customFormat="1" ht="25.5" customHeight="1" x14ac:dyDescent="0.25">
      <c r="A42" s="2">
        <v>31</v>
      </c>
      <c r="B42" s="8" t="s">
        <v>172</v>
      </c>
      <c r="C42" s="8" t="s">
        <v>221</v>
      </c>
      <c r="D42" s="2" t="s">
        <v>174</v>
      </c>
      <c r="E42" s="135">
        <v>3</v>
      </c>
      <c r="F42" s="100">
        <v>279.19</v>
      </c>
      <c r="G42" s="30">
        <f t="shared" si="0"/>
        <v>837.57</v>
      </c>
    </row>
    <row r="43" spans="1:7" s="112" customFormat="1" ht="38.25" customHeight="1" x14ac:dyDescent="0.25">
      <c r="A43" s="2">
        <v>32</v>
      </c>
      <c r="B43" s="8" t="s">
        <v>222</v>
      </c>
      <c r="C43" s="8" t="s">
        <v>223</v>
      </c>
      <c r="D43" s="2" t="s">
        <v>185</v>
      </c>
      <c r="E43" s="135">
        <v>1</v>
      </c>
      <c r="F43" s="100">
        <v>627.51</v>
      </c>
      <c r="G43" s="30">
        <f t="shared" si="0"/>
        <v>627.51</v>
      </c>
    </row>
    <row r="44" spans="1:7" s="112" customFormat="1" ht="15.75" customHeight="1" x14ac:dyDescent="0.25">
      <c r="A44" s="2">
        <v>33</v>
      </c>
      <c r="B44" s="8" t="s">
        <v>224</v>
      </c>
      <c r="C44" s="8" t="s">
        <v>225</v>
      </c>
      <c r="D44" s="2" t="s">
        <v>185</v>
      </c>
      <c r="E44" s="135">
        <v>1</v>
      </c>
      <c r="F44" s="100">
        <v>614.85</v>
      </c>
      <c r="G44" s="30">
        <f t="shared" si="0"/>
        <v>614.85</v>
      </c>
    </row>
    <row r="45" spans="1:7" s="112" customFormat="1" ht="38.25" customHeight="1" x14ac:dyDescent="0.25">
      <c r="A45" s="2">
        <v>34</v>
      </c>
      <c r="B45" s="8" t="s">
        <v>226</v>
      </c>
      <c r="C45" s="8" t="s">
        <v>227</v>
      </c>
      <c r="D45" s="2" t="s">
        <v>188</v>
      </c>
      <c r="E45" s="135">
        <v>5.4</v>
      </c>
      <c r="F45" s="100">
        <v>62.4</v>
      </c>
      <c r="G45" s="30">
        <f t="shared" si="0"/>
        <v>336.96</v>
      </c>
    </row>
    <row r="46" spans="1:7" s="112" customFormat="1" ht="15.75" customHeight="1" x14ac:dyDescent="0.25">
      <c r="A46" s="2">
        <v>35</v>
      </c>
      <c r="B46" s="8" t="s">
        <v>228</v>
      </c>
      <c r="C46" s="8" t="s">
        <v>229</v>
      </c>
      <c r="D46" s="2" t="s">
        <v>185</v>
      </c>
      <c r="E46" s="135">
        <v>7</v>
      </c>
      <c r="F46" s="100">
        <v>44.3</v>
      </c>
      <c r="G46" s="30">
        <f t="shared" si="0"/>
        <v>310.10000000000002</v>
      </c>
    </row>
    <row r="47" spans="1:7" s="112" customFormat="1" ht="38.25" customHeight="1" x14ac:dyDescent="0.25">
      <c r="A47" s="2">
        <v>36</v>
      </c>
      <c r="B47" s="8" t="s">
        <v>230</v>
      </c>
      <c r="C47" s="8" t="s">
        <v>231</v>
      </c>
      <c r="D47" s="2" t="s">
        <v>188</v>
      </c>
      <c r="E47" s="135">
        <v>1.6</v>
      </c>
      <c r="F47" s="100">
        <v>175.3</v>
      </c>
      <c r="G47" s="30">
        <f t="shared" si="0"/>
        <v>280.48</v>
      </c>
    </row>
    <row r="48" spans="1:7" s="112" customFormat="1" ht="38.25" customHeight="1" x14ac:dyDescent="0.25">
      <c r="A48" s="2">
        <v>37</v>
      </c>
      <c r="B48" s="8" t="s">
        <v>232</v>
      </c>
      <c r="C48" s="8" t="s">
        <v>233</v>
      </c>
      <c r="D48" s="2" t="s">
        <v>188</v>
      </c>
      <c r="E48" s="135">
        <v>2.2000000000000002</v>
      </c>
      <c r="F48" s="100">
        <v>95.1</v>
      </c>
      <c r="G48" s="30">
        <f t="shared" si="0"/>
        <v>209.22</v>
      </c>
    </row>
    <row r="49" spans="1:7" ht="25.5" customHeight="1" x14ac:dyDescent="0.25">
      <c r="A49" s="2"/>
      <c r="B49" s="8"/>
      <c r="C49" s="8" t="s">
        <v>496</v>
      </c>
      <c r="D49" s="8"/>
      <c r="E49" s="44"/>
      <c r="F49" s="100"/>
      <c r="G49" s="30">
        <f>SUM(G12:G48)</f>
        <v>1334954.3899999999</v>
      </c>
    </row>
    <row r="50" spans="1:7" ht="19.5" customHeight="1" x14ac:dyDescent="0.25">
      <c r="A50" s="2"/>
      <c r="B50" s="8"/>
      <c r="C50" s="8" t="s">
        <v>497</v>
      </c>
      <c r="D50" s="8"/>
      <c r="E50" s="44"/>
      <c r="F50" s="100"/>
      <c r="G50" s="30">
        <f>G10+G49</f>
        <v>1334954.3899999999</v>
      </c>
    </row>
    <row r="51" spans="1:7" x14ac:dyDescent="0.25">
      <c r="A51" s="28"/>
      <c r="B51" s="147"/>
      <c r="C51" s="28"/>
      <c r="D51" s="28"/>
      <c r="E51" s="28"/>
      <c r="F51" s="28"/>
      <c r="G51" s="28"/>
    </row>
    <row r="52" spans="1:7" x14ac:dyDescent="0.25">
      <c r="A52" s="4" t="s">
        <v>489</v>
      </c>
      <c r="B52" s="12"/>
      <c r="C52" s="12"/>
      <c r="D52" s="28"/>
      <c r="E52" s="28"/>
      <c r="F52" s="28"/>
      <c r="G52" s="28"/>
    </row>
    <row r="53" spans="1:7" x14ac:dyDescent="0.25">
      <c r="A53" s="146" t="s">
        <v>76</v>
      </c>
      <c r="B53" s="12"/>
      <c r="C53" s="12"/>
      <c r="D53" s="28"/>
      <c r="E53" s="28"/>
      <c r="F53" s="28"/>
      <c r="G53" s="28"/>
    </row>
    <row r="54" spans="1:7" x14ac:dyDescent="0.25">
      <c r="A54" s="4"/>
      <c r="B54" s="12"/>
      <c r="C54" s="12"/>
      <c r="D54" s="28"/>
      <c r="E54" s="28"/>
      <c r="F54" s="28"/>
      <c r="G54" s="28"/>
    </row>
    <row r="55" spans="1:7" x14ac:dyDescent="0.25">
      <c r="A55" s="4" t="s">
        <v>490</v>
      </c>
      <c r="B55" s="12"/>
      <c r="C55" s="12"/>
      <c r="D55" s="28"/>
      <c r="E55" s="28"/>
      <c r="F55" s="28"/>
      <c r="G55" s="28"/>
    </row>
    <row r="56" spans="1:7" x14ac:dyDescent="0.25">
      <c r="A56" s="146" t="s">
        <v>78</v>
      </c>
      <c r="B56" s="12"/>
      <c r="C56" s="12"/>
      <c r="D56" s="28"/>
      <c r="E56" s="28"/>
      <c r="F56" s="28"/>
      <c r="G56" s="2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57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2023-11-26T07:17:58Z</cp:lastPrinted>
  <dcterms:created xsi:type="dcterms:W3CDTF">2020-09-30T08:50:27Z</dcterms:created>
  <dcterms:modified xsi:type="dcterms:W3CDTF">2023-11-26T07:18:12Z</dcterms:modified>
  <cp:category/>
</cp:coreProperties>
</file>