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1077532B-ABCB-4B64-9CD3-CDD694520BF3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стоим'!$A$1:$J$27</definedName>
    <definedName name="_xlnm.Print_Area" localSheetId="5">Прил.3!$A$1:$H$120</definedName>
    <definedName name="_xlnm.Print_Area" localSheetId="6">'Прил.4 РМ'!$A$1:$E$48</definedName>
    <definedName name="_xlnm.Print_Area" localSheetId="7">'Прил.5 Расчет СМР и ОБ'!$A$1:$J$130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E17" i="9"/>
  <c r="D17" i="9"/>
  <c r="C17" i="9"/>
  <c r="B17" i="9"/>
  <c r="F16" i="9"/>
  <c r="E16" i="9"/>
  <c r="G16" i="9" s="1"/>
  <c r="D16" i="9"/>
  <c r="C16" i="9"/>
  <c r="B16" i="9"/>
  <c r="E15" i="9"/>
  <c r="D15" i="9"/>
  <c r="C15" i="9"/>
  <c r="B15" i="9"/>
  <c r="E14" i="9"/>
  <c r="D14" i="9"/>
  <c r="C14" i="9"/>
  <c r="B14" i="9"/>
  <c r="E13" i="9"/>
  <c r="G13" i="9" s="1"/>
  <c r="D13" i="9"/>
  <c r="C13" i="9"/>
  <c r="B13" i="9"/>
  <c r="E12" i="9"/>
  <c r="D12" i="9"/>
  <c r="C12" i="9"/>
  <c r="B12" i="9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J81" i="8"/>
  <c r="I81" i="8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I66" i="8"/>
  <c r="J66" i="8" s="1"/>
  <c r="G66" i="8"/>
  <c r="G115" i="8" s="1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J59" i="8"/>
  <c r="I59" i="8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J53" i="8"/>
  <c r="I53" i="8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J41" i="8"/>
  <c r="F41" i="8"/>
  <c r="F17" i="9" s="1"/>
  <c r="I40" i="8"/>
  <c r="J40" i="8" s="1"/>
  <c r="G40" i="8"/>
  <c r="J39" i="8"/>
  <c r="F39" i="8"/>
  <c r="G39" i="8" s="1"/>
  <c r="J38" i="8"/>
  <c r="G38" i="8"/>
  <c r="F38" i="8"/>
  <c r="F14" i="9" s="1"/>
  <c r="J37" i="8"/>
  <c r="F37" i="8"/>
  <c r="F13" i="9" s="1"/>
  <c r="J36" i="8"/>
  <c r="J42" i="8" s="1"/>
  <c r="J44" i="8" s="1"/>
  <c r="F36" i="8"/>
  <c r="G36" i="8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J21" i="8"/>
  <c r="I21" i="8"/>
  <c r="G21" i="8"/>
  <c r="I19" i="8"/>
  <c r="J19" i="8" s="1"/>
  <c r="J20" i="8" s="1"/>
  <c r="G19" i="8"/>
  <c r="G20" i="8" s="1"/>
  <c r="E14" i="8"/>
  <c r="I13" i="8"/>
  <c r="J13" i="8" s="1"/>
  <c r="J14" i="8" s="1"/>
  <c r="C33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46" i="6" s="1"/>
  <c r="H50" i="6"/>
  <c r="H49" i="6"/>
  <c r="H48" i="6"/>
  <c r="H47" i="6"/>
  <c r="H45" i="6"/>
  <c r="H44" i="6"/>
  <c r="H43" i="6"/>
  <c r="H42" i="6"/>
  <c r="H41" i="6"/>
  <c r="H40" i="6"/>
  <c r="H39" i="6"/>
  <c r="H12" i="5" s="1"/>
  <c r="H14" i="5" s="1"/>
  <c r="D19" i="4" s="1"/>
  <c r="H38" i="6"/>
  <c r="H37" i="6"/>
  <c r="H36" i="6"/>
  <c r="H35" i="6"/>
  <c r="H34" i="6"/>
  <c r="H33" i="6"/>
  <c r="H32" i="6"/>
  <c r="H31" i="6"/>
  <c r="H30" i="6"/>
  <c r="H29" i="6"/>
  <c r="H28" i="6"/>
  <c r="H27" i="6"/>
  <c r="H26" i="6" s="1"/>
  <c r="H24" i="6"/>
  <c r="G16" i="8" s="1"/>
  <c r="F16" i="8" s="1"/>
  <c r="I16" i="8" s="1"/>
  <c r="J16" i="8" s="1"/>
  <c r="C15" i="7" s="1"/>
  <c r="H23" i="6"/>
  <c r="H22" i="6"/>
  <c r="H21" i="6"/>
  <c r="H20" i="6"/>
  <c r="H19" i="6"/>
  <c r="H18" i="6"/>
  <c r="H17" i="6"/>
  <c r="H16" i="6"/>
  <c r="H15" i="6"/>
  <c r="H14" i="6"/>
  <c r="K13" i="6"/>
  <c r="H13" i="6"/>
  <c r="H12" i="6" s="1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7" i="8" l="1"/>
  <c r="G42" i="8" s="1"/>
  <c r="G65" i="8"/>
  <c r="G14" i="9"/>
  <c r="G41" i="8"/>
  <c r="G13" i="8"/>
  <c r="G14" i="8" s="1"/>
  <c r="F12" i="5"/>
  <c r="J45" i="8"/>
  <c r="C26" i="7" s="1"/>
  <c r="C25" i="7"/>
  <c r="J33" i="8"/>
  <c r="C12" i="7"/>
  <c r="J32" i="8"/>
  <c r="C13" i="7" s="1"/>
  <c r="J115" i="8"/>
  <c r="C17" i="7" s="1"/>
  <c r="C11" i="7"/>
  <c r="G116" i="8"/>
  <c r="H56" i="8" s="1"/>
  <c r="J65" i="8"/>
  <c r="H70" i="8"/>
  <c r="G17" i="9"/>
  <c r="F12" i="9"/>
  <c r="G12" i="9" s="1"/>
  <c r="F15" i="9"/>
  <c r="G15" i="9" s="1"/>
  <c r="G32" i="8"/>
  <c r="H54" i="8" l="1"/>
  <c r="H59" i="8"/>
  <c r="H50" i="8"/>
  <c r="H106" i="8"/>
  <c r="H94" i="8"/>
  <c r="H48" i="8"/>
  <c r="H91" i="8"/>
  <c r="H79" i="8"/>
  <c r="H85" i="8"/>
  <c r="F14" i="5"/>
  <c r="J12" i="5"/>
  <c r="J14" i="5" s="1"/>
  <c r="D18" i="4"/>
  <c r="D17" i="4" s="1"/>
  <c r="D23" i="4" s="1"/>
  <c r="D24" i="4" s="1"/>
  <c r="G18" i="9"/>
  <c r="D119" i="8"/>
  <c r="J119" i="8" s="1"/>
  <c r="J116" i="8"/>
  <c r="J117" i="8" s="1"/>
  <c r="C16" i="7"/>
  <c r="H64" i="8"/>
  <c r="H61" i="8"/>
  <c r="H58" i="8"/>
  <c r="H55" i="8"/>
  <c r="H52" i="8"/>
  <c r="H49" i="8"/>
  <c r="H69" i="8"/>
  <c r="H105" i="8"/>
  <c r="H96" i="8"/>
  <c r="H78" i="8"/>
  <c r="H102" i="8"/>
  <c r="H99" i="8"/>
  <c r="H93" i="8"/>
  <c r="H90" i="8"/>
  <c r="H87" i="8"/>
  <c r="H84" i="8"/>
  <c r="H81" i="8"/>
  <c r="H75" i="8"/>
  <c r="H72" i="8"/>
  <c r="H66" i="8"/>
  <c r="H113" i="8"/>
  <c r="H110" i="8"/>
  <c r="H107" i="8"/>
  <c r="H104" i="8"/>
  <c r="H101" i="8"/>
  <c r="H98" i="8"/>
  <c r="H95" i="8"/>
  <c r="H92" i="8"/>
  <c r="H89" i="8"/>
  <c r="H86" i="8"/>
  <c r="H83" i="8"/>
  <c r="H80" i="8"/>
  <c r="H77" i="8"/>
  <c r="H74" i="8"/>
  <c r="H71" i="8"/>
  <c r="H68" i="8"/>
  <c r="H116" i="8"/>
  <c r="H114" i="8"/>
  <c r="H111" i="8"/>
  <c r="H108" i="8"/>
  <c r="H115" i="8"/>
  <c r="H109" i="8"/>
  <c r="H97" i="8"/>
  <c r="H65" i="8"/>
  <c r="H57" i="8"/>
  <c r="H112" i="8"/>
  <c r="H82" i="8"/>
  <c r="H88" i="8"/>
  <c r="H103" i="8"/>
  <c r="H100" i="8"/>
  <c r="G44" i="8"/>
  <c r="H67" i="8"/>
  <c r="C14" i="7"/>
  <c r="H73" i="8"/>
  <c r="C18" i="7"/>
  <c r="D118" i="8"/>
  <c r="J118" i="8" s="1"/>
  <c r="H60" i="8"/>
  <c r="H63" i="8"/>
  <c r="G33" i="8"/>
  <c r="H32" i="8" s="1"/>
  <c r="H62" i="8"/>
  <c r="H51" i="8"/>
  <c r="H76" i="8"/>
  <c r="C20" i="7"/>
  <c r="C22" i="7"/>
  <c r="H53" i="8"/>
  <c r="H13" i="8"/>
  <c r="J120" i="8" l="1"/>
  <c r="J121" i="8" s="1"/>
  <c r="J122" i="8" s="1"/>
  <c r="H43" i="8"/>
  <c r="H40" i="8"/>
  <c r="H38" i="8"/>
  <c r="H41" i="8"/>
  <c r="H36" i="8"/>
  <c r="H37" i="8"/>
  <c r="H39" i="8"/>
  <c r="H29" i="8"/>
  <c r="H26" i="8"/>
  <c r="H23" i="8"/>
  <c r="H19" i="8"/>
  <c r="H20" i="8"/>
  <c r="H21" i="8"/>
  <c r="H30" i="8"/>
  <c r="H25" i="8"/>
  <c r="H31" i="8"/>
  <c r="H24" i="8"/>
  <c r="H27" i="8"/>
  <c r="H22" i="8"/>
  <c r="H28" i="8"/>
  <c r="G117" i="8"/>
  <c r="G120" i="8"/>
  <c r="G121" i="8" s="1"/>
  <c r="G122" i="8" s="1"/>
  <c r="H42" i="8"/>
  <c r="H44" i="8" s="1"/>
  <c r="C19" i="7"/>
  <c r="C24" i="7" s="1"/>
  <c r="G19" i="9"/>
  <c r="G45" i="8"/>
  <c r="C29" i="7" l="1"/>
  <c r="C27" i="7"/>
  <c r="D24" i="7"/>
  <c r="D15" i="7"/>
  <c r="D13" i="7"/>
  <c r="D17" i="7"/>
  <c r="D11" i="7"/>
  <c r="D12" i="7"/>
  <c r="D18" i="7"/>
  <c r="D20" i="7"/>
  <c r="D14" i="7"/>
  <c r="D16" i="7"/>
  <c r="D22" i="7"/>
  <c r="C34" i="7" l="1"/>
  <c r="C30" i="7"/>
  <c r="C32" i="7"/>
  <c r="C35" i="7" l="1"/>
  <c r="C37" i="7" l="1"/>
  <c r="C36" i="7"/>
  <c r="C38" i="7" l="1"/>
  <c r="C39" i="7" l="1"/>
  <c r="C40" i="7" l="1"/>
  <c r="E39" i="7"/>
  <c r="E33" i="7" l="1"/>
  <c r="E40" i="7"/>
  <c r="E31" i="7"/>
  <c r="C41" i="7"/>
  <c r="D11" i="10" s="1"/>
  <c r="E15" i="7"/>
  <c r="E17" i="7"/>
  <c r="E25" i="7"/>
  <c r="E13" i="7"/>
  <c r="E12" i="7"/>
  <c r="E26" i="7"/>
  <c r="E11" i="7"/>
  <c r="E22" i="7"/>
  <c r="E14" i="7"/>
  <c r="E16" i="7"/>
  <c r="E20" i="7"/>
  <c r="E18" i="7"/>
  <c r="E24" i="7"/>
  <c r="E29" i="7"/>
  <c r="E27" i="7"/>
  <c r="E30" i="7"/>
  <c r="E32" i="7"/>
  <c r="E34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<sst xmlns="http://schemas.openxmlformats.org/spreadsheetml/2006/main" count="1029" uniqueCount="564">
  <si>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</si>
  <si>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</si>
  <si>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</si>
  <si>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</si>
  <si>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</si>
  <si>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</si>
  <si>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</si>
  <si>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</si>
  <si>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</si>
  <si>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</si>
  <si>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</si>
  <si>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</si>
  <si>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</si>
  <si>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</si>
  <si>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</si>
  <si>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</si>
  <si>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</si>
  <si>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</si>
  <si>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</si>
  <si>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</si>
  <si>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</si>
  <si>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</si>
  <si>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</si>
  <si>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</si>
  <si>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</si>
  <si>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</si>
  <si>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</si>
  <si>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</si>
  <si>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</si>
  <si>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</si>
  <si>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</si>
  <si>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</si>
  <si>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</si>
  <si>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</si>
  <si>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</si>
  <si>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</si>
  <si>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</si>
  <si>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</si>
  <si>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</si>
  <si>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</si>
  <si>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</si>
  <si>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</si>
  <si>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</si>
  <si>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</si>
  <si>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</si>
  <si>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</si>
  <si>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</si>
  <si>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</si>
  <si>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ЗПС 110 кВ</t>
  </si>
  <si>
    <t>Сопоставимый уровень цен: 4 кв. 2019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</si>
  <si>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</si>
  <si>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</si>
  <si>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</si>
  <si>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</si>
  <si>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</si>
  <si>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</si>
  <si>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</si>
  <si>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</si>
  <si>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</si>
  <si>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</si>
  <si>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</si>
  <si>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</si>
  <si>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</si>
  <si>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</si>
  <si>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</si>
  <si>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</si>
  <si>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</si>
  <si>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</si>
  <si>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</si>
  <si>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</si>
  <si>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</si>
  <si>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</si>
  <si>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</si>
  <si>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</si>
  <si>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</si>
  <si>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</si>
  <si>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</si>
  <si>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</si>
  <si>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</si>
  <si>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</si>
  <si>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</si>
  <si>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</si>
  <si>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</si>
  <si>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</si>
  <si>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</si>
  <si>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</si>
  <si>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</si>
  <si>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</si>
  <si>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</si>
  <si>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</si>
  <si>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ЛВС ЗПС 110 кВ</t>
  </si>
  <si>
    <t>Всего по объекту:</t>
  </si>
  <si>
    <t>Всего по объекту в сопоставимом уровне цен 4 кв. 2019 г.: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</si>
  <si>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</si>
  <si>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</si>
  <si>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</si>
  <si>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</si>
  <si>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</si>
  <si>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</si>
  <si>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</si>
  <si>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</si>
  <si>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</si>
  <si>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</si>
  <si>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</si>
  <si>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</si>
  <si>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</si>
  <si>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</si>
  <si>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</si>
  <si>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</si>
  <si>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</si>
  <si>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</si>
  <si>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</si>
  <si>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</si>
  <si>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</si>
  <si>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</si>
  <si>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</si>
  <si>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</si>
  <si>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</si>
  <si>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</si>
  <si>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</si>
  <si>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</si>
  <si>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</si>
  <si>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</si>
  <si>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</si>
  <si>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</si>
  <si>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</si>
  <si>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</si>
  <si>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</si>
  <si>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</si>
  <si>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</si>
  <si>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</si>
  <si>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</si>
  <si>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</si>
  <si>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</si>
  <si>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</si>
  <si>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</si>
  <si>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</si>
  <si>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</si>
  <si>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</si>
  <si>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</si>
  <si>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</si>
  <si>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</si>
  <si>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</si>
  <si>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</si>
  <si>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</si>
  <si>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</si>
  <si>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</si>
  <si>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</si>
  <si>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</si>
  <si>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</si>
  <si>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</si>
  <si>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</si>
  <si>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</si>
  <si>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</si>
  <si>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</si>
  <si>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</si>
  <si>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</si>
  <si>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</si>
  <si>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</si>
  <si>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</si>
  <si>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</si>
  <si>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</si>
  <si>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</si>
  <si>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</si>
  <si>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</si>
  <si>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</si>
  <si>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</si>
  <si>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</si>
  <si>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</si>
  <si>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</si>
  <si>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</si>
  <si>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</si>
  <si>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</si>
  <si>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</si>
  <si>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</si>
  <si>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</si>
  <si>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</si>
  <si>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</si>
  <si>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</si>
  <si>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</si>
  <si>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</si>
  <si>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</si>
  <si>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</si>
  <si>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</si>
  <si>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</si>
  <si>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</si>
  <si>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</si>
  <si>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</si>
  <si>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</si>
  <si>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</si>
  <si>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</si>
  <si>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</si>
  <si>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</si>
  <si>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</si>
  <si>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</si>
  <si>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</si>
  <si>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</si>
  <si>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</si>
  <si>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</si>
  <si>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</si>
  <si>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</si>
  <si>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</si>
  <si>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</si>
  <si>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</si>
  <si>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</si>
  <si>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</si>
  <si>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</si>
  <si>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</si>
  <si>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</si>
  <si>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</si>
  <si>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</si>
  <si>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</si>
  <si>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</si>
  <si>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</si>
  <si>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</si>
  <si>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</si>
  <si>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</si>
  <si>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</si>
  <si>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</si>
  <si>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</si>
  <si>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</si>
  <si>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</si>
  <si>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</si>
  <si>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</si>
  <si>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</si>
  <si>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</si>
  <si>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</si>
  <si>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</si>
  <si>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</si>
  <si>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</si>
  <si>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</si>
  <si>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</si>
  <si>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</si>
  <si>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</si>
  <si>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</si>
  <si>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</si>
  <si>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</si>
  <si>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</si>
  <si>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</si>
  <si>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</si>
  <si>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</si>
  <si>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</si>
  <si>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</si>
  <si>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</si>
  <si>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</si>
  <si>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</si>
  <si>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</si>
  <si>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</si>
  <si>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</si>
  <si>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</si>
  <si>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</si>
  <si>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</si>
  <si>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</si>
  <si>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</si>
  <si>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</si>
  <si>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</si>
  <si>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</si>
  <si>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</si>
  <si>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</si>
  <si>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</si>
  <si>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</si>
  <si>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</si>
  <si>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</si>
  <si>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</si>
  <si>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</si>
  <si>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</si>
  <si>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</si>
  <si>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</si>
  <si>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</si>
  <si>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</si>
  <si>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</si>
  <si>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</si>
  <si>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</si>
  <si>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</si>
  <si>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</si>
  <si>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</si>
  <si>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</si>
  <si>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</si>
  <si>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</si>
  <si>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</si>
  <si>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</si>
  <si>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</si>
  <si>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</si>
  <si>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</si>
  <si>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</si>
  <si>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</si>
  <si>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</si>
  <si>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</si>
  <si>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</si>
  <si>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</si>
  <si>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</si>
  <si>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</si>
  <si>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</si>
  <si>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</si>
  <si>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</si>
  <si>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</si>
  <si>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</si>
  <si>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</si>
  <si>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</si>
  <si>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</si>
  <si>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</si>
  <si>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</si>
  <si>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</si>
  <si>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</si>
  <si>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</si>
  <si>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</si>
  <si>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</si>
  <si>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</si>
  <si>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</si>
  <si>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</si>
  <si>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</si>
  <si>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</si>
  <si>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</si>
  <si>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</si>
  <si>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</si>
  <si>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</si>
  <si>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ЗПС 110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</si>
  <si>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</si>
  <si>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</si>
  <si>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</si>
  <si>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</si>
  <si>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</si>
  <si>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</si>
  <si>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</si>
  <si>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</si>
  <si>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</si>
  <si>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</si>
  <si>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</si>
  <si>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</si>
  <si>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</si>
  <si>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</si>
  <si>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</si>
  <si>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</si>
  <si>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</si>
  <si>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</si>
  <si>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</si>
  <si>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</si>
  <si>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</si>
  <si>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</si>
  <si>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</si>
  <si>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</si>
  <si>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</si>
  <si>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</si>
  <si>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</si>
  <si>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</si>
  <si>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</si>
  <si>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</si>
  <si>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</si>
  <si>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</si>
  <si>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</si>
  <si>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</si>
  <si>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</si>
  <si>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</si>
  <si>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</si>
  <si>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</si>
  <si>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</si>
  <si>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</si>
  <si>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</si>
  <si>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</si>
  <si>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</si>
  <si>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</si>
  <si>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</si>
  <si>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</si>
  <si>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</si>
  <si>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</si>
  <si>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</si>
  <si>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</si>
  <si>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</si>
  <si>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</si>
  <si>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</si>
  <si>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</si>
  <si>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</si>
  <si>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</si>
  <si>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</si>
  <si>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</si>
  <si>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БЦ.36.41</t>
  </si>
  <si>
    <t>БЦ.36.39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</si>
  <si>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</si>
  <si>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</si>
  <si>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</si>
  <si>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</si>
  <si>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</si>
  <si>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</si>
  <si>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</si>
  <si>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</si>
  <si>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</si>
  <si>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</si>
  <si>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</si>
  <si>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</si>
  <si>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</si>
  <si>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</si>
  <si>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</si>
  <si>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</si>
  <si>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</si>
  <si>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</si>
  <si>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</si>
  <si>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</si>
  <si>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</si>
  <si>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</si>
  <si>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</si>
  <si>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</si>
  <si>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</si>
  <si>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</si>
  <si>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</si>
  <si>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</si>
  <si>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</si>
  <si>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</si>
  <si>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</si>
  <si>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110 кВ</t>
  </si>
  <si>
    <t>З2_ЗПС_ЛВС_110_кВ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</si>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</sst>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8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19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0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20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289485</xdr:colOff>
      <xdr:row>28</xdr:row>
      <xdr:rowOff>152027</xdr:rowOff>
    </xdr:from>
    <xdr:to>
      <xdr:col>2</xdr:col>
      <xdr:colOff>1234287</xdr:colOff>
      <xdr:row>31</xdr:row>
      <xdr:rowOff>71122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C7C5DDB-76C6-48D7-9F74-65D8FDE9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720" y="15223939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384736</xdr:colOff>
      <xdr:row>26</xdr:row>
      <xdr:rowOff>340285</xdr:rowOff>
    </xdr:from>
    <xdr:to>
      <xdr:col>2</xdr:col>
      <xdr:colOff>1222935</xdr:colOff>
      <xdr:row>28</xdr:row>
      <xdr:rowOff>112187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5524A17-96FA-46D9-BFBB-62D81BCDC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971" y="14728638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877660</xdr:colOff>
      <xdr:row>17</xdr:row>
      <xdr:rowOff>62140</xdr:rowOff>
    </xdr:from>
    <xdr:to>
      <xdr:col>2</xdr:col>
      <xdr:colOff>1822462</xdr:colOff>
      <xdr:row>20</xdr:row>
      <xdr:rowOff>14853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199ECA-E7C3-4977-80B1-7013D515C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4" y="385853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972911</xdr:colOff>
      <xdr:row>14</xdr:row>
      <xdr:rowOff>138340</xdr:rowOff>
    </xdr:from>
    <xdr:to>
      <xdr:col>2</xdr:col>
      <xdr:colOff>1811110</xdr:colOff>
      <xdr:row>17</xdr:row>
      <xdr:rowOff>22300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B0CF894-2539-4EC3-86E1-2625F560B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3363233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115</xdr:row>
      <xdr:rowOff>126526</xdr:rowOff>
    </xdr:from>
    <xdr:to>
      <xdr:col>2</xdr:col>
      <xdr:colOff>1325802</xdr:colOff>
      <xdr:row>118</xdr:row>
      <xdr:rowOff>45621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4033A45-FC81-4E34-962F-1ADE2BF28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09" y="29307662"/>
          <a:ext cx="944802" cy="54255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113</xdr:row>
      <xdr:rowOff>34637</xdr:rowOff>
    </xdr:from>
    <xdr:to>
      <xdr:col>2</xdr:col>
      <xdr:colOff>1314450</xdr:colOff>
      <xdr:row>115</xdr:row>
      <xdr:rowOff>86686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7B330AF-22BD-40B9-8F14-51D4E713F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660" y="28800137"/>
          <a:ext cx="838199" cy="467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1E5344-B43F-415E-A2FE-E6A589D88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30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FAE5732-42C8-4A4D-9551-7A8618B2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669297</xdr:colOff>
      <xdr:row>124</xdr:row>
      <xdr:rowOff>32802</xdr:rowOff>
    </xdr:from>
    <xdr:to>
      <xdr:col>2</xdr:col>
      <xdr:colOff>109149</xdr:colOff>
      <xdr:row>127</xdr:row>
      <xdr:rowOff>37470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C6BE0A9-3132-45D0-A2CD-C873A33C2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297" y="31673120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764548</xdr:colOff>
      <xdr:row>121</xdr:row>
      <xdr:rowOff>334138</xdr:rowOff>
    </xdr:from>
    <xdr:to>
      <xdr:col>2</xdr:col>
      <xdr:colOff>97797</xdr:colOff>
      <xdr:row>123</xdr:row>
      <xdr:rowOff>166143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828A2CC-88D1-4831-A947-1F2BCCE81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548" y="31177820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21</xdr:row>
      <xdr:rowOff>57150</xdr:rowOff>
    </xdr:from>
    <xdr:to>
      <xdr:col>2</xdr:col>
      <xdr:colOff>373302</xdr:colOff>
      <xdr:row>24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75AB68-3EC3-4D14-95B5-C321821F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5362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695326</xdr:colOff>
      <xdr:row>18</xdr:row>
      <xdr:rowOff>190500</xdr:rowOff>
    </xdr:from>
    <xdr:to>
      <xdr:col>2</xdr:col>
      <xdr:colOff>361950</xdr:colOff>
      <xdr:row>21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167811C-7325-4166-9A18-F0BD3EF87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6" y="48672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EDE067-E531-42B5-980E-694AC427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9A616C9-1071-4B81-A67A-A8C8794AE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3175</xdr:rowOff>
    </xdr:from>
    <xdr:to>
      <xdr:col>1</xdr:col>
      <xdr:colOff>1754427</xdr:colOff>
      <xdr:row>28</xdr:row>
      <xdr:rowOff>146388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3B5AA78-2197-461B-9C82-CCC07540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23</xdr:row>
      <xdr:rowOff>79375</xdr:rowOff>
    </xdr:from>
    <xdr:to>
      <xdr:col>1</xdr:col>
      <xdr:colOff>1743075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B725C6E-5B1F-493B-AD18-73687E6D1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0" t="s">
        <v>0</v>
      </c>
      <c r="B2" s="210"/>
      <c r="C2" s="210"/>
    </row>
    <row r="3" spans="1:3" x14ac:dyDescent="0.25">
      <c r="A3" s="1"/>
      <c r="B3" s="1"/>
      <c r="C3" s="1"/>
    </row>
    <row r="4" spans="1:3" x14ac:dyDescent="0.25">
      <c r="A4" s="211" t="s">
        <v>1</v>
      </c>
      <c r="B4" s="211"/>
      <c r="C4" s="21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12" t="s">
        <v>3</v>
      </c>
      <c r="C6" s="212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zoomScale="115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402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5" t="s">
        <v>403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60" t="s">
        <v>404</v>
      </c>
      <c r="B5" s="260"/>
      <c r="C5" s="260"/>
      <c r="D5" s="192" t="str">
        <f>'Прил.5 Расчет СМР и ОБ'!D6:J6</f>
        <v>Постоянная часть ПС, ЛВС ЗПС 110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23" t="s">
        <v>5</v>
      </c>
      <c r="B8" s="223" t="s">
        <v>6</v>
      </c>
      <c r="C8" s="223" t="s">
        <v>405</v>
      </c>
      <c r="D8" s="223" t="s">
        <v>406</v>
      </c>
    </row>
    <row r="9" spans="1:4" x14ac:dyDescent="0.25">
      <c r="A9" s="223"/>
      <c r="B9" s="223"/>
      <c r="C9" s="223"/>
      <c r="D9" s="223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3" t="s">
        <v>407</v>
      </c>
      <c r="B11" s="193" t="s">
        <v>408</v>
      </c>
      <c r="C11" s="195" t="s">
        <v>409</v>
      </c>
      <c r="D11" s="139">
        <f>'Прил.4 РМ'!C41/1000</f>
        <v>4606.0163300000004</v>
      </c>
    </row>
    <row r="13" spans="1:4" x14ac:dyDescent="0.25">
      <c r="A13" s="4" t="s">
        <v>410</v>
      </c>
      <c r="B13" s="12"/>
      <c r="C13" s="12"/>
      <c r="D13" s="24"/>
    </row>
    <row r="14" spans="1:4" x14ac:dyDescent="0.25">
      <c r="A14" s="114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4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9" zoomScale="60" zoomScaleNormal="85" workbookViewId="0">
      <selection activeCell="F33" sqref="F33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7" t="s">
        <v>411</v>
      </c>
      <c r="C4" s="217"/>
      <c r="D4" s="217"/>
    </row>
    <row r="5" spans="2:5" ht="18.75" customHeight="1" x14ac:dyDescent="0.25">
      <c r="B5" s="106"/>
    </row>
    <row r="6" spans="2:5" ht="15.75" customHeight="1" x14ac:dyDescent="0.25">
      <c r="B6" s="218" t="s">
        <v>412</v>
      </c>
      <c r="C6" s="218"/>
      <c r="D6" s="218"/>
    </row>
    <row r="7" spans="2:5" x14ac:dyDescent="0.25">
      <c r="B7" s="261"/>
      <c r="C7" s="261"/>
      <c r="D7" s="261"/>
      <c r="E7" s="261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413</v>
      </c>
      <c r="C9" s="108" t="s">
        <v>414</v>
      </c>
      <c r="D9" s="108" t="s">
        <v>415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416</v>
      </c>
      <c r="C11" s="108" t="s">
        <v>417</v>
      </c>
      <c r="D11" s="108">
        <v>46.83</v>
      </c>
    </row>
    <row r="12" spans="2:5" ht="29.25" customHeight="1" x14ac:dyDescent="0.25">
      <c r="B12" s="108" t="s">
        <v>418</v>
      </c>
      <c r="C12" s="108" t="s">
        <v>417</v>
      </c>
      <c r="D12" s="108">
        <v>11.96</v>
      </c>
    </row>
    <row r="13" spans="2:5" ht="29.25" customHeight="1" x14ac:dyDescent="0.25">
      <c r="B13" s="108" t="s">
        <v>419</v>
      </c>
      <c r="C13" s="108" t="s">
        <v>417</v>
      </c>
      <c r="D13" s="108">
        <v>9.84</v>
      </c>
    </row>
    <row r="14" spans="2:5" ht="30.75" customHeight="1" x14ac:dyDescent="0.25">
      <c r="B14" s="108" t="s">
        <v>420</v>
      </c>
      <c r="C14" s="105" t="s">
        <v>421</v>
      </c>
      <c r="D14" s="108">
        <v>6.26</v>
      </c>
    </row>
    <row r="15" spans="2:5" ht="89.25" customHeight="1" x14ac:dyDescent="0.25">
      <c r="B15" s="108" t="s">
        <v>422</v>
      </c>
      <c r="C15" s="108" t="s">
        <v>423</v>
      </c>
      <c r="D15" s="109">
        <v>3.9E-2</v>
      </c>
    </row>
    <row r="16" spans="2:5" ht="78.75" customHeight="1" x14ac:dyDescent="0.25">
      <c r="B16" s="108" t="s">
        <v>424</v>
      </c>
      <c r="C16" s="108" t="s">
        <v>425</v>
      </c>
      <c r="D16" s="109">
        <v>2.1000000000000001E-2</v>
      </c>
    </row>
    <row r="17" spans="2:4" ht="31.5" customHeight="1" x14ac:dyDescent="0.25">
      <c r="B17" s="108" t="s">
        <v>426</v>
      </c>
      <c r="C17" s="108" t="s">
        <v>427</v>
      </c>
      <c r="D17" s="109">
        <v>2.1399999999999999E-2</v>
      </c>
    </row>
    <row r="18" spans="2:4" ht="31.5" customHeight="1" x14ac:dyDescent="0.25">
      <c r="B18" s="108" t="s">
        <v>347</v>
      </c>
      <c r="C18" s="108" t="s">
        <v>428</v>
      </c>
      <c r="D18" s="109">
        <v>2E-3</v>
      </c>
    </row>
    <row r="19" spans="2:4" ht="24" customHeight="1" x14ac:dyDescent="0.25">
      <c r="B19" s="108" t="s">
        <v>349</v>
      </c>
      <c r="C19" s="108" t="s">
        <v>429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430</v>
      </c>
      <c r="C26" s="12"/>
    </row>
    <row r="27" spans="2:4" x14ac:dyDescent="0.25">
      <c r="B27" s="114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394</v>
      </c>
      <c r="C29" s="12"/>
    </row>
    <row r="30" spans="2:4" x14ac:dyDescent="0.25">
      <c r="B30" s="114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L13" sqref="L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8" t="s">
        <v>431</v>
      </c>
      <c r="B2" s="218"/>
      <c r="C2" s="218"/>
      <c r="D2" s="218"/>
      <c r="E2" s="218"/>
      <c r="F2" s="218"/>
    </row>
    <row r="4" spans="1:7" ht="18" customHeight="1" x14ac:dyDescent="0.25">
      <c r="A4" s="178" t="s">
        <v>432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79" t="s">
        <v>13</v>
      </c>
      <c r="B5" s="179" t="s">
        <v>433</v>
      </c>
      <c r="C5" s="179" t="s">
        <v>434</v>
      </c>
      <c r="D5" s="179" t="s">
        <v>435</v>
      </c>
      <c r="E5" s="179" t="s">
        <v>436</v>
      </c>
      <c r="F5" s="179" t="s">
        <v>437</v>
      </c>
      <c r="G5" s="112"/>
    </row>
    <row r="6" spans="1:7" ht="15.75" customHeight="1" x14ac:dyDescent="0.25">
      <c r="A6" s="179">
        <v>1</v>
      </c>
      <c r="B6" s="179">
        <v>2</v>
      </c>
      <c r="C6" s="179">
        <v>3</v>
      </c>
      <c r="D6" s="179">
        <v>4</v>
      </c>
      <c r="E6" s="179">
        <v>5</v>
      </c>
      <c r="F6" s="179">
        <v>6</v>
      </c>
      <c r="G6" s="112"/>
    </row>
    <row r="7" spans="1:7" ht="110.25" customHeight="1" x14ac:dyDescent="0.25">
      <c r="A7" s="180" t="s">
        <v>438</v>
      </c>
      <c r="B7" s="145" t="s">
        <v>439</v>
      </c>
      <c r="C7" s="108" t="s">
        <v>440</v>
      </c>
      <c r="D7" s="108" t="s">
        <v>441</v>
      </c>
      <c r="E7" s="139">
        <v>47872.94</v>
      </c>
      <c r="F7" s="145" t="s">
        <v>442</v>
      </c>
      <c r="G7" s="112"/>
    </row>
    <row r="8" spans="1:7" ht="31.5" customHeight="1" x14ac:dyDescent="0.25">
      <c r="A8" s="180" t="s">
        <v>443</v>
      </c>
      <c r="B8" s="145" t="s">
        <v>444</v>
      </c>
      <c r="C8" s="108" t="s">
        <v>445</v>
      </c>
      <c r="D8" s="108" t="s">
        <v>446</v>
      </c>
      <c r="E8" s="139">
        <f>1973/12</f>
        <v>164.41666666667001</v>
      </c>
      <c r="F8" s="145" t="s">
        <v>447</v>
      </c>
      <c r="G8" s="181"/>
    </row>
    <row r="9" spans="1:7" ht="15.75" customHeight="1" x14ac:dyDescent="0.25">
      <c r="A9" s="180" t="s">
        <v>448</v>
      </c>
      <c r="B9" s="145" t="s">
        <v>449</v>
      </c>
      <c r="C9" s="108" t="s">
        <v>450</v>
      </c>
      <c r="D9" s="108" t="s">
        <v>441</v>
      </c>
      <c r="E9" s="139">
        <v>1</v>
      </c>
      <c r="F9" s="145"/>
      <c r="G9" s="181"/>
    </row>
    <row r="10" spans="1:7" ht="15.75" customHeight="1" x14ac:dyDescent="0.25">
      <c r="A10" s="180" t="s">
        <v>451</v>
      </c>
      <c r="B10" s="145" t="s">
        <v>452</v>
      </c>
      <c r="C10" s="108"/>
      <c r="D10" s="108"/>
      <c r="E10" s="182">
        <v>4.0999999999999996</v>
      </c>
      <c r="F10" s="145" t="s">
        <v>453</v>
      </c>
      <c r="G10" s="181"/>
    </row>
    <row r="11" spans="1:7" ht="78.75" customHeight="1" x14ac:dyDescent="0.25">
      <c r="A11" s="180" t="s">
        <v>454</v>
      </c>
      <c r="B11" s="145" t="s">
        <v>455</v>
      </c>
      <c r="C11" s="108" t="s">
        <v>456</v>
      </c>
      <c r="D11" s="108" t="s">
        <v>441</v>
      </c>
      <c r="E11" s="183">
        <v>1.359</v>
      </c>
      <c r="F11" s="145" t="s">
        <v>457</v>
      </c>
      <c r="G11" s="112"/>
    </row>
    <row r="12" spans="1:7" ht="78.75" customHeight="1" x14ac:dyDescent="0.25">
      <c r="A12" s="180" t="s">
        <v>458</v>
      </c>
      <c r="B12" s="144" t="s">
        <v>459</v>
      </c>
      <c r="C12" s="108" t="s">
        <v>460</v>
      </c>
      <c r="D12" s="108" t="s">
        <v>441</v>
      </c>
      <c r="E12" s="184">
        <v>1.139</v>
      </c>
      <c r="F12" s="185" t="s">
        <v>461</v>
      </c>
      <c r="G12" s="181"/>
    </row>
    <row r="13" spans="1:7" ht="63" customHeight="1" x14ac:dyDescent="0.25">
      <c r="A13" s="180" t="s">
        <v>462</v>
      </c>
      <c r="B13" s="186" t="s">
        <v>463</v>
      </c>
      <c r="C13" s="108" t="s">
        <v>464</v>
      </c>
      <c r="D13" s="108" t="s">
        <v>465</v>
      </c>
      <c r="E13" s="187">
        <v>450.69987855412</v>
      </c>
      <c r="F13" s="145" t="s">
        <v>466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2" t="s">
        <v>467</v>
      </c>
      <c r="B1" s="262"/>
      <c r="C1" s="262"/>
      <c r="D1" s="262"/>
      <c r="E1" s="262"/>
      <c r="F1" s="262"/>
      <c r="G1" s="262"/>
      <c r="H1" s="262"/>
      <c r="I1" s="262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13" t="e">
        <f>#REF!</f>
        <v>#REF!</v>
      </c>
      <c r="B3" s="213"/>
      <c r="C3" s="213"/>
      <c r="D3" s="213"/>
      <c r="E3" s="213"/>
      <c r="F3" s="213"/>
      <c r="G3" s="213"/>
      <c r="H3" s="213"/>
      <c r="I3" s="213"/>
    </row>
    <row r="4" spans="1:13" s="4" customFormat="1" ht="15.75" customHeight="1" x14ac:dyDescent="0.2">
      <c r="A4" s="263"/>
      <c r="B4" s="263"/>
      <c r="C4" s="263"/>
      <c r="D4" s="263"/>
      <c r="E4" s="263"/>
      <c r="F4" s="263"/>
      <c r="G4" s="263"/>
      <c r="H4" s="263"/>
      <c r="I4" s="263"/>
    </row>
    <row r="5" spans="1:13" s="29" customFormat="1" ht="36.6" customHeight="1" x14ac:dyDescent="0.35">
      <c r="A5" s="264" t="s">
        <v>13</v>
      </c>
      <c r="B5" s="264" t="s">
        <v>468</v>
      </c>
      <c r="C5" s="264" t="s">
        <v>469</v>
      </c>
      <c r="D5" s="264" t="s">
        <v>470</v>
      </c>
      <c r="E5" s="259" t="s">
        <v>471</v>
      </c>
      <c r="F5" s="259"/>
      <c r="G5" s="259"/>
      <c r="H5" s="259"/>
      <c r="I5" s="259"/>
    </row>
    <row r="6" spans="1:13" s="24" customFormat="1" ht="31.5" customHeight="1" x14ac:dyDescent="0.2">
      <c r="A6" s="264"/>
      <c r="B6" s="264"/>
      <c r="C6" s="264"/>
      <c r="D6" s="264"/>
      <c r="E6" s="30" t="s">
        <v>86</v>
      </c>
      <c r="F6" s="30" t="s">
        <v>87</v>
      </c>
      <c r="G6" s="30" t="s">
        <v>43</v>
      </c>
      <c r="H6" s="30" t="s">
        <v>472</v>
      </c>
      <c r="I6" s="30" t="s">
        <v>473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337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474</v>
      </c>
      <c r="C9" s="8" t="s">
        <v>475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476</v>
      </c>
      <c r="C11" s="8" t="s">
        <v>424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477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478</v>
      </c>
      <c r="C12" s="8" t="s">
        <v>479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427</v>
      </c>
      <c r="C14" s="8" t="s">
        <v>481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482</v>
      </c>
      <c r="C16" s="8" t="s">
        <v>483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484</v>
      </c>
    </row>
    <row r="17" spans="1:10" s="24" customFormat="1" ht="81.75" customHeight="1" x14ac:dyDescent="0.2">
      <c r="A17" s="31">
        <v>7</v>
      </c>
      <c r="B17" s="8" t="s">
        <v>482</v>
      </c>
      <c r="C17" s="8" t="s">
        <v>485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486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487</v>
      </c>
      <c r="C20" s="8" t="s">
        <v>349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488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489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9" t="s">
        <v>493</v>
      </c>
      <c r="O2" s="269"/>
    </row>
    <row r="3" spans="1:16" x14ac:dyDescent="0.25">
      <c r="A3" s="270" t="s">
        <v>494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5" spans="1:16" ht="37.5" customHeight="1" x14ac:dyDescent="0.25">
      <c r="A5" s="271" t="s">
        <v>495</v>
      </c>
      <c r="B5" s="274" t="s">
        <v>496</v>
      </c>
      <c r="C5" s="277" t="s">
        <v>497</v>
      </c>
      <c r="D5" s="280" t="s">
        <v>498</v>
      </c>
      <c r="E5" s="281"/>
      <c r="F5" s="281"/>
      <c r="G5" s="281"/>
      <c r="H5" s="281"/>
      <c r="I5" s="280" t="s">
        <v>499</v>
      </c>
      <c r="J5" s="281"/>
      <c r="K5" s="281"/>
      <c r="L5" s="281"/>
      <c r="M5" s="281"/>
      <c r="N5" s="281"/>
      <c r="O5" s="47" t="s">
        <v>500</v>
      </c>
    </row>
    <row r="6" spans="1:16" s="50" customFormat="1" ht="150" customHeight="1" x14ac:dyDescent="0.25">
      <c r="A6" s="272"/>
      <c r="B6" s="275"/>
      <c r="C6" s="278"/>
      <c r="D6" s="277" t="s">
        <v>501</v>
      </c>
      <c r="E6" s="282" t="s">
        <v>502</v>
      </c>
      <c r="F6" s="283"/>
      <c r="G6" s="284"/>
      <c r="H6" s="48" t="s">
        <v>503</v>
      </c>
      <c r="I6" s="285" t="s">
        <v>504</v>
      </c>
      <c r="J6" s="285" t="s">
        <v>501</v>
      </c>
      <c r="K6" s="286" t="s">
        <v>502</v>
      </c>
      <c r="L6" s="286"/>
      <c r="M6" s="286"/>
      <c r="N6" s="48" t="s">
        <v>503</v>
      </c>
      <c r="O6" s="49" t="s">
        <v>505</v>
      </c>
    </row>
    <row r="7" spans="1:16" s="50" customFormat="1" ht="30.75" customHeight="1" x14ac:dyDescent="0.25">
      <c r="A7" s="273"/>
      <c r="B7" s="276"/>
      <c r="C7" s="279"/>
      <c r="D7" s="279"/>
      <c r="E7" s="47" t="s">
        <v>86</v>
      </c>
      <c r="F7" s="47" t="s">
        <v>87</v>
      </c>
      <c r="G7" s="47" t="s">
        <v>43</v>
      </c>
      <c r="H7" s="51" t="s">
        <v>506</v>
      </c>
      <c r="I7" s="285"/>
      <c r="J7" s="285"/>
      <c r="K7" s="47" t="s">
        <v>86</v>
      </c>
      <c r="L7" s="47" t="s">
        <v>87</v>
      </c>
      <c r="M7" s="47" t="s">
        <v>43</v>
      </c>
      <c r="N7" s="51" t="s">
        <v>506</v>
      </c>
      <c r="O7" s="47" t="s">
        <v>507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1" t="s">
        <v>508</v>
      </c>
      <c r="C9" s="53" t="s">
        <v>509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73"/>
      <c r="C10" s="56" t="s">
        <v>510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71" t="s">
        <v>511</v>
      </c>
      <c r="C11" s="56" t="s">
        <v>512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73"/>
      <c r="C12" s="56" t="s">
        <v>513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71" t="s">
        <v>514</v>
      </c>
      <c r="C13" s="53" t="s">
        <v>515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73"/>
      <c r="C14" s="56" t="s">
        <v>516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517</v>
      </c>
      <c r="C15" s="56" t="s">
        <v>518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519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520</v>
      </c>
    </row>
    <row r="19" spans="1:15" ht="30.75" customHeight="1" x14ac:dyDescent="0.25">
      <c r="L19" s="68"/>
    </row>
    <row r="20" spans="1:15" ht="15" customHeight="1" outlineLevel="1" x14ac:dyDescent="0.25">
      <c r="G20" s="268" t="s">
        <v>521</v>
      </c>
      <c r="H20" s="268"/>
      <c r="I20" s="268"/>
      <c r="J20" s="268"/>
      <c r="K20" s="268"/>
      <c r="L20" s="268"/>
      <c r="M20" s="268"/>
      <c r="N20" s="268"/>
    </row>
    <row r="21" spans="1:15" ht="15.75" customHeight="1" outlineLevel="1" x14ac:dyDescent="0.25">
      <c r="G21" s="69"/>
      <c r="H21" s="69" t="s">
        <v>522</v>
      </c>
      <c r="I21" s="69" t="s">
        <v>523</v>
      </c>
      <c r="J21" s="69" t="s">
        <v>524</v>
      </c>
      <c r="K21" s="70" t="s">
        <v>525</v>
      </c>
      <c r="L21" s="69" t="s">
        <v>526</v>
      </c>
      <c r="M21" s="69" t="s">
        <v>527</v>
      </c>
      <c r="N21" s="69" t="s">
        <v>528</v>
      </c>
      <c r="O21" s="63"/>
    </row>
    <row r="22" spans="1:15" ht="15.75" customHeight="1" outlineLevel="1" x14ac:dyDescent="0.25">
      <c r="G22" s="266" t="s">
        <v>529</v>
      </c>
      <c r="H22" s="265">
        <v>6.09</v>
      </c>
      <c r="I22" s="267">
        <v>6.44</v>
      </c>
      <c r="J22" s="265">
        <v>5.77</v>
      </c>
      <c r="K22" s="267">
        <v>5.77</v>
      </c>
      <c r="L22" s="265">
        <v>5.23</v>
      </c>
      <c r="M22" s="265">
        <v>5.77</v>
      </c>
      <c r="N22" s="71">
        <v>6.29</v>
      </c>
      <c r="O22" t="s">
        <v>530</v>
      </c>
    </row>
    <row r="23" spans="1:15" ht="15.75" customHeight="1" outlineLevel="1" x14ac:dyDescent="0.25">
      <c r="G23" s="266"/>
      <c r="H23" s="265"/>
      <c r="I23" s="267"/>
      <c r="J23" s="265"/>
      <c r="K23" s="267"/>
      <c r="L23" s="265"/>
      <c r="M23" s="265"/>
      <c r="N23" s="71">
        <v>6.56</v>
      </c>
      <c r="O23" t="s">
        <v>531</v>
      </c>
    </row>
    <row r="24" spans="1:15" ht="15.75" customHeight="1" outlineLevel="1" x14ac:dyDescent="0.25">
      <c r="G24" s="72" t="s">
        <v>532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506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7" t="s">
        <v>535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4" spans="1:18" ht="36.75" customHeight="1" x14ac:dyDescent="0.25">
      <c r="A4" s="271" t="s">
        <v>495</v>
      </c>
      <c r="B4" s="274" t="s">
        <v>496</v>
      </c>
      <c r="C4" s="277" t="s">
        <v>536</v>
      </c>
      <c r="D4" s="277" t="s">
        <v>537</v>
      </c>
      <c r="E4" s="280" t="s">
        <v>538</v>
      </c>
      <c r="F4" s="281"/>
      <c r="G4" s="281"/>
      <c r="H4" s="281"/>
      <c r="I4" s="281"/>
      <c r="J4" s="281"/>
      <c r="K4" s="281"/>
      <c r="L4" s="281"/>
      <c r="M4" s="281"/>
      <c r="N4" s="288" t="s">
        <v>539</v>
      </c>
      <c r="O4" s="289"/>
      <c r="P4" s="289"/>
      <c r="Q4" s="289"/>
      <c r="R4" s="290"/>
    </row>
    <row r="5" spans="1:18" ht="60" customHeight="1" x14ac:dyDescent="0.25">
      <c r="A5" s="272"/>
      <c r="B5" s="275"/>
      <c r="C5" s="278"/>
      <c r="D5" s="278"/>
      <c r="E5" s="285" t="s">
        <v>540</v>
      </c>
      <c r="F5" s="285" t="s">
        <v>541</v>
      </c>
      <c r="G5" s="282" t="s">
        <v>502</v>
      </c>
      <c r="H5" s="283"/>
      <c r="I5" s="283"/>
      <c r="J5" s="284"/>
      <c r="K5" s="285" t="s">
        <v>542</v>
      </c>
      <c r="L5" s="285"/>
      <c r="M5" s="285"/>
      <c r="N5" s="74" t="s">
        <v>543</v>
      </c>
      <c r="O5" s="74" t="s">
        <v>544</v>
      </c>
      <c r="P5" s="74" t="s">
        <v>545</v>
      </c>
      <c r="Q5" s="75" t="s">
        <v>546</v>
      </c>
      <c r="R5" s="74" t="s">
        <v>547</v>
      </c>
    </row>
    <row r="6" spans="1:18" ht="49.5" customHeight="1" x14ac:dyDescent="0.25">
      <c r="A6" s="273"/>
      <c r="B6" s="276"/>
      <c r="C6" s="279"/>
      <c r="D6" s="279"/>
      <c r="E6" s="285"/>
      <c r="F6" s="285"/>
      <c r="G6" s="47" t="s">
        <v>86</v>
      </c>
      <c r="H6" s="47" t="s">
        <v>87</v>
      </c>
      <c r="I6" s="47" t="s">
        <v>43</v>
      </c>
      <c r="J6" s="47" t="s">
        <v>472</v>
      </c>
      <c r="K6" s="47" t="s">
        <v>543</v>
      </c>
      <c r="L6" s="47" t="s">
        <v>544</v>
      </c>
      <c r="M6" s="47" t="s">
        <v>545</v>
      </c>
      <c r="N6" s="47" t="s">
        <v>548</v>
      </c>
      <c r="O6" s="47" t="s">
        <v>549</v>
      </c>
      <c r="P6" s="47" t="s">
        <v>550</v>
      </c>
      <c r="Q6" s="48" t="s">
        <v>551</v>
      </c>
      <c r="R6" s="47" t="s">
        <v>552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1">
        <v>1</v>
      </c>
      <c r="B9" s="271" t="s">
        <v>553</v>
      </c>
      <c r="C9" s="291" t="s">
        <v>509</v>
      </c>
      <c r="D9" s="53" t="s">
        <v>554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73"/>
      <c r="B10" s="272"/>
      <c r="C10" s="292"/>
      <c r="D10" s="53" t="s">
        <v>555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71">
        <v>2</v>
      </c>
      <c r="B11" s="272"/>
      <c r="C11" s="291" t="s">
        <v>556</v>
      </c>
      <c r="D11" s="53" t="s">
        <v>554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73"/>
      <c r="B12" s="273"/>
      <c r="C12" s="292"/>
      <c r="D12" s="53" t="s">
        <v>555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71">
        <v>3</v>
      </c>
      <c r="B13" s="271" t="s">
        <v>511</v>
      </c>
      <c r="C13" s="293" t="s">
        <v>512</v>
      </c>
      <c r="D13" s="53" t="s">
        <v>557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73"/>
      <c r="B14" s="272"/>
      <c r="C14" s="294"/>
      <c r="D14" s="53" t="s">
        <v>555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71">
        <v>4</v>
      </c>
      <c r="B15" s="272"/>
      <c r="C15" s="295" t="s">
        <v>513</v>
      </c>
      <c r="D15" s="56" t="s">
        <v>557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73"/>
      <c r="B16" s="273"/>
      <c r="C16" s="296"/>
      <c r="D16" s="56" t="s">
        <v>555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71">
        <v>5</v>
      </c>
      <c r="B17" s="286" t="s">
        <v>514</v>
      </c>
      <c r="C17" s="291" t="s">
        <v>558</v>
      </c>
      <c r="D17" s="53" t="s">
        <v>559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73"/>
      <c r="B18" s="286"/>
      <c r="C18" s="292"/>
      <c r="D18" s="53" t="s">
        <v>555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71">
        <v>6</v>
      </c>
      <c r="B19" s="286"/>
      <c r="C19" s="291" t="s">
        <v>516</v>
      </c>
      <c r="D19" s="56" t="s">
        <v>557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73"/>
      <c r="B20" s="286"/>
      <c r="C20" s="292"/>
      <c r="D20" s="56" t="s">
        <v>555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71">
        <v>7</v>
      </c>
      <c r="B21" s="271" t="s">
        <v>517</v>
      </c>
      <c r="C21" s="291" t="s">
        <v>518</v>
      </c>
      <c r="D21" s="56" t="s">
        <v>560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73"/>
      <c r="B22" s="273"/>
      <c r="C22" s="292"/>
      <c r="D22" s="79" t="s">
        <v>555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7" t="s">
        <v>562</v>
      </c>
      <c r="E26" s="297"/>
      <c r="F26" s="297"/>
      <c r="G26" s="297"/>
      <c r="H26" s="297"/>
      <c r="I26" s="297"/>
      <c r="J26" s="297"/>
      <c r="K26" s="297"/>
      <c r="L26" s="68"/>
      <c r="R26" s="86"/>
    </row>
    <row r="27" spans="1:18" outlineLevel="1" x14ac:dyDescent="0.25">
      <c r="D27" s="87"/>
      <c r="E27" s="87" t="s">
        <v>522</v>
      </c>
      <c r="F27" s="87" t="s">
        <v>523</v>
      </c>
      <c r="G27" s="87" t="s">
        <v>524</v>
      </c>
      <c r="H27" s="88" t="s">
        <v>525</v>
      </c>
      <c r="I27" s="88" t="s">
        <v>526</v>
      </c>
      <c r="J27" s="88" t="s">
        <v>527</v>
      </c>
      <c r="K27" s="59" t="s">
        <v>528</v>
      </c>
    </row>
    <row r="28" spans="1:18" outlineLevel="1" x14ac:dyDescent="0.25">
      <c r="D28" s="298" t="s">
        <v>529</v>
      </c>
      <c r="E28" s="300">
        <v>6.09</v>
      </c>
      <c r="F28" s="302">
        <v>6.63</v>
      </c>
      <c r="G28" s="300">
        <v>5.77</v>
      </c>
      <c r="H28" s="304">
        <v>5.77</v>
      </c>
      <c r="I28" s="304">
        <v>6.35</v>
      </c>
      <c r="J28" s="300">
        <v>5.77</v>
      </c>
      <c r="K28" s="89">
        <v>6.29</v>
      </c>
      <c r="L28" t="s">
        <v>530</v>
      </c>
    </row>
    <row r="29" spans="1:18" outlineLevel="1" x14ac:dyDescent="0.25">
      <c r="D29" s="299"/>
      <c r="E29" s="301"/>
      <c r="F29" s="303"/>
      <c r="G29" s="301"/>
      <c r="H29" s="305"/>
      <c r="I29" s="305"/>
      <c r="J29" s="301"/>
      <c r="K29" s="89">
        <v>6.56</v>
      </c>
      <c r="L29" t="s">
        <v>531</v>
      </c>
    </row>
    <row r="30" spans="1:18" outlineLevel="1" x14ac:dyDescent="0.25">
      <c r="D30" s="90" t="s">
        <v>532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8" t="s">
        <v>506</v>
      </c>
      <c r="E31" s="300">
        <v>11.37</v>
      </c>
      <c r="F31" s="302">
        <v>13.56</v>
      </c>
      <c r="G31" s="300">
        <v>15.91</v>
      </c>
      <c r="H31" s="304">
        <v>15.91</v>
      </c>
      <c r="I31" s="304">
        <v>14.03</v>
      </c>
      <c r="J31" s="300">
        <v>15.91</v>
      </c>
      <c r="K31" s="89">
        <v>8.2899999999999991</v>
      </c>
      <c r="L31" t="s">
        <v>530</v>
      </c>
    </row>
    <row r="32" spans="1:18" outlineLevel="1" x14ac:dyDescent="0.25">
      <c r="D32" s="299"/>
      <c r="E32" s="301"/>
      <c r="F32" s="303"/>
      <c r="G32" s="301"/>
      <c r="H32" s="305"/>
      <c r="I32" s="305"/>
      <c r="J32" s="301"/>
      <c r="K32" s="89">
        <v>11.84</v>
      </c>
      <c r="L32" t="s">
        <v>531</v>
      </c>
    </row>
    <row r="33" spans="4:12" ht="15" customHeight="1" outlineLevel="1" x14ac:dyDescent="0.25">
      <c r="D33" s="91" t="s">
        <v>533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563</v>
      </c>
    </row>
    <row r="34" spans="4:12" outlineLevel="1" x14ac:dyDescent="0.25">
      <c r="D34" s="91" t="s">
        <v>534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563</v>
      </c>
    </row>
    <row r="35" spans="4:12" outlineLevel="1" x14ac:dyDescent="0.25">
      <c r="D35" s="90" t="s">
        <v>472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0" t="s">
        <v>10</v>
      </c>
      <c r="B2" s="210"/>
      <c r="C2" s="210"/>
      <c r="D2" s="21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3"/>
    </row>
    <row r="5" spans="1:4" x14ac:dyDescent="0.25">
      <c r="A5" s="5"/>
      <c r="B5" s="1"/>
      <c r="C5" s="1"/>
    </row>
    <row r="6" spans="1:4" x14ac:dyDescent="0.25">
      <c r="A6" s="210" t="s">
        <v>12</v>
      </c>
      <c r="B6" s="210"/>
      <c r="C6" s="210"/>
      <c r="D6" s="21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4" t="s">
        <v>5</v>
      </c>
      <c r="B15" s="215" t="s">
        <v>15</v>
      </c>
      <c r="C15" s="215"/>
      <c r="D15" s="215"/>
    </row>
    <row r="16" spans="1:4" x14ac:dyDescent="0.25">
      <c r="A16" s="214"/>
      <c r="B16" s="214" t="s">
        <v>17</v>
      </c>
      <c r="C16" s="215" t="s">
        <v>28</v>
      </c>
      <c r="D16" s="215"/>
    </row>
    <row r="17" spans="1:4" ht="39" customHeight="1" x14ac:dyDescent="0.25">
      <c r="A17" s="214"/>
      <c r="B17" s="21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6" t="s">
        <v>29</v>
      </c>
      <c r="B2" s="216"/>
      <c r="C2" s="216"/>
      <c r="D2" s="216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2" zoomScale="85" zoomScaleNormal="55" workbookViewId="0">
      <selection activeCell="C51" sqref="C51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17" t="s">
        <v>45</v>
      </c>
      <c r="C3" s="217"/>
      <c r="D3" s="217"/>
    </row>
    <row r="4" spans="2:5" x14ac:dyDescent="0.25">
      <c r="B4" s="218" t="s">
        <v>46</v>
      </c>
      <c r="C4" s="218"/>
      <c r="D4" s="218"/>
    </row>
    <row r="5" spans="2:5" ht="84" customHeight="1" x14ac:dyDescent="0.25">
      <c r="B5" s="220" t="s">
        <v>47</v>
      </c>
      <c r="C5" s="220"/>
      <c r="D5" s="220"/>
    </row>
    <row r="6" spans="2:5" ht="18.75" customHeight="1" x14ac:dyDescent="0.25">
      <c r="B6" s="141"/>
      <c r="C6" s="141"/>
      <c r="D6" s="141"/>
    </row>
    <row r="7" spans="2:5" ht="64.5" customHeight="1" x14ac:dyDescent="0.25">
      <c r="B7" s="219" t="s">
        <v>48</v>
      </c>
      <c r="C7" s="219"/>
      <c r="D7" s="219"/>
    </row>
    <row r="8" spans="2:5" ht="31.5" customHeight="1" x14ac:dyDescent="0.25">
      <c r="B8" s="219" t="s">
        <v>49</v>
      </c>
      <c r="C8" s="219"/>
      <c r="D8" s="219"/>
    </row>
    <row r="9" spans="2:5" ht="15.75" customHeight="1" x14ac:dyDescent="0.25">
      <c r="B9" s="219" t="s">
        <v>50</v>
      </c>
      <c r="C9" s="219"/>
      <c r="D9" s="219"/>
    </row>
    <row r="10" spans="2:5" x14ac:dyDescent="0.25">
      <c r="B10" s="142"/>
    </row>
    <row r="11" spans="2:5" x14ac:dyDescent="0.25">
      <c r="B11" s="108" t="s">
        <v>33</v>
      </c>
      <c r="C11" s="108" t="s">
        <v>51</v>
      </c>
      <c r="D11" s="198" t="s">
        <v>52</v>
      </c>
      <c r="E11" s="143"/>
    </row>
    <row r="12" spans="2:5" ht="96.75" customHeight="1" x14ac:dyDescent="0.25">
      <c r="B12" s="108">
        <v>1</v>
      </c>
      <c r="C12" s="144" t="s">
        <v>53</v>
      </c>
      <c r="D12" s="198" t="s">
        <v>54</v>
      </c>
    </row>
    <row r="13" spans="2:5" x14ac:dyDescent="0.25">
      <c r="B13" s="108">
        <v>2</v>
      </c>
      <c r="C13" s="144" t="s">
        <v>55</v>
      </c>
      <c r="D13" s="198" t="s">
        <v>56</v>
      </c>
    </row>
    <row r="14" spans="2:5" x14ac:dyDescent="0.25">
      <c r="B14" s="108">
        <v>3</v>
      </c>
      <c r="C14" s="144" t="s">
        <v>57</v>
      </c>
      <c r="D14" s="198" t="s">
        <v>58</v>
      </c>
    </row>
    <row r="15" spans="2:5" x14ac:dyDescent="0.25">
      <c r="B15" s="108">
        <v>4</v>
      </c>
      <c r="C15" s="144" t="s">
        <v>59</v>
      </c>
      <c r="D15" s="199">
        <v>1</v>
      </c>
    </row>
    <row r="16" spans="2:5" ht="252" customHeight="1" x14ac:dyDescent="0.25">
      <c r="B16" s="108">
        <v>5</v>
      </c>
      <c r="C16" s="105" t="s">
        <v>60</v>
      </c>
      <c r="D16" s="145" t="s">
        <v>61</v>
      </c>
    </row>
    <row r="17" spans="2:5" ht="79.5" customHeight="1" x14ac:dyDescent="0.25">
      <c r="B17" s="108">
        <v>6</v>
      </c>
      <c r="C17" s="105" t="s">
        <v>62</v>
      </c>
      <c r="D17" s="200">
        <f>D18+D19</f>
        <v>2546.4028035000001</v>
      </c>
      <c r="E17" s="146"/>
    </row>
    <row r="18" spans="2:5" x14ac:dyDescent="0.25">
      <c r="B18" s="147" t="s">
        <v>63</v>
      </c>
      <c r="C18" s="144" t="s">
        <v>64</v>
      </c>
      <c r="D18" s="200">
        <f>'Прил.2 Расч стоим'!F12</f>
        <v>107.76219269999997</v>
      </c>
    </row>
    <row r="19" spans="2:5" ht="15.75" customHeight="1" x14ac:dyDescent="0.25">
      <c r="B19" s="147" t="s">
        <v>65</v>
      </c>
      <c r="C19" s="144" t="s">
        <v>66</v>
      </c>
      <c r="D19" s="200">
        <f>'Прил.2 Расч стоим'!H14</f>
        <v>2438.6406108000001</v>
      </c>
    </row>
    <row r="20" spans="2:5" ht="16.5" customHeight="1" x14ac:dyDescent="0.25">
      <c r="B20" s="147" t="s">
        <v>67</v>
      </c>
      <c r="C20" s="144" t="s">
        <v>68</v>
      </c>
      <c r="D20" s="200"/>
    </row>
    <row r="21" spans="2:5" ht="35.25" customHeight="1" x14ac:dyDescent="0.25">
      <c r="B21" s="147" t="s">
        <v>69</v>
      </c>
      <c r="C21" s="148" t="s">
        <v>70</v>
      </c>
      <c r="D21" s="200"/>
    </row>
    <row r="22" spans="2:5" x14ac:dyDescent="0.25">
      <c r="B22" s="108">
        <v>7</v>
      </c>
      <c r="C22" s="148" t="s">
        <v>71</v>
      </c>
      <c r="D22" s="193" t="s">
        <v>72</v>
      </c>
      <c r="E22" s="149"/>
    </row>
    <row r="23" spans="2:5" ht="123" customHeight="1" x14ac:dyDescent="0.25">
      <c r="B23" s="108">
        <v>8</v>
      </c>
      <c r="C23" s="150" t="s">
        <v>73</v>
      </c>
      <c r="D23" s="200">
        <f>D17</f>
        <v>2546.4028035000001</v>
      </c>
      <c r="E23" s="146"/>
    </row>
    <row r="24" spans="2:5" ht="60.75" customHeight="1" x14ac:dyDescent="0.25">
      <c r="B24" s="108">
        <v>9</v>
      </c>
      <c r="C24" s="105" t="s">
        <v>74</v>
      </c>
      <c r="D24" s="200">
        <f>D23/D15</f>
        <v>2546.4028035000001</v>
      </c>
      <c r="E24" s="149"/>
    </row>
    <row r="25" spans="2:5" ht="48" customHeight="1" x14ac:dyDescent="0.25">
      <c r="B25" s="108">
        <v>10</v>
      </c>
      <c r="C25" s="144" t="s">
        <v>75</v>
      </c>
      <c r="D25" s="198"/>
    </row>
    <row r="26" spans="2:5" x14ac:dyDescent="0.25">
      <c r="B26" s="151"/>
      <c r="C26" s="152"/>
      <c r="D26" s="152"/>
    </row>
    <row r="27" spans="2:5" ht="37.5" customHeight="1" x14ac:dyDescent="0.25">
      <c r="B27" s="115"/>
    </row>
    <row r="28" spans="2:5" x14ac:dyDescent="0.25">
      <c r="B28" s="112" t="s">
        <v>76</v>
      </c>
    </row>
    <row r="29" spans="2:5" x14ac:dyDescent="0.25">
      <c r="B29" s="115" t="s">
        <v>77</v>
      </c>
    </row>
    <row r="31" spans="2:5" x14ac:dyDescent="0.25">
      <c r="B31" s="112" t="s">
        <v>78</v>
      </c>
    </row>
    <row r="32" spans="2:5" x14ac:dyDescent="0.25">
      <c r="B32" s="11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7"/>
  <sheetViews>
    <sheetView view="pageBreakPreview" zoomScale="70" zoomScaleNormal="70" workbookViewId="0">
      <selection activeCell="E18" sqref="E18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7" t="s">
        <v>80</v>
      </c>
      <c r="C3" s="217"/>
      <c r="D3" s="217"/>
      <c r="E3" s="217"/>
      <c r="F3" s="217"/>
      <c r="G3" s="217"/>
      <c r="H3" s="217"/>
      <c r="I3" s="217"/>
      <c r="J3" s="217"/>
    </row>
    <row r="4" spans="2:10" x14ac:dyDescent="0.25">
      <c r="B4" s="218" t="s">
        <v>81</v>
      </c>
      <c r="C4" s="218"/>
      <c r="D4" s="218"/>
      <c r="E4" s="218"/>
      <c r="F4" s="218"/>
      <c r="G4" s="218"/>
      <c r="H4" s="218"/>
      <c r="I4" s="218"/>
      <c r="J4" s="218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9" t="str">
        <f>'Прил.1 Сравнит табл'!B7:D7</f>
        <v>Наименование разрабатываемого показателя УНЦ - Постоянная часть ПС, ЛВС ЗПС 110 кВ</v>
      </c>
      <c r="C6" s="219"/>
      <c r="D6" s="219"/>
      <c r="E6" s="219"/>
      <c r="F6" s="219"/>
      <c r="G6" s="219"/>
      <c r="H6" s="219"/>
      <c r="I6" s="219"/>
      <c r="J6" s="219"/>
    </row>
    <row r="7" spans="2:10" x14ac:dyDescent="0.25">
      <c r="B7" s="219" t="str">
        <f>'Прил.1 Сравнит табл'!B9:D9</f>
        <v>Единица измерения  — 1 ПС</v>
      </c>
      <c r="C7" s="219"/>
      <c r="D7" s="219"/>
      <c r="E7" s="219"/>
      <c r="F7" s="219"/>
      <c r="G7" s="219"/>
      <c r="H7" s="219"/>
      <c r="I7" s="219"/>
      <c r="J7" s="219"/>
    </row>
    <row r="8" spans="2:10" ht="18.75" customHeight="1" x14ac:dyDescent="0.25">
      <c r="B8" s="107"/>
    </row>
    <row r="9" spans="2:10" ht="15.75" customHeight="1" x14ac:dyDescent="0.25">
      <c r="B9" s="223" t="s">
        <v>33</v>
      </c>
      <c r="C9" s="223" t="s">
        <v>82</v>
      </c>
      <c r="D9" s="223" t="s">
        <v>52</v>
      </c>
      <c r="E9" s="223"/>
      <c r="F9" s="223"/>
      <c r="G9" s="223"/>
      <c r="H9" s="223"/>
      <c r="I9" s="223"/>
      <c r="J9" s="223"/>
    </row>
    <row r="10" spans="2:10" ht="15.75" customHeight="1" x14ac:dyDescent="0.25">
      <c r="B10" s="223"/>
      <c r="C10" s="223"/>
      <c r="D10" s="223" t="s">
        <v>83</v>
      </c>
      <c r="E10" s="223" t="s">
        <v>84</v>
      </c>
      <c r="F10" s="223" t="s">
        <v>85</v>
      </c>
      <c r="G10" s="223"/>
      <c r="H10" s="223"/>
      <c r="I10" s="223"/>
      <c r="J10" s="223"/>
    </row>
    <row r="11" spans="2:10" ht="31.5" customHeight="1" x14ac:dyDescent="0.25">
      <c r="B11" s="223"/>
      <c r="C11" s="223"/>
      <c r="D11" s="223"/>
      <c r="E11" s="223"/>
      <c r="F11" s="193" t="s">
        <v>86</v>
      </c>
      <c r="G11" s="193" t="s">
        <v>87</v>
      </c>
      <c r="H11" s="193" t="s">
        <v>43</v>
      </c>
      <c r="I11" s="193" t="s">
        <v>88</v>
      </c>
      <c r="J11" s="193" t="s">
        <v>89</v>
      </c>
    </row>
    <row r="12" spans="2:10" ht="15" customHeight="1" x14ac:dyDescent="0.25">
      <c r="B12" s="201"/>
      <c r="C12" s="202" t="s">
        <v>90</v>
      </c>
      <c r="D12" s="203"/>
      <c r="E12" s="193"/>
      <c r="F12" s="224">
        <f>(Прил.3!H12+Прил.3!H24+Прил.3!H26+Прил.3!H46)*8.11/1000</f>
        <v>107.76219269999997</v>
      </c>
      <c r="G12" s="225"/>
      <c r="H12" s="204">
        <f>Прил.3!H39*4.78/1000</f>
        <v>2438.6406108000001</v>
      </c>
      <c r="I12" s="205"/>
      <c r="J12" s="206">
        <f>F12+H12</f>
        <v>2546.4028035000001</v>
      </c>
    </row>
    <row r="13" spans="2:10" ht="15" customHeight="1" x14ac:dyDescent="0.25">
      <c r="B13" s="226" t="s">
        <v>91</v>
      </c>
      <c r="C13" s="226"/>
      <c r="D13" s="226"/>
      <c r="E13" s="226"/>
      <c r="F13" s="207"/>
      <c r="G13" s="207"/>
      <c r="H13" s="207"/>
      <c r="I13" s="208"/>
      <c r="J13" s="209"/>
    </row>
    <row r="14" spans="2:10" ht="15.75" customHeight="1" x14ac:dyDescent="0.25">
      <c r="B14" s="226" t="s">
        <v>92</v>
      </c>
      <c r="C14" s="226"/>
      <c r="D14" s="226"/>
      <c r="E14" s="226"/>
      <c r="F14" s="221">
        <f>F12</f>
        <v>107.76219269999997</v>
      </c>
      <c r="G14" s="222"/>
      <c r="H14" s="207">
        <f>H12</f>
        <v>2438.6406108000001</v>
      </c>
      <c r="I14" s="208"/>
      <c r="J14" s="209">
        <f>J12</f>
        <v>2546.4028035000001</v>
      </c>
    </row>
    <row r="15" spans="2:10" ht="15" customHeight="1" x14ac:dyDescent="0.25"/>
    <row r="16" spans="2:10" ht="15" customHeight="1" x14ac:dyDescent="0.25"/>
    <row r="17" spans="3:5" ht="15" customHeight="1" x14ac:dyDescent="0.25">
      <c r="C17" s="4" t="s">
        <v>93</v>
      </c>
      <c r="D17" s="12"/>
      <c r="E17" s="12"/>
    </row>
    <row r="18" spans="3:5" ht="15" customHeight="1" x14ac:dyDescent="0.25">
      <c r="C18" s="114" t="s">
        <v>77</v>
      </c>
      <c r="D18" s="12"/>
      <c r="E18" s="12"/>
    </row>
    <row r="19" spans="3:5" ht="15" customHeight="1" x14ac:dyDescent="0.25">
      <c r="C19" s="4"/>
      <c r="D19" s="12"/>
      <c r="E19" s="12"/>
    </row>
    <row r="20" spans="3:5" ht="15" customHeight="1" x14ac:dyDescent="0.25">
      <c r="C20" s="4" t="s">
        <v>78</v>
      </c>
      <c r="D20" s="12"/>
      <c r="E20" s="12"/>
    </row>
    <row r="21" spans="3:5" ht="15" customHeight="1" x14ac:dyDescent="0.25">
      <c r="C21" s="114" t="s">
        <v>79</v>
      </c>
      <c r="D21" s="12"/>
      <c r="E21" s="12"/>
    </row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</sheetData>
  <mergeCells count="14"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K119"/>
  <sheetViews>
    <sheetView view="pageBreakPreview" topLeftCell="A79" zoomScale="55" zoomScaleSheetLayoutView="55" workbookViewId="0">
      <selection activeCell="G110" sqref="G110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4" spans="1:11" x14ac:dyDescent="0.25">
      <c r="A4" s="217" t="s">
        <v>94</v>
      </c>
      <c r="B4" s="217"/>
      <c r="C4" s="217"/>
      <c r="D4" s="217"/>
      <c r="E4" s="217"/>
      <c r="F4" s="217"/>
      <c r="G4" s="217"/>
      <c r="H4" s="217"/>
    </row>
    <row r="5" spans="1:11" x14ac:dyDescent="0.25">
      <c r="A5" s="218" t="s">
        <v>95</v>
      </c>
      <c r="B5" s="218"/>
      <c r="C5" s="218"/>
      <c r="D5" s="218"/>
      <c r="E5" s="218"/>
      <c r="F5" s="218"/>
      <c r="G5" s="218"/>
      <c r="H5" s="218"/>
    </row>
    <row r="6" spans="1:11" ht="18.75" customHeight="1" x14ac:dyDescent="0.25">
      <c r="A6" s="153"/>
      <c r="B6" s="153"/>
      <c r="C6" s="232" t="s">
        <v>96</v>
      </c>
      <c r="D6" s="232"/>
      <c r="E6" s="232"/>
      <c r="F6" s="232"/>
      <c r="G6" s="232"/>
      <c r="H6" s="232"/>
    </row>
    <row r="7" spans="1:11" x14ac:dyDescent="0.25">
      <c r="A7" s="142"/>
    </row>
    <row r="8" spans="1:11" ht="33.75" customHeight="1" x14ac:dyDescent="0.25">
      <c r="A8" s="231" t="s">
        <v>97</v>
      </c>
      <c r="B8" s="231"/>
      <c r="C8" s="231"/>
      <c r="D8" s="231"/>
      <c r="E8" s="231"/>
      <c r="F8" s="231"/>
      <c r="G8" s="231"/>
      <c r="H8" s="231"/>
    </row>
    <row r="9" spans="1:11" ht="38.25" customHeight="1" x14ac:dyDescent="0.25">
      <c r="A9" s="223" t="s">
        <v>98</v>
      </c>
      <c r="B9" s="223" t="s">
        <v>99</v>
      </c>
      <c r="C9" s="223" t="s">
        <v>100</v>
      </c>
      <c r="D9" s="223" t="s">
        <v>101</v>
      </c>
      <c r="E9" s="223" t="s">
        <v>102</v>
      </c>
      <c r="F9" s="223" t="s">
        <v>103</v>
      </c>
      <c r="G9" s="223" t="s">
        <v>104</v>
      </c>
      <c r="H9" s="223"/>
    </row>
    <row r="10" spans="1:11" ht="40.5" customHeight="1" x14ac:dyDescent="0.25">
      <c r="A10" s="223"/>
      <c r="B10" s="223"/>
      <c r="C10" s="223"/>
      <c r="D10" s="223"/>
      <c r="E10" s="223"/>
      <c r="F10" s="223"/>
      <c r="G10" s="108" t="s">
        <v>105</v>
      </c>
      <c r="H10" s="108" t="s">
        <v>106</v>
      </c>
    </row>
    <row r="11" spans="1:11" x14ac:dyDescent="0.25">
      <c r="A11" s="154">
        <v>1</v>
      </c>
      <c r="B11" s="154"/>
      <c r="C11" s="154">
        <v>2</v>
      </c>
      <c r="D11" s="154" t="s">
        <v>107</v>
      </c>
      <c r="E11" s="154">
        <v>4</v>
      </c>
      <c r="F11" s="154">
        <v>5</v>
      </c>
      <c r="G11" s="154">
        <v>6</v>
      </c>
      <c r="H11" s="154">
        <v>7</v>
      </c>
    </row>
    <row r="12" spans="1:11" s="155" customFormat="1" x14ac:dyDescent="0.25">
      <c r="A12" s="228" t="s">
        <v>108</v>
      </c>
      <c r="B12" s="229"/>
      <c r="C12" s="230"/>
      <c r="D12" s="230"/>
      <c r="E12" s="229"/>
      <c r="F12" s="123">
        <f>SUM(F13:F23)</f>
        <v>657.8105933620418</v>
      </c>
      <c r="G12" s="10"/>
      <c r="H12" s="123">
        <f>SUM(H13:H23)</f>
        <v>6591.94</v>
      </c>
    </row>
    <row r="13" spans="1:11" x14ac:dyDescent="0.25">
      <c r="A13" s="131">
        <v>1</v>
      </c>
      <c r="B13" s="124"/>
      <c r="C13" s="129" t="s">
        <v>109</v>
      </c>
      <c r="D13" s="130" t="s">
        <v>110</v>
      </c>
      <c r="E13" s="131" t="s">
        <v>111</v>
      </c>
      <c r="F13" s="156">
        <v>209.78477455142001</v>
      </c>
      <c r="G13" s="125">
        <v>8.5299999999999994</v>
      </c>
      <c r="H13" s="125">
        <f t="shared" ref="H13:H23" si="0">ROUND(F13*G13,2)</f>
        <v>1789.46</v>
      </c>
      <c r="K13" s="157">
        <f>(SUM(I13:I23)/F12)</f>
        <v>0</v>
      </c>
    </row>
    <row r="14" spans="1:11" x14ac:dyDescent="0.25">
      <c r="A14" s="131">
        <v>2</v>
      </c>
      <c r="B14" s="124"/>
      <c r="C14" s="129" t="s">
        <v>112</v>
      </c>
      <c r="D14" s="130" t="s">
        <v>113</v>
      </c>
      <c r="E14" s="131" t="s">
        <v>111</v>
      </c>
      <c r="F14" s="156">
        <v>175.77380814080999</v>
      </c>
      <c r="G14" s="125">
        <v>9.6199999999999992</v>
      </c>
      <c r="H14" s="125">
        <f t="shared" si="0"/>
        <v>1690.94</v>
      </c>
      <c r="K14" s="157"/>
    </row>
    <row r="15" spans="1:11" x14ac:dyDescent="0.25">
      <c r="A15" s="131">
        <v>3</v>
      </c>
      <c r="B15" s="124"/>
      <c r="C15" s="129" t="s">
        <v>114</v>
      </c>
      <c r="D15" s="130" t="s">
        <v>115</v>
      </c>
      <c r="E15" s="131" t="s">
        <v>111</v>
      </c>
      <c r="F15" s="156">
        <v>124.74965792873</v>
      </c>
      <c r="G15" s="125">
        <v>12.92</v>
      </c>
      <c r="H15" s="125">
        <f t="shared" si="0"/>
        <v>1611.77</v>
      </c>
    </row>
    <row r="16" spans="1:11" x14ac:dyDescent="0.25">
      <c r="A16" s="131">
        <v>4</v>
      </c>
      <c r="B16" s="124"/>
      <c r="C16" s="129" t="s">
        <v>116</v>
      </c>
      <c r="D16" s="130" t="s">
        <v>117</v>
      </c>
      <c r="E16" s="131" t="s">
        <v>111</v>
      </c>
      <c r="F16" s="156">
        <v>100.46711134425</v>
      </c>
      <c r="G16" s="125">
        <v>10.35</v>
      </c>
      <c r="H16" s="125">
        <f t="shared" si="0"/>
        <v>1039.83</v>
      </c>
    </row>
    <row r="17" spans="1:10" x14ac:dyDescent="0.25">
      <c r="A17" s="131">
        <v>5</v>
      </c>
      <c r="B17" s="124"/>
      <c r="C17" s="129" t="s">
        <v>118</v>
      </c>
      <c r="D17" s="130" t="s">
        <v>119</v>
      </c>
      <c r="E17" s="131" t="s">
        <v>111</v>
      </c>
      <c r="F17" s="156">
        <v>15.139372067152999</v>
      </c>
      <c r="G17" s="125">
        <v>11.09</v>
      </c>
      <c r="H17" s="125">
        <f t="shared" si="0"/>
        <v>167.9</v>
      </c>
    </row>
    <row r="18" spans="1:10" x14ac:dyDescent="0.25">
      <c r="A18" s="131">
        <v>6</v>
      </c>
      <c r="B18" s="124"/>
      <c r="C18" s="129" t="s">
        <v>120</v>
      </c>
      <c r="D18" s="130" t="s">
        <v>121</v>
      </c>
      <c r="E18" s="131" t="s">
        <v>111</v>
      </c>
      <c r="F18" s="156">
        <v>7.2077580136599</v>
      </c>
      <c r="G18" s="125">
        <v>9.51</v>
      </c>
      <c r="H18" s="125">
        <f t="shared" si="0"/>
        <v>68.55</v>
      </c>
    </row>
    <row r="19" spans="1:10" x14ac:dyDescent="0.25">
      <c r="A19" s="131">
        <v>7</v>
      </c>
      <c r="B19" s="124"/>
      <c r="C19" s="129" t="s">
        <v>122</v>
      </c>
      <c r="D19" s="130" t="s">
        <v>123</v>
      </c>
      <c r="E19" s="131" t="s">
        <v>111</v>
      </c>
      <c r="F19" s="156">
        <v>6.4479658583738004</v>
      </c>
      <c r="G19" s="125">
        <v>9.4</v>
      </c>
      <c r="H19" s="125">
        <f t="shared" si="0"/>
        <v>60.61</v>
      </c>
    </row>
    <row r="20" spans="1:10" x14ac:dyDescent="0.25">
      <c r="A20" s="131">
        <v>8</v>
      </c>
      <c r="B20" s="124"/>
      <c r="C20" s="129" t="s">
        <v>124</v>
      </c>
      <c r="D20" s="130" t="s">
        <v>125</v>
      </c>
      <c r="E20" s="131" t="s">
        <v>111</v>
      </c>
      <c r="F20" s="156">
        <v>6.8946004361434001</v>
      </c>
      <c r="G20" s="125">
        <v>8.74</v>
      </c>
      <c r="H20" s="125">
        <f t="shared" si="0"/>
        <v>60.26</v>
      </c>
    </row>
    <row r="21" spans="1:10" x14ac:dyDescent="0.25">
      <c r="A21" s="131">
        <v>9</v>
      </c>
      <c r="B21" s="124"/>
      <c r="C21" s="129" t="s">
        <v>126</v>
      </c>
      <c r="D21" s="130" t="s">
        <v>127</v>
      </c>
      <c r="E21" s="131" t="s">
        <v>111</v>
      </c>
      <c r="F21" s="156">
        <v>6.3452912427946</v>
      </c>
      <c r="G21" s="125">
        <v>8.64</v>
      </c>
      <c r="H21" s="125">
        <f t="shared" si="0"/>
        <v>54.82</v>
      </c>
    </row>
    <row r="22" spans="1:10" x14ac:dyDescent="0.25">
      <c r="A22" s="131">
        <v>10</v>
      </c>
      <c r="B22" s="124"/>
      <c r="C22" s="129" t="s">
        <v>128</v>
      </c>
      <c r="D22" s="130" t="s">
        <v>129</v>
      </c>
      <c r="E22" s="131" t="s">
        <v>111</v>
      </c>
      <c r="F22" s="156">
        <v>2.8851566977755998</v>
      </c>
      <c r="G22" s="125">
        <v>9.92</v>
      </c>
      <c r="H22" s="125">
        <f t="shared" si="0"/>
        <v>28.62</v>
      </c>
    </row>
    <row r="23" spans="1:10" x14ac:dyDescent="0.25">
      <c r="A23" s="131">
        <v>11</v>
      </c>
      <c r="B23" s="124"/>
      <c r="C23" s="129" t="s">
        <v>130</v>
      </c>
      <c r="D23" s="130" t="s">
        <v>131</v>
      </c>
      <c r="E23" s="131" t="s">
        <v>111</v>
      </c>
      <c r="F23" s="156">
        <v>2.1150970809315002</v>
      </c>
      <c r="G23" s="125">
        <v>9.07</v>
      </c>
      <c r="H23" s="125">
        <f t="shared" si="0"/>
        <v>19.18</v>
      </c>
    </row>
    <row r="24" spans="1:10" x14ac:dyDescent="0.25">
      <c r="A24" s="227" t="s">
        <v>132</v>
      </c>
      <c r="B24" s="227"/>
      <c r="C24" s="227"/>
      <c r="D24" s="227"/>
      <c r="E24" s="227"/>
      <c r="F24" s="140"/>
      <c r="G24" s="126"/>
      <c r="H24" s="123">
        <f>H25</f>
        <v>632.17999999999995</v>
      </c>
    </row>
    <row r="25" spans="1:10" x14ac:dyDescent="0.25">
      <c r="A25" s="131">
        <v>12</v>
      </c>
      <c r="B25" s="128"/>
      <c r="C25" s="129">
        <v>2</v>
      </c>
      <c r="D25" s="130" t="s">
        <v>132</v>
      </c>
      <c r="E25" s="131" t="s">
        <v>133</v>
      </c>
      <c r="F25" s="156">
        <v>31.2</v>
      </c>
      <c r="G25" s="125"/>
      <c r="H25" s="158">
        <v>632.17999999999995</v>
      </c>
    </row>
    <row r="26" spans="1:10" s="155" customFormat="1" x14ac:dyDescent="0.25">
      <c r="A26" s="228" t="s">
        <v>134</v>
      </c>
      <c r="B26" s="229"/>
      <c r="C26" s="230"/>
      <c r="D26" s="230"/>
      <c r="E26" s="229"/>
      <c r="F26" s="140"/>
      <c r="G26" s="126"/>
      <c r="H26" s="123">
        <f>SUM(H27:H38)</f>
        <v>2806.0799999999995</v>
      </c>
    </row>
    <row r="27" spans="1:10" x14ac:dyDescent="0.25">
      <c r="A27" s="131">
        <v>13</v>
      </c>
      <c r="B27" s="128"/>
      <c r="C27" s="129" t="s">
        <v>135</v>
      </c>
      <c r="D27" s="130" t="s">
        <v>136</v>
      </c>
      <c r="E27" s="131" t="s">
        <v>137</v>
      </c>
      <c r="F27" s="131">
        <v>29.139975257462002</v>
      </c>
      <c r="G27" s="159">
        <v>89.99</v>
      </c>
      <c r="H27" s="125">
        <f t="shared" ref="H27:H38" si="1">ROUND(F27*G27,2)</f>
        <v>2622.31</v>
      </c>
      <c r="J27" s="137"/>
    </row>
    <row r="28" spans="1:10" ht="25.5" customHeight="1" x14ac:dyDescent="0.25">
      <c r="A28" s="131">
        <v>14</v>
      </c>
      <c r="B28" s="128"/>
      <c r="C28" s="129" t="s">
        <v>138</v>
      </c>
      <c r="D28" s="130" t="s">
        <v>139</v>
      </c>
      <c r="E28" s="131" t="s">
        <v>137</v>
      </c>
      <c r="F28" s="131">
        <v>0.42499268419127001</v>
      </c>
      <c r="G28" s="159">
        <v>111.99</v>
      </c>
      <c r="H28" s="125">
        <f t="shared" si="1"/>
        <v>47.59</v>
      </c>
      <c r="I28" s="137"/>
      <c r="J28" s="137"/>
    </row>
    <row r="29" spans="1:10" s="155" customFormat="1" x14ac:dyDescent="0.25">
      <c r="A29" s="131">
        <v>15</v>
      </c>
      <c r="B29" s="128"/>
      <c r="C29" s="129" t="s">
        <v>140</v>
      </c>
      <c r="D29" s="130" t="s">
        <v>141</v>
      </c>
      <c r="E29" s="131" t="s">
        <v>137</v>
      </c>
      <c r="F29" s="131">
        <v>0.55499902618493002</v>
      </c>
      <c r="G29" s="159">
        <v>70</v>
      </c>
      <c r="H29" s="125">
        <f t="shared" si="1"/>
        <v>38.85</v>
      </c>
      <c r="J29" s="137"/>
    </row>
    <row r="30" spans="1:10" s="155" customFormat="1" x14ac:dyDescent="0.25">
      <c r="A30" s="131">
        <v>16</v>
      </c>
      <c r="B30" s="128"/>
      <c r="C30" s="129" t="s">
        <v>142</v>
      </c>
      <c r="D30" s="130" t="s">
        <v>143</v>
      </c>
      <c r="E30" s="131" t="s">
        <v>137</v>
      </c>
      <c r="F30" s="131">
        <v>0.50000014064151999</v>
      </c>
      <c r="G30" s="159">
        <v>65.709999999999994</v>
      </c>
      <c r="H30" s="125">
        <f t="shared" si="1"/>
        <v>32.86</v>
      </c>
      <c r="J30" s="137"/>
    </row>
    <row r="31" spans="1:10" s="155" customFormat="1" x14ac:dyDescent="0.25">
      <c r="A31" s="131">
        <v>17</v>
      </c>
      <c r="B31" s="128"/>
      <c r="C31" s="129" t="s">
        <v>144</v>
      </c>
      <c r="D31" s="130" t="s">
        <v>145</v>
      </c>
      <c r="E31" s="131" t="s">
        <v>137</v>
      </c>
      <c r="F31" s="131">
        <v>0.55503136188487001</v>
      </c>
      <c r="G31" s="159">
        <v>56.24</v>
      </c>
      <c r="H31" s="125">
        <f t="shared" si="1"/>
        <v>31.21</v>
      </c>
      <c r="J31" s="137"/>
    </row>
    <row r="32" spans="1:10" s="155" customFormat="1" ht="25.5" customHeight="1" x14ac:dyDescent="0.25">
      <c r="A32" s="131">
        <v>18</v>
      </c>
      <c r="B32" s="128"/>
      <c r="C32" s="129" t="s">
        <v>146</v>
      </c>
      <c r="D32" s="130" t="s">
        <v>147</v>
      </c>
      <c r="E32" s="131" t="s">
        <v>137</v>
      </c>
      <c r="F32" s="131">
        <v>1.8851040416478</v>
      </c>
      <c r="G32" s="159">
        <v>8.1</v>
      </c>
      <c r="H32" s="125">
        <f t="shared" si="1"/>
        <v>15.27</v>
      </c>
      <c r="I32" s="137"/>
      <c r="J32" s="137"/>
    </row>
    <row r="33" spans="1:10" s="155" customFormat="1" x14ac:dyDescent="0.25">
      <c r="A33" s="131">
        <v>19</v>
      </c>
      <c r="B33" s="128"/>
      <c r="C33" s="129" t="s">
        <v>148</v>
      </c>
      <c r="D33" s="130" t="s">
        <v>149</v>
      </c>
      <c r="E33" s="131" t="s">
        <v>137</v>
      </c>
      <c r="F33" s="131">
        <v>0.55497234111612004</v>
      </c>
      <c r="G33" s="159">
        <v>16.920000000000002</v>
      </c>
      <c r="H33" s="125">
        <f t="shared" si="1"/>
        <v>9.39</v>
      </c>
      <c r="I33" s="112"/>
      <c r="J33" s="137"/>
    </row>
    <row r="34" spans="1:10" s="155" customFormat="1" ht="25.5" customHeight="1" x14ac:dyDescent="0.25">
      <c r="A34" s="131">
        <v>20</v>
      </c>
      <c r="B34" s="128"/>
      <c r="C34" s="129" t="s">
        <v>150</v>
      </c>
      <c r="D34" s="130" t="s">
        <v>151</v>
      </c>
      <c r="E34" s="131" t="s">
        <v>137</v>
      </c>
      <c r="F34" s="131">
        <v>0.56522887215595996</v>
      </c>
      <c r="G34" s="159">
        <v>6.82</v>
      </c>
      <c r="H34" s="125">
        <f t="shared" si="1"/>
        <v>3.85</v>
      </c>
      <c r="I34" s="112"/>
      <c r="J34" s="137"/>
    </row>
    <row r="35" spans="1:10" s="155" customFormat="1" x14ac:dyDescent="0.25">
      <c r="A35" s="131">
        <v>21</v>
      </c>
      <c r="B35" s="128"/>
      <c r="C35" s="129" t="s">
        <v>152</v>
      </c>
      <c r="D35" s="130" t="s">
        <v>153</v>
      </c>
      <c r="E35" s="131" t="s">
        <v>137</v>
      </c>
      <c r="F35" s="131">
        <v>1.9978925641896E-2</v>
      </c>
      <c r="G35" s="159">
        <v>85.84</v>
      </c>
      <c r="H35" s="125">
        <f t="shared" si="1"/>
        <v>1.71</v>
      </c>
      <c r="I35" s="112"/>
      <c r="J35" s="137"/>
    </row>
    <row r="36" spans="1:10" s="155" customFormat="1" x14ac:dyDescent="0.25">
      <c r="A36" s="131">
        <v>22</v>
      </c>
      <c r="B36" s="128"/>
      <c r="C36" s="129" t="s">
        <v>154</v>
      </c>
      <c r="D36" s="130" t="s">
        <v>155</v>
      </c>
      <c r="E36" s="131" t="s">
        <v>137</v>
      </c>
      <c r="F36" s="131">
        <v>0.55499725502262998</v>
      </c>
      <c r="G36" s="159">
        <v>2.36</v>
      </c>
      <c r="H36" s="125">
        <f t="shared" si="1"/>
        <v>1.31</v>
      </c>
      <c r="I36" s="112"/>
      <c r="J36" s="137"/>
    </row>
    <row r="37" spans="1:10" s="155" customFormat="1" ht="25.5" customHeight="1" x14ac:dyDescent="0.25">
      <c r="A37" s="131">
        <v>23</v>
      </c>
      <c r="B37" s="128"/>
      <c r="C37" s="129" t="s">
        <v>156</v>
      </c>
      <c r="D37" s="130" t="s">
        <v>157</v>
      </c>
      <c r="E37" s="131" t="s">
        <v>137</v>
      </c>
      <c r="F37" s="131">
        <v>0.72654078126829003</v>
      </c>
      <c r="G37" s="159">
        <v>1.7</v>
      </c>
      <c r="H37" s="125">
        <f t="shared" si="1"/>
        <v>1.24</v>
      </c>
      <c r="I37" s="112"/>
      <c r="J37" s="137"/>
    </row>
    <row r="38" spans="1:10" s="155" customFormat="1" x14ac:dyDescent="0.25">
      <c r="A38" s="131">
        <v>24</v>
      </c>
      <c r="B38" s="128"/>
      <c r="C38" s="129" t="s">
        <v>158</v>
      </c>
      <c r="D38" s="130" t="s">
        <v>159</v>
      </c>
      <c r="E38" s="131" t="s">
        <v>137</v>
      </c>
      <c r="F38" s="131">
        <v>0.54464588449953</v>
      </c>
      <c r="G38" s="159">
        <v>0.9</v>
      </c>
      <c r="H38" s="125">
        <f t="shared" si="1"/>
        <v>0.49</v>
      </c>
      <c r="I38" s="112"/>
      <c r="J38" s="137"/>
    </row>
    <row r="39" spans="1:10" ht="15" customHeight="1" x14ac:dyDescent="0.25">
      <c r="A39" s="228" t="s">
        <v>43</v>
      </c>
      <c r="B39" s="229"/>
      <c r="C39" s="230"/>
      <c r="D39" s="230"/>
      <c r="E39" s="229"/>
      <c r="F39" s="10"/>
      <c r="G39" s="10"/>
      <c r="H39" s="123">
        <f>SUM(H40:H45)</f>
        <v>510175.86</v>
      </c>
      <c r="I39"/>
    </row>
    <row r="40" spans="1:10" ht="25.5" customHeight="1" x14ac:dyDescent="0.25">
      <c r="A40" s="160">
        <v>25</v>
      </c>
      <c r="B40" s="128"/>
      <c r="C40" s="129" t="s">
        <v>160</v>
      </c>
      <c r="D40" s="130" t="s">
        <v>161</v>
      </c>
      <c r="E40" s="131" t="s">
        <v>162</v>
      </c>
      <c r="F40" s="160">
        <v>1.0000002148439</v>
      </c>
      <c r="G40" s="125">
        <v>183336.36</v>
      </c>
      <c r="H40" s="125">
        <f t="shared" ref="H40:H45" si="2">ROUND(F40*G40,2)</f>
        <v>183336.4</v>
      </c>
    </row>
    <row r="41" spans="1:10" x14ac:dyDescent="0.25">
      <c r="A41" s="160">
        <v>26</v>
      </c>
      <c r="B41" s="128"/>
      <c r="C41" s="129" t="s">
        <v>160</v>
      </c>
      <c r="D41" s="130" t="s">
        <v>163</v>
      </c>
      <c r="E41" s="131" t="s">
        <v>162</v>
      </c>
      <c r="F41" s="160">
        <v>1.0000002262493</v>
      </c>
      <c r="G41" s="125">
        <v>161904</v>
      </c>
      <c r="H41" s="125">
        <f t="shared" si="2"/>
        <v>161904.04</v>
      </c>
      <c r="I41" s="137"/>
    </row>
    <row r="42" spans="1:10" ht="25.5" customHeight="1" x14ac:dyDescent="0.25">
      <c r="A42" s="160">
        <v>27</v>
      </c>
      <c r="B42" s="128"/>
      <c r="C42" s="129" t="s">
        <v>160</v>
      </c>
      <c r="D42" s="130" t="s">
        <v>164</v>
      </c>
      <c r="E42" s="131" t="s">
        <v>162</v>
      </c>
      <c r="F42" s="160">
        <v>1.0000001890071999</v>
      </c>
      <c r="G42" s="125">
        <v>146812</v>
      </c>
      <c r="H42" s="125">
        <f t="shared" si="2"/>
        <v>146812.03</v>
      </c>
      <c r="I42" s="137"/>
    </row>
    <row r="43" spans="1:10" ht="25.5" customHeight="1" x14ac:dyDescent="0.25">
      <c r="A43" s="160">
        <v>29</v>
      </c>
      <c r="B43" s="128"/>
      <c r="C43" s="129" t="s">
        <v>160</v>
      </c>
      <c r="D43" s="130" t="s">
        <v>165</v>
      </c>
      <c r="E43" s="131" t="s">
        <v>162</v>
      </c>
      <c r="F43" s="160">
        <v>1.0000004567762999</v>
      </c>
      <c r="G43" s="125">
        <v>13427</v>
      </c>
      <c r="H43" s="125">
        <f t="shared" si="2"/>
        <v>13427.01</v>
      </c>
      <c r="I43" s="137"/>
    </row>
    <row r="44" spans="1:10" ht="25.5" customHeight="1" x14ac:dyDescent="0.25">
      <c r="A44" s="160">
        <v>30</v>
      </c>
      <c r="B44" s="128"/>
      <c r="C44" s="129" t="s">
        <v>166</v>
      </c>
      <c r="D44" s="130" t="s">
        <v>167</v>
      </c>
      <c r="E44" s="131" t="s">
        <v>162</v>
      </c>
      <c r="F44" s="160">
        <v>0.50000007475900998</v>
      </c>
      <c r="G44" s="125">
        <v>9392.75</v>
      </c>
      <c r="H44" s="125">
        <f t="shared" si="2"/>
        <v>4696.38</v>
      </c>
    </row>
    <row r="45" spans="1:10" x14ac:dyDescent="0.25">
      <c r="A45" s="160">
        <v>31</v>
      </c>
      <c r="B45" s="128"/>
      <c r="C45" s="129" t="s">
        <v>160</v>
      </c>
      <c r="D45" s="130" t="s">
        <v>168</v>
      </c>
      <c r="E45" s="131" t="s">
        <v>162</v>
      </c>
      <c r="F45" s="160">
        <v>0.50000017379196005</v>
      </c>
      <c r="G45" s="125">
        <v>0</v>
      </c>
      <c r="H45" s="125">
        <f t="shared" si="2"/>
        <v>0</v>
      </c>
      <c r="I45" s="137"/>
    </row>
    <row r="46" spans="1:10" x14ac:dyDescent="0.25">
      <c r="A46" s="228" t="s">
        <v>169</v>
      </c>
      <c r="B46" s="229"/>
      <c r="C46" s="230"/>
      <c r="D46" s="230"/>
      <c r="E46" s="229"/>
      <c r="F46" s="140"/>
      <c r="G46" s="126"/>
      <c r="H46" s="123">
        <f>SUM(H47:H112)</f>
        <v>3257.369999999999</v>
      </c>
    </row>
    <row r="47" spans="1:10" x14ac:dyDescent="0.25">
      <c r="A47" s="160">
        <v>32</v>
      </c>
      <c r="B47" s="128"/>
      <c r="C47" s="129" t="s">
        <v>170</v>
      </c>
      <c r="D47" s="130" t="s">
        <v>171</v>
      </c>
      <c r="E47" s="131" t="s">
        <v>172</v>
      </c>
      <c r="F47" s="131">
        <v>47.940127188026999</v>
      </c>
      <c r="G47" s="125">
        <v>30.6</v>
      </c>
      <c r="H47" s="125">
        <f t="shared" ref="H47:H78" si="3">ROUND(F47*G47,2)</f>
        <v>1466.97</v>
      </c>
      <c r="I47" s="137"/>
    </row>
    <row r="48" spans="1:10" x14ac:dyDescent="0.25">
      <c r="A48" s="160">
        <v>33</v>
      </c>
      <c r="B48" s="128"/>
      <c r="C48" s="129" t="s">
        <v>173</v>
      </c>
      <c r="D48" s="130" t="s">
        <v>174</v>
      </c>
      <c r="E48" s="131" t="s">
        <v>175</v>
      </c>
      <c r="F48" s="131">
        <v>3.7199822079437998E-2</v>
      </c>
      <c r="G48" s="125">
        <v>5763</v>
      </c>
      <c r="H48" s="125">
        <f t="shared" si="3"/>
        <v>214.38</v>
      </c>
      <c r="I48" s="137"/>
    </row>
    <row r="49" spans="1:9" x14ac:dyDescent="0.25">
      <c r="A49" s="160">
        <v>34</v>
      </c>
      <c r="B49" s="128"/>
      <c r="C49" s="129" t="s">
        <v>176</v>
      </c>
      <c r="D49" s="130" t="s">
        <v>177</v>
      </c>
      <c r="E49" s="131" t="s">
        <v>178</v>
      </c>
      <c r="F49" s="131">
        <v>0.25499711516277002</v>
      </c>
      <c r="G49" s="125">
        <v>580</v>
      </c>
      <c r="H49" s="125">
        <f t="shared" si="3"/>
        <v>147.9</v>
      </c>
    </row>
    <row r="50" spans="1:9" ht="25.5" customHeight="1" x14ac:dyDescent="0.25">
      <c r="A50" s="160">
        <v>35</v>
      </c>
      <c r="B50" s="128"/>
      <c r="C50" s="129" t="s">
        <v>179</v>
      </c>
      <c r="D50" s="130" t="s">
        <v>180</v>
      </c>
      <c r="E50" s="131" t="s">
        <v>181</v>
      </c>
      <c r="F50" s="131">
        <v>128.32354824808999</v>
      </c>
      <c r="G50" s="125">
        <v>1</v>
      </c>
      <c r="H50" s="125">
        <f t="shared" si="3"/>
        <v>128.32</v>
      </c>
      <c r="I50" s="137"/>
    </row>
    <row r="51" spans="1:9" x14ac:dyDescent="0.25">
      <c r="A51" s="160">
        <v>36</v>
      </c>
      <c r="B51" s="128"/>
      <c r="C51" s="129" t="s">
        <v>182</v>
      </c>
      <c r="D51" s="130" t="s">
        <v>183</v>
      </c>
      <c r="E51" s="131" t="s">
        <v>175</v>
      </c>
      <c r="F51" s="131">
        <v>1.4999830303692001E-2</v>
      </c>
      <c r="G51" s="125">
        <v>6800</v>
      </c>
      <c r="H51" s="125">
        <f t="shared" si="3"/>
        <v>102</v>
      </c>
      <c r="I51" s="137"/>
    </row>
    <row r="52" spans="1:9" ht="25.5" customHeight="1" x14ac:dyDescent="0.25">
      <c r="A52" s="160">
        <v>37</v>
      </c>
      <c r="B52" s="128"/>
      <c r="C52" s="129" t="s">
        <v>184</v>
      </c>
      <c r="D52" s="130" t="s">
        <v>185</v>
      </c>
      <c r="E52" s="131" t="s">
        <v>175</v>
      </c>
      <c r="F52" s="131">
        <v>1.6999448511981E-2</v>
      </c>
      <c r="G52" s="125">
        <v>5941.89</v>
      </c>
      <c r="H52" s="125">
        <f t="shared" si="3"/>
        <v>101.01</v>
      </c>
      <c r="I52" s="137"/>
    </row>
    <row r="53" spans="1:9" ht="25.5" customHeight="1" x14ac:dyDescent="0.25">
      <c r="A53" s="160">
        <v>38</v>
      </c>
      <c r="B53" s="128"/>
      <c r="C53" s="129" t="s">
        <v>186</v>
      </c>
      <c r="D53" s="130" t="s">
        <v>187</v>
      </c>
      <c r="E53" s="131" t="s">
        <v>172</v>
      </c>
      <c r="F53" s="131">
        <v>3.7950973958884999</v>
      </c>
      <c r="G53" s="125">
        <v>23.79</v>
      </c>
      <c r="H53" s="125">
        <f t="shared" si="3"/>
        <v>90.29</v>
      </c>
      <c r="I53" s="137"/>
    </row>
    <row r="54" spans="1:9" ht="51" customHeight="1" x14ac:dyDescent="0.25">
      <c r="A54" s="160">
        <v>39</v>
      </c>
      <c r="B54" s="128"/>
      <c r="C54" s="129" t="s">
        <v>188</v>
      </c>
      <c r="D54" s="130" t="s">
        <v>189</v>
      </c>
      <c r="E54" s="131" t="s">
        <v>190</v>
      </c>
      <c r="F54" s="131">
        <v>2.9999995322349999E-2</v>
      </c>
      <c r="G54" s="125">
        <v>3005.8</v>
      </c>
      <c r="H54" s="125">
        <f t="shared" si="3"/>
        <v>90.17</v>
      </c>
      <c r="I54" s="137"/>
    </row>
    <row r="55" spans="1:9" x14ac:dyDescent="0.25">
      <c r="A55" s="160">
        <v>40</v>
      </c>
      <c r="B55" s="128"/>
      <c r="C55" s="129" t="s">
        <v>191</v>
      </c>
      <c r="D55" s="130" t="s">
        <v>192</v>
      </c>
      <c r="E55" s="131" t="s">
        <v>193</v>
      </c>
      <c r="F55" s="131">
        <v>0.44260789590742999</v>
      </c>
      <c r="G55" s="125">
        <v>155</v>
      </c>
      <c r="H55" s="125">
        <f t="shared" si="3"/>
        <v>68.599999999999994</v>
      </c>
      <c r="I55" s="137"/>
    </row>
    <row r="56" spans="1:9" x14ac:dyDescent="0.25">
      <c r="A56" s="160">
        <v>41</v>
      </c>
      <c r="B56" s="128"/>
      <c r="C56" s="129" t="s">
        <v>194</v>
      </c>
      <c r="D56" s="130" t="s">
        <v>195</v>
      </c>
      <c r="E56" s="131" t="s">
        <v>175</v>
      </c>
      <c r="F56" s="131">
        <v>8.9998981822153005E-4</v>
      </c>
      <c r="G56" s="125">
        <v>75000</v>
      </c>
      <c r="H56" s="125">
        <f t="shared" si="3"/>
        <v>67.5</v>
      </c>
      <c r="I56" s="137"/>
    </row>
    <row r="57" spans="1:9" ht="25.5" customHeight="1" x14ac:dyDescent="0.25">
      <c r="A57" s="160">
        <v>42</v>
      </c>
      <c r="B57" s="128"/>
      <c r="C57" s="129" t="s">
        <v>196</v>
      </c>
      <c r="D57" s="130" t="s">
        <v>197</v>
      </c>
      <c r="E57" s="131" t="s">
        <v>172</v>
      </c>
      <c r="F57" s="131">
        <v>3.8000026841204999</v>
      </c>
      <c r="G57" s="125">
        <v>15.13</v>
      </c>
      <c r="H57" s="125">
        <f t="shared" si="3"/>
        <v>57.49</v>
      </c>
      <c r="I57" s="137"/>
    </row>
    <row r="58" spans="1:9" ht="25.5" customHeight="1" x14ac:dyDescent="0.25">
      <c r="A58" s="160">
        <v>43</v>
      </c>
      <c r="B58" s="128"/>
      <c r="C58" s="129" t="s">
        <v>198</v>
      </c>
      <c r="D58" s="130" t="s">
        <v>199</v>
      </c>
      <c r="E58" s="131" t="s">
        <v>175</v>
      </c>
      <c r="F58" s="131">
        <v>4.4999490911074996E-3</v>
      </c>
      <c r="G58" s="125">
        <v>11500</v>
      </c>
      <c r="H58" s="125">
        <f t="shared" si="3"/>
        <v>51.75</v>
      </c>
      <c r="I58" s="137"/>
    </row>
    <row r="59" spans="1:9" x14ac:dyDescent="0.25">
      <c r="A59" s="160">
        <v>44</v>
      </c>
      <c r="B59" s="128"/>
      <c r="C59" s="129" t="s">
        <v>200</v>
      </c>
      <c r="D59" s="130" t="s">
        <v>201</v>
      </c>
      <c r="E59" s="131" t="s">
        <v>178</v>
      </c>
      <c r="F59" s="131">
        <v>1.609944759107</v>
      </c>
      <c r="G59" s="125">
        <v>30.74</v>
      </c>
      <c r="H59" s="125">
        <f t="shared" si="3"/>
        <v>49.49</v>
      </c>
      <c r="I59" s="137"/>
    </row>
    <row r="60" spans="1:9" ht="25.5" customHeight="1" x14ac:dyDescent="0.25">
      <c r="A60" s="160">
        <v>45</v>
      </c>
      <c r="B60" s="128"/>
      <c r="C60" s="129" t="s">
        <v>202</v>
      </c>
      <c r="D60" s="130" t="s">
        <v>203</v>
      </c>
      <c r="E60" s="131" t="s">
        <v>204</v>
      </c>
      <c r="F60" s="131">
        <v>8.9999782599914993E-3</v>
      </c>
      <c r="G60" s="125">
        <v>4949.3999999999996</v>
      </c>
      <c r="H60" s="125">
        <f t="shared" si="3"/>
        <v>44.54</v>
      </c>
      <c r="I60" s="137"/>
    </row>
    <row r="61" spans="1:9" ht="25.5" customHeight="1" x14ac:dyDescent="0.25">
      <c r="A61" s="160">
        <v>46</v>
      </c>
      <c r="B61" s="128"/>
      <c r="C61" s="129" t="s">
        <v>205</v>
      </c>
      <c r="D61" s="130" t="s">
        <v>206</v>
      </c>
      <c r="E61" s="131" t="s">
        <v>175</v>
      </c>
      <c r="F61" s="131">
        <v>1.6500373050742001E-3</v>
      </c>
      <c r="G61" s="125">
        <v>26932.42</v>
      </c>
      <c r="H61" s="125">
        <f t="shared" si="3"/>
        <v>44.44</v>
      </c>
      <c r="I61" s="137"/>
    </row>
    <row r="62" spans="1:9" ht="25.5" customHeight="1" x14ac:dyDescent="0.25">
      <c r="A62" s="160">
        <v>47</v>
      </c>
      <c r="B62" s="128"/>
      <c r="C62" s="129" t="s">
        <v>207</v>
      </c>
      <c r="D62" s="130" t="s">
        <v>208</v>
      </c>
      <c r="E62" s="131" t="s">
        <v>193</v>
      </c>
      <c r="F62" s="131">
        <v>0.64349081890922999</v>
      </c>
      <c r="G62" s="125">
        <v>65.75</v>
      </c>
      <c r="H62" s="125">
        <f t="shared" si="3"/>
        <v>42.31</v>
      </c>
      <c r="I62" s="137"/>
    </row>
    <row r="63" spans="1:9" ht="25.5" customHeight="1" x14ac:dyDescent="0.25">
      <c r="A63" s="160">
        <v>48</v>
      </c>
      <c r="B63" s="128"/>
      <c r="C63" s="129" t="s">
        <v>209</v>
      </c>
      <c r="D63" s="130" t="s">
        <v>210</v>
      </c>
      <c r="E63" s="131" t="s">
        <v>175</v>
      </c>
      <c r="F63" s="131">
        <v>5.9999900783959999E-3</v>
      </c>
      <c r="G63" s="125">
        <v>5891.61</v>
      </c>
      <c r="H63" s="125">
        <f t="shared" si="3"/>
        <v>35.35</v>
      </c>
      <c r="I63" s="137"/>
    </row>
    <row r="64" spans="1:9" ht="38.25" customHeight="1" x14ac:dyDescent="0.25">
      <c r="A64" s="160">
        <v>49</v>
      </c>
      <c r="B64" s="128"/>
      <c r="C64" s="129" t="s">
        <v>211</v>
      </c>
      <c r="D64" s="130" t="s">
        <v>212</v>
      </c>
      <c r="E64" s="131" t="s">
        <v>175</v>
      </c>
      <c r="F64" s="131">
        <v>5.9998493204077999E-3</v>
      </c>
      <c r="G64" s="125">
        <v>5817.58</v>
      </c>
      <c r="H64" s="125">
        <f t="shared" si="3"/>
        <v>34.9</v>
      </c>
      <c r="I64" s="137"/>
    </row>
    <row r="65" spans="1:9" ht="25.5" customHeight="1" x14ac:dyDescent="0.25">
      <c r="A65" s="160">
        <v>50</v>
      </c>
      <c r="B65" s="128"/>
      <c r="C65" s="129" t="s">
        <v>213</v>
      </c>
      <c r="D65" s="130" t="s">
        <v>214</v>
      </c>
      <c r="E65" s="131" t="s">
        <v>193</v>
      </c>
      <c r="F65" s="131">
        <v>0.51050272952342002</v>
      </c>
      <c r="G65" s="125">
        <v>68.05</v>
      </c>
      <c r="H65" s="125">
        <f t="shared" si="3"/>
        <v>34.74</v>
      </c>
      <c r="I65" s="137"/>
    </row>
    <row r="66" spans="1:9" x14ac:dyDescent="0.25">
      <c r="A66" s="160">
        <v>51</v>
      </c>
      <c r="B66" s="128"/>
      <c r="C66" s="129" t="s">
        <v>215</v>
      </c>
      <c r="D66" s="130" t="s">
        <v>216</v>
      </c>
      <c r="E66" s="131" t="s">
        <v>175</v>
      </c>
      <c r="F66" s="131">
        <v>1.0999719924967E-3</v>
      </c>
      <c r="G66" s="125">
        <v>28300.400000000001</v>
      </c>
      <c r="H66" s="125">
        <f t="shared" si="3"/>
        <v>31.13</v>
      </c>
      <c r="I66" s="137"/>
    </row>
    <row r="67" spans="1:9" x14ac:dyDescent="0.25">
      <c r="A67" s="160">
        <v>52</v>
      </c>
      <c r="B67" s="128"/>
      <c r="C67" s="129" t="s">
        <v>217</v>
      </c>
      <c r="D67" s="130" t="s">
        <v>218</v>
      </c>
      <c r="E67" s="131" t="s">
        <v>178</v>
      </c>
      <c r="F67" s="131">
        <v>0.34499609698492001</v>
      </c>
      <c r="G67" s="125">
        <v>83</v>
      </c>
      <c r="H67" s="125">
        <f t="shared" si="3"/>
        <v>28.63</v>
      </c>
      <c r="I67" s="137"/>
    </row>
    <row r="68" spans="1:9" x14ac:dyDescent="0.25">
      <c r="A68" s="160">
        <v>53</v>
      </c>
      <c r="B68" s="128"/>
      <c r="C68" s="129" t="s">
        <v>219</v>
      </c>
      <c r="D68" s="130" t="s">
        <v>220</v>
      </c>
      <c r="E68" s="131" t="s">
        <v>193</v>
      </c>
      <c r="F68" s="131">
        <v>0.85000098292050996</v>
      </c>
      <c r="G68" s="125">
        <v>32.6</v>
      </c>
      <c r="H68" s="125">
        <f t="shared" si="3"/>
        <v>27.71</v>
      </c>
      <c r="I68" s="137"/>
    </row>
    <row r="69" spans="1:9" x14ac:dyDescent="0.25">
      <c r="A69" s="160">
        <v>54</v>
      </c>
      <c r="B69" s="128"/>
      <c r="C69" s="129" t="s">
        <v>221</v>
      </c>
      <c r="D69" s="130" t="s">
        <v>222</v>
      </c>
      <c r="E69" s="131" t="s">
        <v>175</v>
      </c>
      <c r="F69" s="131">
        <v>2.1998946615954E-3</v>
      </c>
      <c r="G69" s="125">
        <v>12430</v>
      </c>
      <c r="H69" s="125">
        <f t="shared" si="3"/>
        <v>27.34</v>
      </c>
      <c r="I69" s="137"/>
    </row>
    <row r="70" spans="1:9" ht="38.25" customHeight="1" x14ac:dyDescent="0.25">
      <c r="A70" s="160">
        <v>55</v>
      </c>
      <c r="B70" s="128"/>
      <c r="C70" s="129" t="s">
        <v>223</v>
      </c>
      <c r="D70" s="130" t="s">
        <v>224</v>
      </c>
      <c r="E70" s="131" t="s">
        <v>193</v>
      </c>
      <c r="F70" s="131">
        <v>0.29247239503415001</v>
      </c>
      <c r="G70" s="125">
        <v>91.29</v>
      </c>
      <c r="H70" s="125">
        <f t="shared" si="3"/>
        <v>26.7</v>
      </c>
      <c r="I70" s="137"/>
    </row>
    <row r="71" spans="1:9" x14ac:dyDescent="0.25">
      <c r="A71" s="160">
        <v>56</v>
      </c>
      <c r="B71" s="128"/>
      <c r="C71" s="129" t="s">
        <v>225</v>
      </c>
      <c r="D71" s="130" t="s">
        <v>226</v>
      </c>
      <c r="E71" s="131" t="s">
        <v>175</v>
      </c>
      <c r="F71" s="131">
        <v>2.3000201864098002E-3</v>
      </c>
      <c r="G71" s="125">
        <v>10315.01</v>
      </c>
      <c r="H71" s="125">
        <f t="shared" si="3"/>
        <v>23.72</v>
      </c>
      <c r="I71" s="137"/>
    </row>
    <row r="72" spans="1:9" x14ac:dyDescent="0.25">
      <c r="A72" s="160">
        <v>57</v>
      </c>
      <c r="B72" s="128"/>
      <c r="C72" s="129" t="s">
        <v>227</v>
      </c>
      <c r="D72" s="130" t="s">
        <v>228</v>
      </c>
      <c r="E72" s="131" t="s">
        <v>229</v>
      </c>
      <c r="F72" s="131">
        <v>0.44999490911076001</v>
      </c>
      <c r="G72" s="125">
        <v>39</v>
      </c>
      <c r="H72" s="125">
        <f t="shared" si="3"/>
        <v>17.55</v>
      </c>
      <c r="I72" s="137"/>
    </row>
    <row r="73" spans="1:9" x14ac:dyDescent="0.25">
      <c r="A73" s="160">
        <v>58</v>
      </c>
      <c r="B73" s="128"/>
      <c r="C73" s="129" t="s">
        <v>230</v>
      </c>
      <c r="D73" s="130" t="s">
        <v>231</v>
      </c>
      <c r="E73" s="131" t="s">
        <v>193</v>
      </c>
      <c r="F73" s="131">
        <v>0.35494567358556001</v>
      </c>
      <c r="G73" s="125">
        <v>47.57</v>
      </c>
      <c r="H73" s="125">
        <f t="shared" si="3"/>
        <v>16.88</v>
      </c>
      <c r="I73" s="137"/>
    </row>
    <row r="74" spans="1:9" x14ac:dyDescent="0.25">
      <c r="A74" s="160">
        <v>59</v>
      </c>
      <c r="B74" s="128"/>
      <c r="C74" s="129" t="s">
        <v>232</v>
      </c>
      <c r="D74" s="130" t="s">
        <v>233</v>
      </c>
      <c r="E74" s="131" t="s">
        <v>193</v>
      </c>
      <c r="F74" s="131">
        <v>0.44793104198625999</v>
      </c>
      <c r="G74" s="125">
        <v>35.630000000000003</v>
      </c>
      <c r="H74" s="125">
        <f t="shared" si="3"/>
        <v>15.96</v>
      </c>
      <c r="I74" s="137"/>
    </row>
    <row r="75" spans="1:9" x14ac:dyDescent="0.25">
      <c r="A75" s="160">
        <v>60</v>
      </c>
      <c r="B75" s="128"/>
      <c r="C75" s="129" t="s">
        <v>234</v>
      </c>
      <c r="D75" s="130" t="s">
        <v>235</v>
      </c>
      <c r="E75" s="131" t="s">
        <v>162</v>
      </c>
      <c r="F75" s="131">
        <v>0.2350313329184</v>
      </c>
      <c r="G75" s="125">
        <v>66.819999999999993</v>
      </c>
      <c r="H75" s="125">
        <f t="shared" si="3"/>
        <v>15.7</v>
      </c>
      <c r="I75" s="137"/>
    </row>
    <row r="76" spans="1:9" ht="51" customHeight="1" x14ac:dyDescent="0.25">
      <c r="A76" s="160">
        <v>61</v>
      </c>
      <c r="B76" s="128"/>
      <c r="C76" s="129" t="s">
        <v>236</v>
      </c>
      <c r="D76" s="130" t="s">
        <v>237</v>
      </c>
      <c r="E76" s="131" t="s">
        <v>190</v>
      </c>
      <c r="F76" s="131">
        <v>1.4000804328831E-3</v>
      </c>
      <c r="G76" s="125">
        <v>10534.99</v>
      </c>
      <c r="H76" s="125">
        <f t="shared" si="3"/>
        <v>14.75</v>
      </c>
      <c r="I76" s="137"/>
    </row>
    <row r="77" spans="1:9" x14ac:dyDescent="0.25">
      <c r="A77" s="160">
        <v>62</v>
      </c>
      <c r="B77" s="128"/>
      <c r="C77" s="129" t="s">
        <v>238</v>
      </c>
      <c r="D77" s="130" t="s">
        <v>239</v>
      </c>
      <c r="E77" s="131" t="s">
        <v>229</v>
      </c>
      <c r="F77" s="131">
        <v>0.49998743029575998</v>
      </c>
      <c r="G77" s="125">
        <v>29.4</v>
      </c>
      <c r="H77" s="125">
        <f t="shared" si="3"/>
        <v>14.7</v>
      </c>
      <c r="I77" s="137"/>
    </row>
    <row r="78" spans="1:9" x14ac:dyDescent="0.25">
      <c r="A78" s="160">
        <v>63</v>
      </c>
      <c r="B78" s="128"/>
      <c r="C78" s="129" t="s">
        <v>240</v>
      </c>
      <c r="D78" s="130" t="s">
        <v>241</v>
      </c>
      <c r="E78" s="131" t="s">
        <v>193</v>
      </c>
      <c r="F78" s="131">
        <v>1.5957323687214999</v>
      </c>
      <c r="G78" s="125">
        <v>9.0399999999999991</v>
      </c>
      <c r="H78" s="125">
        <f t="shared" si="3"/>
        <v>14.43</v>
      </c>
      <c r="I78" s="137"/>
    </row>
    <row r="79" spans="1:9" x14ac:dyDescent="0.25">
      <c r="A79" s="160">
        <v>64</v>
      </c>
      <c r="B79" s="128"/>
      <c r="C79" s="129" t="s">
        <v>242</v>
      </c>
      <c r="D79" s="130" t="s">
        <v>243</v>
      </c>
      <c r="E79" s="131" t="s">
        <v>175</v>
      </c>
      <c r="F79" s="131">
        <v>7.0005610060125997E-4</v>
      </c>
      <c r="G79" s="125">
        <v>15620</v>
      </c>
      <c r="H79" s="125">
        <f t="shared" ref="H79:H110" si="4">ROUND(F79*G79,2)</f>
        <v>10.93</v>
      </c>
      <c r="I79" s="137"/>
    </row>
    <row r="80" spans="1:9" x14ac:dyDescent="0.25">
      <c r="A80" s="160">
        <v>65</v>
      </c>
      <c r="B80" s="128"/>
      <c r="C80" s="129" t="s">
        <v>244</v>
      </c>
      <c r="D80" s="130" t="s">
        <v>245</v>
      </c>
      <c r="E80" s="131" t="s">
        <v>178</v>
      </c>
      <c r="F80" s="131">
        <v>4.9999434345639998E-2</v>
      </c>
      <c r="G80" s="125">
        <v>203</v>
      </c>
      <c r="H80" s="125">
        <f t="shared" si="4"/>
        <v>10.15</v>
      </c>
      <c r="I80" s="137"/>
    </row>
    <row r="81" spans="1:9" ht="25.5" customHeight="1" x14ac:dyDescent="0.25">
      <c r="A81" s="160">
        <v>66</v>
      </c>
      <c r="B81" s="128"/>
      <c r="C81" s="129" t="s">
        <v>246</v>
      </c>
      <c r="D81" s="130" t="s">
        <v>247</v>
      </c>
      <c r="E81" s="131" t="s">
        <v>172</v>
      </c>
      <c r="F81" s="131">
        <v>0.79506494544978001</v>
      </c>
      <c r="G81" s="125">
        <v>12.37</v>
      </c>
      <c r="H81" s="125">
        <f t="shared" si="4"/>
        <v>9.83</v>
      </c>
      <c r="I81" s="137"/>
    </row>
    <row r="82" spans="1:9" x14ac:dyDescent="0.25">
      <c r="A82" s="160">
        <v>67</v>
      </c>
      <c r="B82" s="128"/>
      <c r="C82" s="129" t="s">
        <v>248</v>
      </c>
      <c r="D82" s="130" t="s">
        <v>249</v>
      </c>
      <c r="E82" s="131" t="s">
        <v>229</v>
      </c>
      <c r="F82" s="131">
        <v>0.47008558162661002</v>
      </c>
      <c r="G82" s="125">
        <v>19.899999999999999</v>
      </c>
      <c r="H82" s="125">
        <f t="shared" si="4"/>
        <v>9.35</v>
      </c>
      <c r="I82" s="137"/>
    </row>
    <row r="83" spans="1:9" x14ac:dyDescent="0.25">
      <c r="A83" s="160">
        <v>68</v>
      </c>
      <c r="B83" s="128"/>
      <c r="C83" s="129" t="s">
        <v>250</v>
      </c>
      <c r="D83" s="130" t="s">
        <v>251</v>
      </c>
      <c r="E83" s="131" t="s">
        <v>178</v>
      </c>
      <c r="F83" s="131">
        <v>0.29003874516771999</v>
      </c>
      <c r="G83" s="125">
        <v>26.6</v>
      </c>
      <c r="H83" s="125">
        <f t="shared" si="4"/>
        <v>7.72</v>
      </c>
      <c r="I83" s="137"/>
    </row>
    <row r="84" spans="1:9" ht="25.5" customHeight="1" x14ac:dyDescent="0.25">
      <c r="A84" s="160">
        <v>69</v>
      </c>
      <c r="B84" s="128"/>
      <c r="C84" s="129" t="s">
        <v>252</v>
      </c>
      <c r="D84" s="130" t="s">
        <v>253</v>
      </c>
      <c r="E84" s="131" t="s">
        <v>193</v>
      </c>
      <c r="F84" s="131">
        <v>0.17500902016482001</v>
      </c>
      <c r="G84" s="125">
        <v>38.340000000000003</v>
      </c>
      <c r="H84" s="125">
        <f t="shared" si="4"/>
        <v>6.71</v>
      </c>
      <c r="I84" s="137"/>
    </row>
    <row r="85" spans="1:9" x14ac:dyDescent="0.25">
      <c r="A85" s="160">
        <v>70</v>
      </c>
      <c r="B85" s="128"/>
      <c r="C85" s="129" t="s">
        <v>254</v>
      </c>
      <c r="D85" s="130" t="s">
        <v>255</v>
      </c>
      <c r="E85" s="131" t="s">
        <v>204</v>
      </c>
      <c r="F85" s="131">
        <v>9.8498885660909998E-3</v>
      </c>
      <c r="G85" s="125">
        <v>600</v>
      </c>
      <c r="H85" s="125">
        <f t="shared" si="4"/>
        <v>5.91</v>
      </c>
      <c r="I85" s="137"/>
    </row>
    <row r="86" spans="1:9" x14ac:dyDescent="0.25">
      <c r="A86" s="160">
        <v>71</v>
      </c>
      <c r="B86" s="128"/>
      <c r="C86" s="129" t="s">
        <v>256</v>
      </c>
      <c r="D86" s="130" t="s">
        <v>257</v>
      </c>
      <c r="E86" s="131" t="s">
        <v>178</v>
      </c>
      <c r="F86" s="131">
        <v>6.3022542826364006E-2</v>
      </c>
      <c r="G86" s="125">
        <v>86</v>
      </c>
      <c r="H86" s="125">
        <f t="shared" si="4"/>
        <v>5.42</v>
      </c>
      <c r="I86" s="137"/>
    </row>
    <row r="87" spans="1:9" x14ac:dyDescent="0.25">
      <c r="A87" s="160">
        <v>72</v>
      </c>
      <c r="B87" s="128"/>
      <c r="C87" s="129" t="s">
        <v>258</v>
      </c>
      <c r="D87" s="130" t="s">
        <v>259</v>
      </c>
      <c r="E87" s="131" t="s">
        <v>193</v>
      </c>
      <c r="F87" s="131">
        <v>0.16206340710750999</v>
      </c>
      <c r="G87" s="125">
        <v>28.6</v>
      </c>
      <c r="H87" s="125">
        <f t="shared" si="4"/>
        <v>4.6399999999999997</v>
      </c>
      <c r="I87" s="137"/>
    </row>
    <row r="88" spans="1:9" x14ac:dyDescent="0.25">
      <c r="A88" s="160">
        <v>73</v>
      </c>
      <c r="B88" s="128"/>
      <c r="C88" s="129" t="s">
        <v>260</v>
      </c>
      <c r="D88" s="130" t="s">
        <v>261</v>
      </c>
      <c r="E88" s="131" t="s">
        <v>175</v>
      </c>
      <c r="F88" s="131">
        <v>4.5010106502232997E-4</v>
      </c>
      <c r="G88" s="125">
        <v>9420</v>
      </c>
      <c r="H88" s="125">
        <f t="shared" si="4"/>
        <v>4.24</v>
      </c>
      <c r="I88" s="137"/>
    </row>
    <row r="89" spans="1:9" x14ac:dyDescent="0.25">
      <c r="A89" s="160">
        <v>74</v>
      </c>
      <c r="B89" s="128"/>
      <c r="C89" s="129" t="s">
        <v>262</v>
      </c>
      <c r="D89" s="130" t="s">
        <v>263</v>
      </c>
      <c r="E89" s="131" t="s">
        <v>264</v>
      </c>
      <c r="F89" s="131">
        <v>1.5055385230741999E-2</v>
      </c>
      <c r="G89" s="125">
        <v>270</v>
      </c>
      <c r="H89" s="125">
        <f t="shared" si="4"/>
        <v>4.0599999999999996</v>
      </c>
      <c r="I89" s="137"/>
    </row>
    <row r="90" spans="1:9" x14ac:dyDescent="0.25">
      <c r="A90" s="160">
        <v>75</v>
      </c>
      <c r="B90" s="128"/>
      <c r="C90" s="129" t="s">
        <v>265</v>
      </c>
      <c r="D90" s="130" t="s">
        <v>266</v>
      </c>
      <c r="E90" s="131" t="s">
        <v>175</v>
      </c>
      <c r="F90" s="131">
        <v>3.5000779979084E-4</v>
      </c>
      <c r="G90" s="125">
        <v>10971.06</v>
      </c>
      <c r="H90" s="125">
        <f t="shared" si="4"/>
        <v>3.84</v>
      </c>
      <c r="I90" s="137"/>
    </row>
    <row r="91" spans="1:9" x14ac:dyDescent="0.25">
      <c r="A91" s="160">
        <v>76</v>
      </c>
      <c r="B91" s="128"/>
      <c r="C91" s="129" t="s">
        <v>267</v>
      </c>
      <c r="D91" s="130" t="s">
        <v>268</v>
      </c>
      <c r="E91" s="131" t="s">
        <v>193</v>
      </c>
      <c r="F91" s="131">
        <v>0.31503537450063002</v>
      </c>
      <c r="G91" s="125">
        <v>10.57</v>
      </c>
      <c r="H91" s="125">
        <f t="shared" si="4"/>
        <v>3.33</v>
      </c>
      <c r="I91" s="137"/>
    </row>
    <row r="92" spans="1:9" ht="25.5" customHeight="1" x14ac:dyDescent="0.25">
      <c r="A92" s="160">
        <v>77</v>
      </c>
      <c r="B92" s="128"/>
      <c r="C92" s="129" t="s">
        <v>269</v>
      </c>
      <c r="D92" s="130" t="s">
        <v>270</v>
      </c>
      <c r="E92" s="131" t="s">
        <v>193</v>
      </c>
      <c r="F92" s="131">
        <v>9.9929725134709005E-2</v>
      </c>
      <c r="G92" s="125">
        <v>28.22</v>
      </c>
      <c r="H92" s="125">
        <f t="shared" si="4"/>
        <v>2.82</v>
      </c>
      <c r="I92" s="137"/>
    </row>
    <row r="93" spans="1:9" x14ac:dyDescent="0.25">
      <c r="A93" s="160">
        <v>78</v>
      </c>
      <c r="B93" s="128"/>
      <c r="C93" s="129" t="s">
        <v>271</v>
      </c>
      <c r="D93" s="130" t="s">
        <v>272</v>
      </c>
      <c r="E93" s="131" t="s">
        <v>175</v>
      </c>
      <c r="F93" s="131">
        <v>4.9961653625568998E-5</v>
      </c>
      <c r="G93" s="125">
        <v>52539.7</v>
      </c>
      <c r="H93" s="125">
        <f t="shared" si="4"/>
        <v>2.62</v>
      </c>
      <c r="I93" s="137"/>
    </row>
    <row r="94" spans="1:9" x14ac:dyDescent="0.25">
      <c r="A94" s="160">
        <v>79</v>
      </c>
      <c r="B94" s="128"/>
      <c r="C94" s="129" t="s">
        <v>273</v>
      </c>
      <c r="D94" s="130" t="s">
        <v>274</v>
      </c>
      <c r="E94" s="131" t="s">
        <v>193</v>
      </c>
      <c r="F94" s="131">
        <v>9.3991925186565004E-2</v>
      </c>
      <c r="G94" s="125">
        <v>25.8</v>
      </c>
      <c r="H94" s="125">
        <f t="shared" si="4"/>
        <v>2.42</v>
      </c>
      <c r="I94" s="137"/>
    </row>
    <row r="95" spans="1:9" ht="25.5" customHeight="1" x14ac:dyDescent="0.25">
      <c r="A95" s="160">
        <v>80</v>
      </c>
      <c r="B95" s="128"/>
      <c r="C95" s="129" t="s">
        <v>275</v>
      </c>
      <c r="D95" s="130" t="s">
        <v>276</v>
      </c>
      <c r="E95" s="131" t="s">
        <v>193</v>
      </c>
      <c r="F95" s="131">
        <v>9.5926030652157004E-2</v>
      </c>
      <c r="G95" s="125">
        <v>23.09</v>
      </c>
      <c r="H95" s="125">
        <f t="shared" si="4"/>
        <v>2.21</v>
      </c>
      <c r="I95" s="137"/>
    </row>
    <row r="96" spans="1:9" x14ac:dyDescent="0.25">
      <c r="A96" s="160">
        <v>81</v>
      </c>
      <c r="B96" s="128"/>
      <c r="C96" s="129" t="s">
        <v>277</v>
      </c>
      <c r="D96" s="130" t="s">
        <v>278</v>
      </c>
      <c r="E96" s="131" t="s">
        <v>279</v>
      </c>
      <c r="F96" s="131">
        <v>0.22507980082397999</v>
      </c>
      <c r="G96" s="125">
        <v>8.33</v>
      </c>
      <c r="H96" s="125">
        <f t="shared" si="4"/>
        <v>1.87</v>
      </c>
      <c r="I96" s="137"/>
    </row>
    <row r="97" spans="1:9" ht="25.5" customHeight="1" x14ac:dyDescent="0.25">
      <c r="A97" s="160">
        <v>82</v>
      </c>
      <c r="B97" s="128"/>
      <c r="C97" s="129" t="s">
        <v>280</v>
      </c>
      <c r="D97" s="130" t="s">
        <v>281</v>
      </c>
      <c r="E97" s="131" t="s">
        <v>175</v>
      </c>
      <c r="F97" s="131">
        <v>4.9976778206187002E-5</v>
      </c>
      <c r="G97" s="125">
        <v>37517</v>
      </c>
      <c r="H97" s="125">
        <f t="shared" si="4"/>
        <v>1.87</v>
      </c>
      <c r="I97" s="137"/>
    </row>
    <row r="98" spans="1:9" ht="25.5" customHeight="1" x14ac:dyDescent="0.25">
      <c r="A98" s="160">
        <v>83</v>
      </c>
      <c r="B98" s="128"/>
      <c r="C98" s="129" t="s">
        <v>282</v>
      </c>
      <c r="D98" s="130" t="s">
        <v>283</v>
      </c>
      <c r="E98" s="131" t="s">
        <v>193</v>
      </c>
      <c r="F98" s="131">
        <v>5.3946036751767998E-2</v>
      </c>
      <c r="G98" s="125">
        <v>30.4</v>
      </c>
      <c r="H98" s="125">
        <f t="shared" si="4"/>
        <v>1.64</v>
      </c>
      <c r="I98" s="137"/>
    </row>
    <row r="99" spans="1:9" x14ac:dyDescent="0.25">
      <c r="A99" s="160">
        <v>84</v>
      </c>
      <c r="B99" s="128"/>
      <c r="C99" s="129" t="s">
        <v>284</v>
      </c>
      <c r="D99" s="130" t="s">
        <v>285</v>
      </c>
      <c r="E99" s="131" t="s">
        <v>193</v>
      </c>
      <c r="F99" s="131">
        <v>3.2021332651027003E-2</v>
      </c>
      <c r="G99" s="125">
        <v>44.97</v>
      </c>
      <c r="H99" s="125">
        <f t="shared" si="4"/>
        <v>1.44</v>
      </c>
      <c r="I99" s="137"/>
    </row>
    <row r="100" spans="1:9" x14ac:dyDescent="0.25">
      <c r="A100" s="160">
        <v>85</v>
      </c>
      <c r="B100" s="128"/>
      <c r="C100" s="129" t="s">
        <v>286</v>
      </c>
      <c r="D100" s="130" t="s">
        <v>287</v>
      </c>
      <c r="E100" s="131" t="s">
        <v>288</v>
      </c>
      <c r="F100" s="131">
        <v>2.5066383085280999E-2</v>
      </c>
      <c r="G100" s="125">
        <v>37.5</v>
      </c>
      <c r="H100" s="125">
        <f t="shared" si="4"/>
        <v>0.94</v>
      </c>
      <c r="I100" s="137"/>
    </row>
    <row r="101" spans="1:9" x14ac:dyDescent="0.25">
      <c r="A101" s="160">
        <v>86</v>
      </c>
      <c r="B101" s="128"/>
      <c r="C101" s="129" t="s">
        <v>289</v>
      </c>
      <c r="D101" s="130" t="s">
        <v>290</v>
      </c>
      <c r="E101" s="131" t="s">
        <v>291</v>
      </c>
      <c r="F101" s="131">
        <v>2.3475876544337</v>
      </c>
      <c r="G101" s="125">
        <v>0.4</v>
      </c>
      <c r="H101" s="125">
        <f t="shared" si="4"/>
        <v>0.94</v>
      </c>
      <c r="I101" s="137"/>
    </row>
    <row r="102" spans="1:9" x14ac:dyDescent="0.25">
      <c r="A102" s="160">
        <v>87</v>
      </c>
      <c r="B102" s="128"/>
      <c r="C102" s="129" t="s">
        <v>292</v>
      </c>
      <c r="D102" s="130" t="s">
        <v>293</v>
      </c>
      <c r="E102" s="131" t="s">
        <v>175</v>
      </c>
      <c r="F102" s="131">
        <v>1.1027579544444E-3</v>
      </c>
      <c r="G102" s="125">
        <v>729.98</v>
      </c>
      <c r="H102" s="125">
        <f t="shared" si="4"/>
        <v>0.8</v>
      </c>
      <c r="I102" s="137"/>
    </row>
    <row r="103" spans="1:9" x14ac:dyDescent="0.25">
      <c r="A103" s="160">
        <v>88</v>
      </c>
      <c r="B103" s="128"/>
      <c r="C103" s="129" t="s">
        <v>294</v>
      </c>
      <c r="D103" s="130" t="s">
        <v>295</v>
      </c>
      <c r="E103" s="131" t="s">
        <v>193</v>
      </c>
      <c r="F103" s="131">
        <v>2.5053936958013001E-2</v>
      </c>
      <c r="G103" s="125">
        <v>27.74</v>
      </c>
      <c r="H103" s="125">
        <f t="shared" si="4"/>
        <v>0.69</v>
      </c>
      <c r="I103" s="137"/>
    </row>
    <row r="104" spans="1:9" x14ac:dyDescent="0.25">
      <c r="A104" s="160">
        <v>89</v>
      </c>
      <c r="B104" s="128"/>
      <c r="C104" s="129" t="s">
        <v>296</v>
      </c>
      <c r="D104" s="130" t="s">
        <v>297</v>
      </c>
      <c r="E104" s="131" t="s">
        <v>193</v>
      </c>
      <c r="F104" s="131">
        <v>5.0085854929392002E-3</v>
      </c>
      <c r="G104" s="125">
        <v>138.76</v>
      </c>
      <c r="H104" s="125">
        <f t="shared" si="4"/>
        <v>0.69</v>
      </c>
      <c r="I104" s="137"/>
    </row>
    <row r="105" spans="1:9" x14ac:dyDescent="0.25">
      <c r="A105" s="160">
        <v>90</v>
      </c>
      <c r="B105" s="128"/>
      <c r="C105" s="129" t="s">
        <v>298</v>
      </c>
      <c r="D105" s="130" t="s">
        <v>299</v>
      </c>
      <c r="E105" s="131" t="s">
        <v>175</v>
      </c>
      <c r="F105" s="131">
        <v>9.9743884325334E-5</v>
      </c>
      <c r="G105" s="125">
        <v>6667</v>
      </c>
      <c r="H105" s="125">
        <f t="shared" si="4"/>
        <v>0.66</v>
      </c>
      <c r="I105" s="137"/>
    </row>
    <row r="106" spans="1:9" x14ac:dyDescent="0.25">
      <c r="A106" s="160">
        <v>91</v>
      </c>
      <c r="B106" s="128"/>
      <c r="C106" s="129" t="s">
        <v>300</v>
      </c>
      <c r="D106" s="130" t="s">
        <v>301</v>
      </c>
      <c r="E106" s="131" t="s">
        <v>193</v>
      </c>
      <c r="F106" s="131">
        <v>4.5095387352168002E-3</v>
      </c>
      <c r="G106" s="125">
        <v>133.05000000000001</v>
      </c>
      <c r="H106" s="125">
        <f t="shared" si="4"/>
        <v>0.6</v>
      </c>
      <c r="I106" s="137"/>
    </row>
    <row r="107" spans="1:9" ht="25.5" customHeight="1" x14ac:dyDescent="0.25">
      <c r="A107" s="160">
        <v>92</v>
      </c>
      <c r="B107" s="128"/>
      <c r="C107" s="129" t="s">
        <v>302</v>
      </c>
      <c r="D107" s="130" t="s">
        <v>303</v>
      </c>
      <c r="E107" s="131" t="s">
        <v>193</v>
      </c>
      <c r="F107" s="131">
        <v>4.9903343184181E-3</v>
      </c>
      <c r="G107" s="125">
        <v>114.22</v>
      </c>
      <c r="H107" s="125">
        <f t="shared" si="4"/>
        <v>0.56999999999999995</v>
      </c>
      <c r="I107" s="137"/>
    </row>
    <row r="108" spans="1:9" x14ac:dyDescent="0.25">
      <c r="A108" s="160">
        <v>93</v>
      </c>
      <c r="B108" s="128"/>
      <c r="C108" s="129" t="s">
        <v>304</v>
      </c>
      <c r="D108" s="130" t="s">
        <v>305</v>
      </c>
      <c r="E108" s="131" t="s">
        <v>264</v>
      </c>
      <c r="F108" s="131">
        <v>2.0094351408483E-3</v>
      </c>
      <c r="G108" s="125">
        <v>253.8</v>
      </c>
      <c r="H108" s="125">
        <f t="shared" si="4"/>
        <v>0.51</v>
      </c>
      <c r="I108" s="137"/>
    </row>
    <row r="109" spans="1:9" x14ac:dyDescent="0.25">
      <c r="A109" s="160">
        <v>94</v>
      </c>
      <c r="B109" s="128"/>
      <c r="C109" s="129" t="s">
        <v>306</v>
      </c>
      <c r="D109" s="130" t="s">
        <v>307</v>
      </c>
      <c r="E109" s="131" t="s">
        <v>193</v>
      </c>
      <c r="F109" s="131">
        <v>1.4964125867635E-2</v>
      </c>
      <c r="G109" s="125">
        <v>15.37</v>
      </c>
      <c r="H109" s="125">
        <f t="shared" si="4"/>
        <v>0.23</v>
      </c>
      <c r="I109" s="137"/>
    </row>
    <row r="110" spans="1:9" x14ac:dyDescent="0.25">
      <c r="A110" s="160">
        <v>95</v>
      </c>
      <c r="B110" s="128"/>
      <c r="C110" s="129" t="s">
        <v>308</v>
      </c>
      <c r="D110" s="130" t="s">
        <v>309</v>
      </c>
      <c r="E110" s="131" t="s">
        <v>193</v>
      </c>
      <c r="F110" s="131">
        <v>1.2389091807882001E-2</v>
      </c>
      <c r="G110" s="125">
        <v>16.95</v>
      </c>
      <c r="H110" s="125">
        <f t="shared" si="4"/>
        <v>0.21</v>
      </c>
      <c r="I110" s="137"/>
    </row>
    <row r="111" spans="1:9" x14ac:dyDescent="0.25">
      <c r="A111" s="160">
        <v>96</v>
      </c>
      <c r="B111" s="128"/>
      <c r="C111" s="129" t="s">
        <v>310</v>
      </c>
      <c r="D111" s="130" t="s">
        <v>311</v>
      </c>
      <c r="E111" s="131" t="s">
        <v>193</v>
      </c>
      <c r="F111" s="131">
        <v>2.8284408767493001E-3</v>
      </c>
      <c r="G111" s="125">
        <v>38.89</v>
      </c>
      <c r="H111" s="125">
        <f t="shared" ref="H111:H142" si="5">ROUND(F111*G111,2)</f>
        <v>0.11</v>
      </c>
      <c r="I111" s="137"/>
    </row>
    <row r="112" spans="1:9" x14ac:dyDescent="0.25">
      <c r="A112" s="160">
        <v>97</v>
      </c>
      <c r="B112" s="128"/>
      <c r="C112" s="129" t="s">
        <v>312</v>
      </c>
      <c r="D112" s="130" t="s">
        <v>313</v>
      </c>
      <c r="E112" s="131" t="s">
        <v>193</v>
      </c>
      <c r="F112" s="131">
        <v>4.3477768996208997E-3</v>
      </c>
      <c r="G112" s="125">
        <v>11.5</v>
      </c>
      <c r="H112" s="125">
        <f t="shared" si="5"/>
        <v>0.05</v>
      </c>
      <c r="I112" s="137"/>
    </row>
    <row r="115" spans="2:2" x14ac:dyDescent="0.25">
      <c r="B115" s="112" t="s">
        <v>93</v>
      </c>
    </row>
    <row r="116" spans="2:2" x14ac:dyDescent="0.25">
      <c r="B116" s="115" t="s">
        <v>77</v>
      </c>
    </row>
    <row r="118" spans="2:2" x14ac:dyDescent="0.25">
      <c r="B118" s="112" t="s">
        <v>78</v>
      </c>
    </row>
    <row r="119" spans="2:2" x14ac:dyDescent="0.25">
      <c r="B119" s="115" t="s">
        <v>79</v>
      </c>
    </row>
  </sheetData>
  <mergeCells count="16">
    <mergeCell ref="A4:H4"/>
    <mergeCell ref="A5:H5"/>
    <mergeCell ref="A8:H8"/>
    <mergeCell ref="A9:A10"/>
    <mergeCell ref="B9:B10"/>
    <mergeCell ref="C9:C10"/>
    <mergeCell ref="C6:H6"/>
    <mergeCell ref="F9:F10"/>
    <mergeCell ref="G9:H9"/>
    <mergeCell ref="A24:E24"/>
    <mergeCell ref="A46:E46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6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5" workbookViewId="0">
      <selection activeCell="E50" sqref="E50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0" t="s">
        <v>315</v>
      </c>
      <c r="C5" s="210"/>
      <c r="D5" s="210"/>
      <c r="E5" s="210"/>
    </row>
    <row r="6" spans="2:5" x14ac:dyDescent="0.25">
      <c r="B6" s="161"/>
      <c r="C6" s="4"/>
      <c r="D6" s="4"/>
      <c r="E6" s="4"/>
    </row>
    <row r="7" spans="2:5" ht="38.25" customHeight="1" x14ac:dyDescent="0.25">
      <c r="B7" s="233" t="s">
        <v>316</v>
      </c>
      <c r="C7" s="233"/>
      <c r="D7" s="233"/>
      <c r="E7" s="233"/>
    </row>
    <row r="8" spans="2:5" x14ac:dyDescent="0.25">
      <c r="B8" s="234" t="s">
        <v>50</v>
      </c>
      <c r="C8" s="234"/>
      <c r="D8" s="234"/>
      <c r="E8" s="234"/>
    </row>
    <row r="9" spans="2:5" x14ac:dyDescent="0.25">
      <c r="B9" s="161"/>
      <c r="C9" s="4"/>
      <c r="D9" s="4"/>
      <c r="E9" s="4"/>
    </row>
    <row r="10" spans="2:5" ht="51" customHeight="1" x14ac:dyDescent="0.25">
      <c r="B10" s="2" t="s">
        <v>317</v>
      </c>
      <c r="C10" s="2" t="s">
        <v>318</v>
      </c>
      <c r="D10" s="2" t="s">
        <v>319</v>
      </c>
      <c r="E10" s="2" t="s">
        <v>320</v>
      </c>
    </row>
    <row r="11" spans="2:5" x14ac:dyDescent="0.25">
      <c r="B11" s="117" t="s">
        <v>321</v>
      </c>
      <c r="C11" s="162">
        <f>'Прил.5 Расчет СМР и ОБ'!J14</f>
        <v>296475.15000000002</v>
      </c>
      <c r="D11" s="163">
        <f t="shared" ref="D11:D18" si="0">C11/$C$24</f>
        <v>0.35098784426624846</v>
      </c>
      <c r="E11" s="163">
        <f t="shared" ref="E11:E18" si="1">C11/$C$40</f>
        <v>6.43669341919159E-2</v>
      </c>
    </row>
    <row r="12" spans="2:5" x14ac:dyDescent="0.25">
      <c r="B12" s="117" t="s">
        <v>322</v>
      </c>
      <c r="C12" s="162">
        <f>'Прил.5 Расчет СМР и ОБ'!J20</f>
        <v>31362.77</v>
      </c>
      <c r="D12" s="163">
        <f t="shared" si="0"/>
        <v>3.7129422255181142E-2</v>
      </c>
      <c r="E12" s="163">
        <f t="shared" si="1"/>
        <v>6.8090878870158064E-3</v>
      </c>
    </row>
    <row r="13" spans="2:5" x14ac:dyDescent="0.25">
      <c r="B13" s="117" t="s">
        <v>323</v>
      </c>
      <c r="C13" s="162">
        <f>'Прил.5 Расчет СМР и ОБ'!J32</f>
        <v>2198.0200000000004</v>
      </c>
      <c r="D13" s="163">
        <f t="shared" si="0"/>
        <v>2.6021685171728542E-3</v>
      </c>
      <c r="E13" s="163">
        <f t="shared" si="1"/>
        <v>4.7720629770324773E-4</v>
      </c>
    </row>
    <row r="14" spans="2:5" x14ac:dyDescent="0.25">
      <c r="B14" s="117" t="s">
        <v>324</v>
      </c>
      <c r="C14" s="162">
        <f>C13+C12</f>
        <v>33560.79</v>
      </c>
      <c r="D14" s="163">
        <f t="shared" si="0"/>
        <v>3.9731590772353997E-2</v>
      </c>
      <c r="E14" s="163">
        <f t="shared" si="1"/>
        <v>7.2862941847190539E-3</v>
      </c>
    </row>
    <row r="15" spans="2:5" x14ac:dyDescent="0.25">
      <c r="B15" s="117" t="s">
        <v>325</v>
      </c>
      <c r="C15" s="162">
        <f>'Прил.5 Расчет СМР и ОБ'!J16</f>
        <v>29605.06</v>
      </c>
      <c r="D15" s="163">
        <f t="shared" si="0"/>
        <v>3.504852325320669E-2</v>
      </c>
      <c r="E15" s="163">
        <f t="shared" si="1"/>
        <v>6.4274761266423907E-3</v>
      </c>
    </row>
    <row r="16" spans="2:5" x14ac:dyDescent="0.25">
      <c r="B16" s="117" t="s">
        <v>326</v>
      </c>
      <c r="C16" s="162">
        <f>'Прил.5 Расчет СМР и ОБ'!J65</f>
        <v>27576.57</v>
      </c>
      <c r="D16" s="163">
        <f t="shared" si="0"/>
        <v>3.264705610759383E-2</v>
      </c>
      <c r="E16" s="163">
        <f t="shared" si="1"/>
        <v>5.9870760380044069E-3</v>
      </c>
    </row>
    <row r="17" spans="2:6" x14ac:dyDescent="0.25">
      <c r="B17" s="117" t="s">
        <v>327</v>
      </c>
      <c r="C17" s="162">
        <f>'Прил.5 Расчет СМР и ОБ'!J115</f>
        <v>4476.58</v>
      </c>
      <c r="D17" s="163">
        <f t="shared" si="0"/>
        <v>5.2996858721056465E-3</v>
      </c>
      <c r="E17" s="163">
        <f t="shared" si="1"/>
        <v>9.7189842138488468E-4</v>
      </c>
      <c r="F17" s="164"/>
    </row>
    <row r="18" spans="2:6" x14ac:dyDescent="0.25">
      <c r="B18" s="117" t="s">
        <v>328</v>
      </c>
      <c r="C18" s="162">
        <f>C17+C16</f>
        <v>32053.15</v>
      </c>
      <c r="D18" s="163">
        <f t="shared" si="0"/>
        <v>3.794674197969948E-2</v>
      </c>
      <c r="E18" s="163">
        <f t="shared" si="1"/>
        <v>6.9589744593892919E-3</v>
      </c>
    </row>
    <row r="19" spans="2:6" x14ac:dyDescent="0.25">
      <c r="B19" s="117" t="s">
        <v>329</v>
      </c>
      <c r="C19" s="162">
        <f>C18+C14+C11</f>
        <v>362089.09</v>
      </c>
      <c r="D19" s="163"/>
      <c r="E19" s="117"/>
    </row>
    <row r="20" spans="2:6" x14ac:dyDescent="0.25">
      <c r="B20" s="117" t="s">
        <v>330</v>
      </c>
      <c r="C20" s="162">
        <f>ROUND(C21*(C11+C15),2)</f>
        <v>202169.73</v>
      </c>
      <c r="D20" s="163">
        <f>C20/$C$24</f>
        <v>0.23934254762528831</v>
      </c>
      <c r="E20" s="163">
        <f>C20/$C$40</f>
        <v>4.3892534354084675E-2</v>
      </c>
    </row>
    <row r="21" spans="2:6" x14ac:dyDescent="0.25">
      <c r="B21" s="117" t="s">
        <v>331</v>
      </c>
      <c r="C21" s="165">
        <v>0.62</v>
      </c>
      <c r="D21" s="163"/>
      <c r="E21" s="117"/>
    </row>
    <row r="22" spans="2:6" x14ac:dyDescent="0.25">
      <c r="B22" s="117" t="s">
        <v>332</v>
      </c>
      <c r="C22" s="162">
        <f>ROUND(C23*(C11+C15),2)</f>
        <v>280428.98</v>
      </c>
      <c r="D22" s="163">
        <f>C22/$C$24</f>
        <v>0.33199127535640977</v>
      </c>
      <c r="E22" s="163">
        <f>C22/$C$40</f>
        <v>6.0883192743695719E-2</v>
      </c>
    </row>
    <row r="23" spans="2:6" x14ac:dyDescent="0.25">
      <c r="B23" s="117" t="s">
        <v>333</v>
      </c>
      <c r="C23" s="165">
        <v>0.86</v>
      </c>
      <c r="D23" s="163"/>
      <c r="E23" s="117"/>
    </row>
    <row r="24" spans="2:6" x14ac:dyDescent="0.25">
      <c r="B24" s="117" t="s">
        <v>334</v>
      </c>
      <c r="C24" s="162">
        <f>C19+C20+C22</f>
        <v>844687.8</v>
      </c>
      <c r="D24" s="163">
        <f>C24/$C$24</f>
        <v>1</v>
      </c>
      <c r="E24" s="163">
        <f>C24/$C$40</f>
        <v>0.18338792993380465</v>
      </c>
    </row>
    <row r="25" spans="2:6" ht="25.5" customHeight="1" x14ac:dyDescent="0.25">
      <c r="B25" s="117" t="s">
        <v>335</v>
      </c>
      <c r="C25" s="162">
        <f>'Прил.5 Расчет СМР и ОБ'!J44</f>
        <v>3315000.7399999998</v>
      </c>
      <c r="D25" s="163"/>
      <c r="E25" s="163">
        <f>C25/$C$40</f>
        <v>0.71971102629590544</v>
      </c>
    </row>
    <row r="26" spans="2:6" ht="25.5" customHeight="1" x14ac:dyDescent="0.25">
      <c r="B26" s="117" t="s">
        <v>336</v>
      </c>
      <c r="C26" s="162">
        <f>'Прил.5 Расчет СМР и ОБ'!J45</f>
        <v>3315000.7399999998</v>
      </c>
      <c r="D26" s="163"/>
      <c r="E26" s="163">
        <f>C26/$C$40</f>
        <v>0.71971102629590544</v>
      </c>
    </row>
    <row r="27" spans="2:6" x14ac:dyDescent="0.25">
      <c r="B27" s="117" t="s">
        <v>337</v>
      </c>
      <c r="C27" s="111">
        <f>C24+C25</f>
        <v>4159688.54</v>
      </c>
      <c r="D27" s="163"/>
      <c r="E27" s="163">
        <f>C27/$C$40</f>
        <v>0.90309895622971015</v>
      </c>
    </row>
    <row r="28" spans="2:6" ht="33" customHeight="1" x14ac:dyDescent="0.25">
      <c r="B28" s="117" t="s">
        <v>338</v>
      </c>
      <c r="C28" s="117"/>
      <c r="D28" s="117"/>
      <c r="E28" s="117"/>
    </row>
    <row r="29" spans="2:6" ht="25.5" customHeight="1" x14ac:dyDescent="0.25">
      <c r="B29" s="117" t="s">
        <v>339</v>
      </c>
      <c r="C29" s="111">
        <f>ROUND(C24*3.9%,2)</f>
        <v>32942.82</v>
      </c>
      <c r="D29" s="117"/>
      <c r="E29" s="163">
        <f t="shared" ref="E29:E38" si="2">C29/$C$40</f>
        <v>7.1521283555675101E-3</v>
      </c>
    </row>
    <row r="30" spans="2:6" ht="38.25" customHeight="1" x14ac:dyDescent="0.25">
      <c r="B30" s="117" t="s">
        <v>340</v>
      </c>
      <c r="C30" s="111">
        <f>ROUND((C24+C29)*2.1%,2)</f>
        <v>18430.240000000002</v>
      </c>
      <c r="D30" s="117"/>
      <c r="E30" s="163">
        <f t="shared" si="2"/>
        <v>4.0013405684126181E-3</v>
      </c>
    </row>
    <row r="31" spans="2:6" x14ac:dyDescent="0.25">
      <c r="B31" s="117" t="s">
        <v>341</v>
      </c>
      <c r="C31" s="111">
        <v>158550</v>
      </c>
      <c r="D31" s="117"/>
      <c r="E31" s="163">
        <f t="shared" si="2"/>
        <v>3.4422370360983938E-2</v>
      </c>
    </row>
    <row r="32" spans="2:6" ht="25.5" customHeight="1" x14ac:dyDescent="0.25">
      <c r="B32" s="117" t="s">
        <v>342</v>
      </c>
      <c r="C32" s="111">
        <f>ROUND(C27*0%,2)</f>
        <v>0</v>
      </c>
      <c r="D32" s="117"/>
      <c r="E32" s="163">
        <f t="shared" si="2"/>
        <v>0</v>
      </c>
    </row>
    <row r="33" spans="2:11" ht="25.5" customHeight="1" x14ac:dyDescent="0.25">
      <c r="B33" s="117" t="s">
        <v>343</v>
      </c>
      <c r="C33" s="111">
        <f>ROUND(C28*0%,2)</f>
        <v>0</v>
      </c>
      <c r="D33" s="117"/>
      <c r="E33" s="163">
        <f t="shared" si="2"/>
        <v>0</v>
      </c>
    </row>
    <row r="34" spans="2:11" ht="51" customHeight="1" x14ac:dyDescent="0.25">
      <c r="B34" s="117" t="s">
        <v>344</v>
      </c>
      <c r="C34" s="111">
        <f>ROUND(C29*0%,2)</f>
        <v>0</v>
      </c>
      <c r="D34" s="117"/>
      <c r="E34" s="163">
        <f t="shared" si="2"/>
        <v>0</v>
      </c>
      <c r="G34" s="167"/>
    </row>
    <row r="35" spans="2:11" ht="76.5" customHeight="1" x14ac:dyDescent="0.25">
      <c r="B35" s="117" t="s">
        <v>345</v>
      </c>
      <c r="C35" s="111">
        <f>ROUND(C30*0%,2)</f>
        <v>0</v>
      </c>
      <c r="D35" s="117"/>
      <c r="E35" s="163">
        <f t="shared" si="2"/>
        <v>0</v>
      </c>
    </row>
    <row r="36" spans="2:11" ht="25.5" customHeight="1" x14ac:dyDescent="0.25">
      <c r="B36" s="117" t="s">
        <v>346</v>
      </c>
      <c r="C36" s="111">
        <f>ROUND((C27+C32+C33+C34+C35+C29+C31+C30)*2.14%,2)</f>
        <v>93509.69</v>
      </c>
      <c r="D36" s="117"/>
      <c r="E36" s="163">
        <f t="shared" si="2"/>
        <v>2.0301641006122962E-2</v>
      </c>
      <c r="K36" s="166"/>
    </row>
    <row r="37" spans="2:11" x14ac:dyDescent="0.25">
      <c r="B37" s="117" t="s">
        <v>347</v>
      </c>
      <c r="C37" s="111">
        <f>ROUND((C27+C32+C33+C34+C35+C29+C31+C30)*0.2%,2)</f>
        <v>8739.2199999999993</v>
      </c>
      <c r="D37" s="117"/>
      <c r="E37" s="163">
        <f t="shared" si="2"/>
        <v>1.8973488962858278E-3</v>
      </c>
      <c r="K37" s="166"/>
    </row>
    <row r="38" spans="2:11" ht="38.25" customHeight="1" x14ac:dyDescent="0.25">
      <c r="B38" s="117" t="s">
        <v>348</v>
      </c>
      <c r="C38" s="162">
        <f>C27+C32+C33+C34+C35+C29+C31+C30+C36+C37</f>
        <v>4471860.51</v>
      </c>
      <c r="D38" s="117"/>
      <c r="E38" s="163">
        <f t="shared" si="2"/>
        <v>0.97087378541708291</v>
      </c>
    </row>
    <row r="39" spans="2:11" ht="13.5" customHeight="1" x14ac:dyDescent="0.25">
      <c r="B39" s="117" t="s">
        <v>349</v>
      </c>
      <c r="C39" s="162">
        <f>ROUND(C38*3%,2)</f>
        <v>134155.82</v>
      </c>
      <c r="D39" s="117"/>
      <c r="E39" s="163">
        <f>C39/$C$38</f>
        <v>3.0000001051016686E-2</v>
      </c>
    </row>
    <row r="40" spans="2:11" x14ac:dyDescent="0.25">
      <c r="B40" s="117" t="s">
        <v>350</v>
      </c>
      <c r="C40" s="162">
        <f>C39+C38</f>
        <v>4606016.33</v>
      </c>
      <c r="D40" s="117"/>
      <c r="E40" s="163">
        <f>C40/$C$40</f>
        <v>1</v>
      </c>
    </row>
    <row r="41" spans="2:11" x14ac:dyDescent="0.25">
      <c r="B41" s="117" t="s">
        <v>351</v>
      </c>
      <c r="C41" s="162">
        <f>C40/'Прил.5 Расчет СМР и ОБ'!E122</f>
        <v>4606016.33</v>
      </c>
      <c r="D41" s="117"/>
      <c r="E41" s="117"/>
    </row>
    <row r="42" spans="2:11" x14ac:dyDescent="0.25">
      <c r="B42" s="116"/>
      <c r="C42" s="4"/>
      <c r="D42" s="4"/>
      <c r="E42" s="4"/>
    </row>
    <row r="43" spans="2:11" x14ac:dyDescent="0.25">
      <c r="B43" s="116" t="s">
        <v>352</v>
      </c>
      <c r="C43" s="4"/>
      <c r="D43" s="4"/>
      <c r="E43" s="4"/>
    </row>
    <row r="44" spans="2:11" x14ac:dyDescent="0.25">
      <c r="B44" s="116" t="s">
        <v>353</v>
      </c>
      <c r="C44" s="4"/>
      <c r="D44" s="4"/>
      <c r="E44" s="4"/>
    </row>
    <row r="45" spans="2:11" x14ac:dyDescent="0.25">
      <c r="B45" s="116"/>
      <c r="C45" s="4"/>
      <c r="D45" s="4"/>
      <c r="E45" s="4"/>
    </row>
    <row r="46" spans="2:11" x14ac:dyDescent="0.25">
      <c r="B46" s="116" t="s">
        <v>354</v>
      </c>
      <c r="C46" s="4"/>
      <c r="D46" s="4"/>
      <c r="E46" s="4"/>
    </row>
    <row r="47" spans="2:11" x14ac:dyDescent="0.25">
      <c r="B47" s="234" t="s">
        <v>355</v>
      </c>
      <c r="C47" s="234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tabSelected="1" view="pageBreakPreview" zoomScale="55" zoomScaleSheetLayoutView="55" workbookViewId="0">
      <selection activeCell="AD51" sqref="AD5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5" t="s">
        <v>356</v>
      </c>
      <c r="I2" s="235"/>
      <c r="J2" s="235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10" t="s">
        <v>357</v>
      </c>
      <c r="B4" s="210"/>
      <c r="C4" s="210"/>
      <c r="D4" s="210"/>
      <c r="E4" s="210"/>
      <c r="F4" s="210"/>
      <c r="G4" s="210"/>
      <c r="H4" s="210"/>
      <c r="I4" s="210"/>
      <c r="J4" s="210"/>
    </row>
    <row r="5" spans="1:12" s="4" customFormat="1" ht="12.75" customHeight="1" x14ac:dyDescent="0.2">
      <c r="A5" s="189"/>
      <c r="B5" s="189"/>
      <c r="C5" s="28"/>
      <c r="D5" s="189"/>
      <c r="E5" s="189"/>
      <c r="F5" s="189"/>
      <c r="G5" s="189"/>
      <c r="H5" s="189"/>
      <c r="I5" s="189"/>
      <c r="J5" s="189"/>
    </row>
    <row r="6" spans="1:12" s="4" customFormat="1" ht="27.75" customHeight="1" x14ac:dyDescent="0.2">
      <c r="A6" s="168" t="s">
        <v>358</v>
      </c>
      <c r="B6" s="169"/>
      <c r="C6" s="169"/>
      <c r="D6" s="241" t="s">
        <v>359</v>
      </c>
      <c r="E6" s="241"/>
      <c r="F6" s="241"/>
      <c r="G6" s="241"/>
      <c r="H6" s="241"/>
      <c r="I6" s="241"/>
      <c r="J6" s="241"/>
    </row>
    <row r="7" spans="1:12" s="4" customFormat="1" ht="12.75" customHeight="1" x14ac:dyDescent="0.2">
      <c r="A7" s="213" t="s">
        <v>50</v>
      </c>
      <c r="B7" s="233"/>
      <c r="C7" s="233"/>
      <c r="D7" s="233"/>
      <c r="E7" s="233"/>
      <c r="F7" s="233"/>
      <c r="G7" s="233"/>
      <c r="H7" s="233"/>
      <c r="I7" s="42"/>
      <c r="J7" s="42"/>
    </row>
    <row r="8" spans="1:12" s="4" customFormat="1" ht="13.5" customHeight="1" x14ac:dyDescent="0.2">
      <c r="A8" s="213"/>
      <c r="B8" s="233"/>
      <c r="C8" s="233"/>
      <c r="D8" s="233"/>
      <c r="E8" s="233"/>
      <c r="F8" s="233"/>
      <c r="G8" s="233"/>
      <c r="H8" s="233"/>
    </row>
    <row r="9" spans="1:12" ht="27" customHeight="1" x14ac:dyDescent="0.25">
      <c r="A9" s="238" t="s">
        <v>13</v>
      </c>
      <c r="B9" s="238" t="s">
        <v>100</v>
      </c>
      <c r="C9" s="238" t="s">
        <v>317</v>
      </c>
      <c r="D9" s="238" t="s">
        <v>102</v>
      </c>
      <c r="E9" s="239" t="s">
        <v>360</v>
      </c>
      <c r="F9" s="236" t="s">
        <v>104</v>
      </c>
      <c r="G9" s="237"/>
      <c r="H9" s="239" t="s">
        <v>361</v>
      </c>
      <c r="I9" s="236" t="s">
        <v>362</v>
      </c>
      <c r="J9" s="237"/>
      <c r="K9" s="12"/>
      <c r="L9" s="12"/>
    </row>
    <row r="10" spans="1:12" ht="28.5" customHeight="1" x14ac:dyDescent="0.25">
      <c r="A10" s="238"/>
      <c r="B10" s="238"/>
      <c r="C10" s="238"/>
      <c r="D10" s="238"/>
      <c r="E10" s="240"/>
      <c r="F10" s="2" t="s">
        <v>363</v>
      </c>
      <c r="G10" s="2" t="s">
        <v>106</v>
      </c>
      <c r="H10" s="240"/>
      <c r="I10" s="2" t="s">
        <v>363</v>
      </c>
      <c r="J10" s="2" t="s">
        <v>106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8">
        <v>9</v>
      </c>
      <c r="J11" s="188">
        <v>10</v>
      </c>
      <c r="K11" s="12"/>
      <c r="L11" s="12"/>
    </row>
    <row r="12" spans="1:12" x14ac:dyDescent="0.25">
      <c r="A12" s="2"/>
      <c r="B12" s="227" t="s">
        <v>364</v>
      </c>
      <c r="C12" s="246"/>
      <c r="D12" s="238"/>
      <c r="E12" s="247"/>
      <c r="F12" s="248"/>
      <c r="G12" s="248"/>
      <c r="H12" s="249"/>
      <c r="I12" s="134"/>
      <c r="J12" s="134"/>
    </row>
    <row r="13" spans="1:12" ht="25.5" customHeight="1" x14ac:dyDescent="0.25">
      <c r="A13" s="2">
        <v>1</v>
      </c>
      <c r="B13" s="138" t="s">
        <v>365</v>
      </c>
      <c r="C13" s="8" t="s">
        <v>366</v>
      </c>
      <c r="D13" s="2" t="s">
        <v>367</v>
      </c>
      <c r="E13" s="127">
        <v>657.81059336204999</v>
      </c>
      <c r="F13" s="26">
        <v>9.76</v>
      </c>
      <c r="G13" s="26">
        <f>Прил.3!H12</f>
        <v>6591.94</v>
      </c>
      <c r="H13" s="170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8" t="s">
        <v>368</v>
      </c>
      <c r="D14" s="2" t="s">
        <v>367</v>
      </c>
      <c r="E14" s="127">
        <f>SUM(E13)</f>
        <v>657.81059336204999</v>
      </c>
      <c r="F14" s="26"/>
      <c r="G14" s="26">
        <f>SUM(G13:G13)</f>
        <v>6591.94</v>
      </c>
      <c r="H14" s="191">
        <v>1</v>
      </c>
      <c r="I14" s="134"/>
      <c r="J14" s="26">
        <f>SUM(J13:J13)</f>
        <v>296475.15000000002</v>
      </c>
    </row>
    <row r="15" spans="1:12" s="12" customFormat="1" ht="14.25" customHeight="1" x14ac:dyDescent="0.2">
      <c r="A15" s="2"/>
      <c r="B15" s="246" t="s">
        <v>132</v>
      </c>
      <c r="C15" s="246"/>
      <c r="D15" s="238"/>
      <c r="E15" s="247"/>
      <c r="F15" s="248"/>
      <c r="G15" s="248"/>
      <c r="H15" s="249"/>
      <c r="I15" s="134"/>
      <c r="J15" s="134"/>
    </row>
    <row r="16" spans="1:12" s="12" customFormat="1" ht="14.25" customHeight="1" x14ac:dyDescent="0.2">
      <c r="A16" s="2">
        <v>2</v>
      </c>
      <c r="B16" s="2">
        <v>2</v>
      </c>
      <c r="C16" s="8" t="s">
        <v>132</v>
      </c>
      <c r="D16" s="2" t="s">
        <v>367</v>
      </c>
      <c r="E16" s="127">
        <v>31.2</v>
      </c>
      <c r="F16" s="26">
        <f>G16/E16</f>
        <v>20.262179487179488</v>
      </c>
      <c r="G16" s="26">
        <f>Прил.3!H24</f>
        <v>632.17999999999995</v>
      </c>
      <c r="H16" s="191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7" t="s">
        <v>134</v>
      </c>
      <c r="C17" s="246"/>
      <c r="D17" s="238"/>
      <c r="E17" s="247"/>
      <c r="F17" s="248"/>
      <c r="G17" s="248"/>
      <c r="H17" s="249"/>
      <c r="I17" s="134"/>
      <c r="J17" s="134"/>
    </row>
    <row r="18" spans="1:10" s="12" customFormat="1" ht="14.25" customHeight="1" x14ac:dyDescent="0.2">
      <c r="A18" s="2"/>
      <c r="B18" s="246" t="s">
        <v>369</v>
      </c>
      <c r="C18" s="246"/>
      <c r="D18" s="238"/>
      <c r="E18" s="247"/>
      <c r="F18" s="248"/>
      <c r="G18" s="248"/>
      <c r="H18" s="249"/>
      <c r="I18" s="134"/>
      <c r="J18" s="134"/>
    </row>
    <row r="19" spans="1:10" s="12" customFormat="1" ht="14.25" customHeight="1" x14ac:dyDescent="0.2">
      <c r="A19" s="2">
        <v>3</v>
      </c>
      <c r="B19" s="138" t="s">
        <v>135</v>
      </c>
      <c r="C19" s="8" t="s">
        <v>136</v>
      </c>
      <c r="D19" s="2" t="s">
        <v>137</v>
      </c>
      <c r="E19" s="127">
        <v>29.139975257462002</v>
      </c>
      <c r="F19" s="120">
        <v>89.99</v>
      </c>
      <c r="G19" s="26">
        <f>ROUND(E19*F19,2)</f>
        <v>2622.31</v>
      </c>
      <c r="H19" s="170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370</v>
      </c>
      <c r="D20" s="2"/>
      <c r="E20" s="127"/>
      <c r="F20" s="26"/>
      <c r="G20" s="26">
        <f>SUM(G19)</f>
        <v>2622.31</v>
      </c>
      <c r="H20" s="191">
        <f>G20/G33</f>
        <v>0.93451006386132973</v>
      </c>
      <c r="I20" s="136"/>
      <c r="J20" s="26">
        <f>SUM(J19)</f>
        <v>31362.77</v>
      </c>
    </row>
    <row r="21" spans="1:10" s="12" customFormat="1" ht="25.5" hidden="1" customHeight="1" outlineLevel="1" x14ac:dyDescent="0.2">
      <c r="A21" s="2">
        <v>4</v>
      </c>
      <c r="B21" s="138" t="s">
        <v>138</v>
      </c>
      <c r="C21" s="8" t="s">
        <v>139</v>
      </c>
      <c r="D21" s="2" t="s">
        <v>137</v>
      </c>
      <c r="E21" s="127">
        <v>0.42499268419127001</v>
      </c>
      <c r="F21" s="120">
        <v>111.99</v>
      </c>
      <c r="G21" s="26">
        <f t="shared" ref="G21:G31" si="0">ROUND(E21*F21,2)</f>
        <v>47.59</v>
      </c>
      <c r="H21" s="170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hidden="1" customHeight="1" outlineLevel="1" x14ac:dyDescent="0.2">
      <c r="A22" s="2">
        <v>5</v>
      </c>
      <c r="B22" s="138" t="s">
        <v>140</v>
      </c>
      <c r="C22" s="8" t="s">
        <v>141</v>
      </c>
      <c r="D22" s="2" t="s">
        <v>137</v>
      </c>
      <c r="E22" s="127">
        <v>0.55499902618493002</v>
      </c>
      <c r="F22" s="120">
        <v>70</v>
      </c>
      <c r="G22" s="26">
        <f t="shared" si="0"/>
        <v>38.85</v>
      </c>
      <c r="H22" s="170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hidden="1" customHeight="1" outlineLevel="1" x14ac:dyDescent="0.2">
      <c r="A23" s="2">
        <v>6</v>
      </c>
      <c r="B23" s="138" t="s">
        <v>142</v>
      </c>
      <c r="C23" s="8" t="s">
        <v>143</v>
      </c>
      <c r="D23" s="2" t="s">
        <v>137</v>
      </c>
      <c r="E23" s="127">
        <v>0.50000014064151999</v>
      </c>
      <c r="F23" s="120">
        <v>65.709999999999994</v>
      </c>
      <c r="G23" s="26">
        <f t="shared" si="0"/>
        <v>32.86</v>
      </c>
      <c r="H23" s="170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hidden="1" customHeight="1" outlineLevel="1" x14ac:dyDescent="0.2">
      <c r="A24" s="2">
        <v>7</v>
      </c>
      <c r="B24" s="138" t="s">
        <v>144</v>
      </c>
      <c r="C24" s="8" t="s">
        <v>145</v>
      </c>
      <c r="D24" s="2" t="s">
        <v>137</v>
      </c>
      <c r="E24" s="127">
        <v>0.55503136188487001</v>
      </c>
      <c r="F24" s="120">
        <v>56.24</v>
      </c>
      <c r="G24" s="26">
        <f t="shared" si="0"/>
        <v>31.21</v>
      </c>
      <c r="H24" s="170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hidden="1" customHeight="1" outlineLevel="1" x14ac:dyDescent="0.2">
      <c r="A25" s="2">
        <v>8</v>
      </c>
      <c r="B25" s="138" t="s">
        <v>146</v>
      </c>
      <c r="C25" s="8" t="s">
        <v>147</v>
      </c>
      <c r="D25" s="2" t="s">
        <v>137</v>
      </c>
      <c r="E25" s="127">
        <v>1.8851040416478</v>
      </c>
      <c r="F25" s="120">
        <v>8.1</v>
      </c>
      <c r="G25" s="26">
        <f t="shared" si="0"/>
        <v>15.27</v>
      </c>
      <c r="H25" s="170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hidden="1" customHeight="1" outlineLevel="1" x14ac:dyDescent="0.2">
      <c r="A26" s="2">
        <v>9</v>
      </c>
      <c r="B26" s="138" t="s">
        <v>148</v>
      </c>
      <c r="C26" s="8" t="s">
        <v>149</v>
      </c>
      <c r="D26" s="2" t="s">
        <v>137</v>
      </c>
      <c r="E26" s="127">
        <v>0.55497234111612004</v>
      </c>
      <c r="F26" s="120">
        <v>16.920000000000002</v>
      </c>
      <c r="G26" s="26">
        <f t="shared" si="0"/>
        <v>9.39</v>
      </c>
      <c r="H26" s="170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hidden="1" customHeight="1" outlineLevel="1" x14ac:dyDescent="0.2">
      <c r="A27" s="2">
        <v>10</v>
      </c>
      <c r="B27" s="138" t="s">
        <v>150</v>
      </c>
      <c r="C27" s="8" t="s">
        <v>151</v>
      </c>
      <c r="D27" s="2" t="s">
        <v>137</v>
      </c>
      <c r="E27" s="127">
        <v>0.56522887215595996</v>
      </c>
      <c r="F27" s="120">
        <v>6.82</v>
      </c>
      <c r="G27" s="26">
        <f t="shared" si="0"/>
        <v>3.85</v>
      </c>
      <c r="H27" s="170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hidden="1" customHeight="1" outlineLevel="1" x14ac:dyDescent="0.2">
      <c r="A28" s="2">
        <v>11</v>
      </c>
      <c r="B28" s="138" t="s">
        <v>152</v>
      </c>
      <c r="C28" s="8" t="s">
        <v>153</v>
      </c>
      <c r="D28" s="2" t="s">
        <v>137</v>
      </c>
      <c r="E28" s="127">
        <v>1.9978925641896E-2</v>
      </c>
      <c r="F28" s="120">
        <v>85.84</v>
      </c>
      <c r="G28" s="26">
        <f t="shared" si="0"/>
        <v>1.71</v>
      </c>
      <c r="H28" s="170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hidden="1" customHeight="1" outlineLevel="1" x14ac:dyDescent="0.2">
      <c r="A29" s="2">
        <v>12</v>
      </c>
      <c r="B29" s="138" t="s">
        <v>154</v>
      </c>
      <c r="C29" s="8" t="s">
        <v>155</v>
      </c>
      <c r="D29" s="2" t="s">
        <v>137</v>
      </c>
      <c r="E29" s="127">
        <v>0.55499725502262998</v>
      </c>
      <c r="F29" s="120">
        <v>2.36</v>
      </c>
      <c r="G29" s="26">
        <f t="shared" si="0"/>
        <v>1.31</v>
      </c>
      <c r="H29" s="170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hidden="1" customHeight="1" outlineLevel="1" x14ac:dyDescent="0.2">
      <c r="A30" s="2">
        <v>13</v>
      </c>
      <c r="B30" s="138" t="s">
        <v>156</v>
      </c>
      <c r="C30" s="8" t="s">
        <v>157</v>
      </c>
      <c r="D30" s="2" t="s">
        <v>137</v>
      </c>
      <c r="E30" s="127">
        <v>0.72654078126829003</v>
      </c>
      <c r="F30" s="120">
        <v>1.7</v>
      </c>
      <c r="G30" s="26">
        <f t="shared" si="0"/>
        <v>1.24</v>
      </c>
      <c r="H30" s="170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hidden="1" customHeight="1" outlineLevel="1" x14ac:dyDescent="0.2">
      <c r="A31" s="2">
        <v>14</v>
      </c>
      <c r="B31" s="138" t="s">
        <v>158</v>
      </c>
      <c r="C31" s="8" t="s">
        <v>159</v>
      </c>
      <c r="D31" s="2" t="s">
        <v>137</v>
      </c>
      <c r="E31" s="127">
        <v>0.54464588449953</v>
      </c>
      <c r="F31" s="120">
        <v>0.9</v>
      </c>
      <c r="G31" s="26">
        <f t="shared" si="0"/>
        <v>0.49</v>
      </c>
      <c r="H31" s="170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collapsed="1" x14ac:dyDescent="0.2">
      <c r="A32" s="2"/>
      <c r="B32" s="2"/>
      <c r="C32" s="8" t="s">
        <v>371</v>
      </c>
      <c r="D32" s="2"/>
      <c r="E32" s="190"/>
      <c r="F32" s="26"/>
      <c r="G32" s="136">
        <f>SUM(G21:G31)</f>
        <v>183.77000000000004</v>
      </c>
      <c r="H32" s="170">
        <f>G32/G33</f>
        <v>6.5489936138670338E-2</v>
      </c>
      <c r="I32" s="26"/>
      <c r="J32" s="136">
        <f>SUM(J21:J31)</f>
        <v>2198.0200000000004</v>
      </c>
    </row>
    <row r="33" spans="1:10" s="12" customFormat="1" ht="25.5" customHeight="1" x14ac:dyDescent="0.2">
      <c r="A33" s="2"/>
      <c r="B33" s="2"/>
      <c r="C33" s="118" t="s">
        <v>372</v>
      </c>
      <c r="D33" s="2"/>
      <c r="E33" s="190"/>
      <c r="F33" s="26"/>
      <c r="G33" s="26">
        <f>G20+G32</f>
        <v>2806.08</v>
      </c>
      <c r="H33" s="132">
        <v>1</v>
      </c>
      <c r="I33" s="133"/>
      <c r="J33" s="26">
        <f>J20+J32</f>
        <v>33560.79</v>
      </c>
    </row>
    <row r="34" spans="1:10" s="12" customFormat="1" ht="14.25" customHeight="1" x14ac:dyDescent="0.2">
      <c r="A34" s="2"/>
      <c r="B34" s="227" t="s">
        <v>43</v>
      </c>
      <c r="C34" s="227"/>
      <c r="D34" s="250"/>
      <c r="E34" s="251"/>
      <c r="F34" s="252"/>
      <c r="G34" s="252"/>
      <c r="H34" s="253"/>
      <c r="I34" s="134"/>
      <c r="J34" s="134"/>
    </row>
    <row r="35" spans="1:10" x14ac:dyDescent="0.25">
      <c r="A35" s="2"/>
      <c r="B35" s="246" t="s">
        <v>373</v>
      </c>
      <c r="C35" s="246"/>
      <c r="D35" s="238"/>
      <c r="E35" s="247"/>
      <c r="F35" s="248"/>
      <c r="G35" s="248"/>
      <c r="H35" s="249"/>
      <c r="I35" s="134"/>
      <c r="J35" s="134"/>
    </row>
    <row r="36" spans="1:10" s="12" customFormat="1" ht="25.5" customHeight="1" x14ac:dyDescent="0.2">
      <c r="A36" s="2">
        <v>15</v>
      </c>
      <c r="B36" s="2" t="s">
        <v>374</v>
      </c>
      <c r="C36" s="8" t="s">
        <v>161</v>
      </c>
      <c r="D36" s="2" t="s">
        <v>162</v>
      </c>
      <c r="E36" s="197">
        <v>1.0000002148439</v>
      </c>
      <c r="F36" s="120">
        <f>ROUND(I36/Прил.10!$D$14,2)</f>
        <v>110223.64</v>
      </c>
      <c r="G36" s="26">
        <f t="shared" ref="G36:G41" si="3">ROUND(E36*F36,2)</f>
        <v>110223.66</v>
      </c>
      <c r="H36" s="170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14.25" customHeight="1" x14ac:dyDescent="0.2">
      <c r="A37" s="2">
        <v>16</v>
      </c>
      <c r="B37" s="2" t="s">
        <v>375</v>
      </c>
      <c r="C37" s="8" t="s">
        <v>163</v>
      </c>
      <c r="D37" s="2" t="s">
        <v>162</v>
      </c>
      <c r="E37" s="197">
        <v>1.0000002262493</v>
      </c>
      <c r="F37" s="120">
        <f>ROUND(I37/Прил.10!$D$14,2)</f>
        <v>419329.07</v>
      </c>
      <c r="G37" s="26">
        <f t="shared" si="3"/>
        <v>419329.16</v>
      </c>
      <c r="H37" s="170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5.5" customHeight="1" x14ac:dyDescent="0.2">
      <c r="A38" s="2">
        <v>18</v>
      </c>
      <c r="B38" s="2" t="s">
        <v>376</v>
      </c>
      <c r="C38" s="8" t="s">
        <v>164</v>
      </c>
      <c r="D38" s="2" t="s">
        <v>162</v>
      </c>
      <c r="E38" s="197">
        <v>1.0000001890071999</v>
      </c>
      <c r="F38" s="120">
        <f>ROUND(I38/Прил.10!$D$14,2)</f>
        <v>95397.36</v>
      </c>
      <c r="G38" s="26">
        <f t="shared" si="3"/>
        <v>95397.38</v>
      </c>
      <c r="H38" s="170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25.5" customHeight="1" x14ac:dyDescent="0.2">
      <c r="A39" s="2">
        <v>22</v>
      </c>
      <c r="B39" s="2" t="s">
        <v>377</v>
      </c>
      <c r="C39" s="8" t="s">
        <v>165</v>
      </c>
      <c r="D39" s="2" t="s">
        <v>162</v>
      </c>
      <c r="E39" s="197">
        <v>1.0000004567762999</v>
      </c>
      <c r="F39" s="120">
        <f>ROUND(I39/Прил.10!$D$14,2)</f>
        <v>2875.4</v>
      </c>
      <c r="G39" s="26">
        <f t="shared" si="3"/>
        <v>2875.4</v>
      </c>
      <c r="H39" s="170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166</v>
      </c>
      <c r="C40" s="8" t="s">
        <v>167</v>
      </c>
      <c r="D40" s="2" t="s">
        <v>162</v>
      </c>
      <c r="E40" s="197">
        <v>0.50000007475900998</v>
      </c>
      <c r="F40" s="120">
        <v>9392.75</v>
      </c>
      <c r="G40" s="26">
        <f t="shared" si="3"/>
        <v>4696.38</v>
      </c>
      <c r="H40" s="170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14.25" customHeight="1" x14ac:dyDescent="0.2">
      <c r="A41" s="2">
        <v>24</v>
      </c>
      <c r="B41" s="2" t="s">
        <v>378</v>
      </c>
      <c r="C41" s="8" t="s">
        <v>168</v>
      </c>
      <c r="D41" s="2" t="s">
        <v>162</v>
      </c>
      <c r="E41" s="197">
        <v>0.50000017379196005</v>
      </c>
      <c r="F41" s="120">
        <f>ROUND(I41/Прил.10!$D$14,2)</f>
        <v>22895.37</v>
      </c>
      <c r="G41" s="26">
        <f t="shared" si="3"/>
        <v>11447.69</v>
      </c>
      <c r="H41" s="170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379</v>
      </c>
      <c r="D42" s="2"/>
      <c r="E42" s="135"/>
      <c r="F42" s="120"/>
      <c r="G42" s="26">
        <f>SUM(G36:G37)</f>
        <v>529552.81999999995</v>
      </c>
      <c r="H42" s="170">
        <f t="shared" si="4"/>
        <v>1</v>
      </c>
      <c r="I42" s="136"/>
      <c r="J42" s="26">
        <f>SUM(J36:J37)</f>
        <v>3315000.7399999998</v>
      </c>
    </row>
    <row r="43" spans="1:10" x14ac:dyDescent="0.25">
      <c r="A43" s="2"/>
      <c r="B43" s="2"/>
      <c r="C43" s="8" t="s">
        <v>380</v>
      </c>
      <c r="D43" s="2"/>
      <c r="E43" s="127"/>
      <c r="F43" s="120"/>
      <c r="G43" s="26">
        <v>0</v>
      </c>
      <c r="H43" s="170">
        <f t="shared" si="4"/>
        <v>0</v>
      </c>
      <c r="I43" s="136"/>
      <c r="J43" s="26">
        <v>0</v>
      </c>
    </row>
    <row r="44" spans="1:10" x14ac:dyDescent="0.25">
      <c r="A44" s="2"/>
      <c r="B44" s="2"/>
      <c r="C44" s="118" t="s">
        <v>381</v>
      </c>
      <c r="D44" s="2"/>
      <c r="E44" s="190"/>
      <c r="F44" s="120"/>
      <c r="G44" s="26">
        <f>G42+G43</f>
        <v>529552.81999999995</v>
      </c>
      <c r="H44" s="170">
        <f>H42+H43</f>
        <v>1</v>
      </c>
      <c r="I44" s="136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382</v>
      </c>
      <c r="D45" s="2"/>
      <c r="E45" s="135"/>
      <c r="F45" s="120"/>
      <c r="G45" s="26">
        <f>'Прил.6 Расчет ОБ'!G18</f>
        <v>643969.66999999993</v>
      </c>
      <c r="H45" s="191"/>
      <c r="I45" s="136"/>
      <c r="J45" s="26">
        <f>J44</f>
        <v>3315000.7399999998</v>
      </c>
    </row>
    <row r="46" spans="1:10" s="12" customFormat="1" ht="14.25" customHeight="1" x14ac:dyDescent="0.2">
      <c r="A46" s="2"/>
      <c r="B46" s="227" t="s">
        <v>169</v>
      </c>
      <c r="C46" s="227"/>
      <c r="D46" s="250"/>
      <c r="E46" s="251"/>
      <c r="F46" s="252"/>
      <c r="G46" s="252"/>
      <c r="H46" s="253"/>
      <c r="I46" s="134"/>
      <c r="J46" s="134"/>
    </row>
    <row r="47" spans="1:10" s="12" customFormat="1" ht="14.25" customHeight="1" x14ac:dyDescent="0.2">
      <c r="A47" s="188"/>
      <c r="B47" s="242" t="s">
        <v>383</v>
      </c>
      <c r="C47" s="242"/>
      <c r="D47" s="239"/>
      <c r="E47" s="243"/>
      <c r="F47" s="244"/>
      <c r="G47" s="244"/>
      <c r="H47" s="245"/>
      <c r="I47" s="171"/>
      <c r="J47" s="171"/>
    </row>
    <row r="48" spans="1:10" s="12" customFormat="1" ht="14.25" customHeight="1" x14ac:dyDescent="0.2">
      <c r="A48" s="2">
        <v>25</v>
      </c>
      <c r="B48" s="2" t="s">
        <v>170</v>
      </c>
      <c r="C48" s="8" t="s">
        <v>171</v>
      </c>
      <c r="D48" s="2" t="s">
        <v>172</v>
      </c>
      <c r="E48" s="135">
        <v>47.940127188026999</v>
      </c>
      <c r="F48" s="120">
        <v>30.6</v>
      </c>
      <c r="G48" s="26">
        <f t="shared" ref="G48:G64" si="6">ROUND(E48*F48,2)</f>
        <v>1466.97</v>
      </c>
      <c r="H48" s="170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173</v>
      </c>
      <c r="C49" s="8" t="s">
        <v>174</v>
      </c>
      <c r="D49" s="2" t="s">
        <v>175</v>
      </c>
      <c r="E49" s="135">
        <v>3.7199822079437998E-2</v>
      </c>
      <c r="F49" s="120">
        <v>5763</v>
      </c>
      <c r="G49" s="26">
        <f t="shared" si="6"/>
        <v>214.38</v>
      </c>
      <c r="H49" s="170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176</v>
      </c>
      <c r="C50" s="8" t="s">
        <v>177</v>
      </c>
      <c r="D50" s="2" t="s">
        <v>178</v>
      </c>
      <c r="E50" s="135">
        <v>0.25499711516277002</v>
      </c>
      <c r="F50" s="120">
        <v>580</v>
      </c>
      <c r="G50" s="26">
        <f t="shared" si="6"/>
        <v>147.9</v>
      </c>
      <c r="H50" s="170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179</v>
      </c>
      <c r="C51" s="8" t="s">
        <v>180</v>
      </c>
      <c r="D51" s="2" t="s">
        <v>181</v>
      </c>
      <c r="E51" s="135">
        <v>128.32354824808999</v>
      </c>
      <c r="F51" s="120">
        <v>1</v>
      </c>
      <c r="G51" s="26">
        <f t="shared" si="6"/>
        <v>128.32</v>
      </c>
      <c r="H51" s="170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182</v>
      </c>
      <c r="C52" s="8" t="s">
        <v>183</v>
      </c>
      <c r="D52" s="2" t="s">
        <v>175</v>
      </c>
      <c r="E52" s="135">
        <v>1.4999830303692001E-2</v>
      </c>
      <c r="F52" s="120">
        <v>6800</v>
      </c>
      <c r="G52" s="26">
        <f t="shared" si="6"/>
        <v>102</v>
      </c>
      <c r="H52" s="170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184</v>
      </c>
      <c r="C53" s="8" t="s">
        <v>185</v>
      </c>
      <c r="D53" s="2" t="s">
        <v>175</v>
      </c>
      <c r="E53" s="135">
        <v>1.6999448511981E-2</v>
      </c>
      <c r="F53" s="120">
        <v>5941.89</v>
      </c>
      <c r="G53" s="26">
        <f t="shared" si="6"/>
        <v>101.01</v>
      </c>
      <c r="H53" s="170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186</v>
      </c>
      <c r="C54" s="8" t="s">
        <v>187</v>
      </c>
      <c r="D54" s="2" t="s">
        <v>172</v>
      </c>
      <c r="E54" s="135">
        <v>3.7950973958884999</v>
      </c>
      <c r="F54" s="120">
        <v>23.79</v>
      </c>
      <c r="G54" s="26">
        <f t="shared" si="6"/>
        <v>90.29</v>
      </c>
      <c r="H54" s="170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188</v>
      </c>
      <c r="C55" s="8" t="s">
        <v>189</v>
      </c>
      <c r="D55" s="2" t="s">
        <v>190</v>
      </c>
      <c r="E55" s="135">
        <v>2.9999995322349999E-2</v>
      </c>
      <c r="F55" s="120">
        <v>3005.8</v>
      </c>
      <c r="G55" s="26">
        <f t="shared" si="6"/>
        <v>90.17</v>
      </c>
      <c r="H55" s="170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191</v>
      </c>
      <c r="C56" s="8" t="s">
        <v>192</v>
      </c>
      <c r="D56" s="2" t="s">
        <v>193</v>
      </c>
      <c r="E56" s="135">
        <v>0.44260789590742999</v>
      </c>
      <c r="F56" s="120">
        <v>155</v>
      </c>
      <c r="G56" s="26">
        <f t="shared" si="6"/>
        <v>68.599999999999994</v>
      </c>
      <c r="H56" s="170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194</v>
      </c>
      <c r="C57" s="8" t="s">
        <v>195</v>
      </c>
      <c r="D57" s="2" t="s">
        <v>175</v>
      </c>
      <c r="E57" s="135">
        <v>8.9998981822153005E-4</v>
      </c>
      <c r="F57" s="120">
        <v>75000</v>
      </c>
      <c r="G57" s="26">
        <f t="shared" si="6"/>
        <v>67.5</v>
      </c>
      <c r="H57" s="170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196</v>
      </c>
      <c r="C58" s="8" t="s">
        <v>197</v>
      </c>
      <c r="D58" s="2" t="s">
        <v>172</v>
      </c>
      <c r="E58" s="135">
        <v>3.8000026841204999</v>
      </c>
      <c r="F58" s="120">
        <v>15.13</v>
      </c>
      <c r="G58" s="26">
        <f t="shared" si="6"/>
        <v>57.49</v>
      </c>
      <c r="H58" s="170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198</v>
      </c>
      <c r="C59" s="8" t="s">
        <v>199</v>
      </c>
      <c r="D59" s="2" t="s">
        <v>175</v>
      </c>
      <c r="E59" s="135">
        <v>4.4999490911074996E-3</v>
      </c>
      <c r="F59" s="120">
        <v>11500</v>
      </c>
      <c r="G59" s="26">
        <f t="shared" si="6"/>
        <v>51.75</v>
      </c>
      <c r="H59" s="170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200</v>
      </c>
      <c r="C60" s="8" t="s">
        <v>201</v>
      </c>
      <c r="D60" s="2" t="s">
        <v>178</v>
      </c>
      <c r="E60" s="135">
        <v>1.609944759107</v>
      </c>
      <c r="F60" s="120">
        <v>30.74</v>
      </c>
      <c r="G60" s="26">
        <f t="shared" si="6"/>
        <v>49.49</v>
      </c>
      <c r="H60" s="170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202</v>
      </c>
      <c r="C61" s="8" t="s">
        <v>203</v>
      </c>
      <c r="D61" s="2" t="s">
        <v>204</v>
      </c>
      <c r="E61" s="135">
        <v>8.9999782599914993E-3</v>
      </c>
      <c r="F61" s="120">
        <v>4949.3999999999996</v>
      </c>
      <c r="G61" s="26">
        <f t="shared" si="6"/>
        <v>44.54</v>
      </c>
      <c r="H61" s="170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205</v>
      </c>
      <c r="C62" s="8" t="s">
        <v>206</v>
      </c>
      <c r="D62" s="2" t="s">
        <v>175</v>
      </c>
      <c r="E62" s="135">
        <v>1.6500373050742001E-3</v>
      </c>
      <c r="F62" s="120">
        <v>26932.42</v>
      </c>
      <c r="G62" s="26">
        <f t="shared" si="6"/>
        <v>44.44</v>
      </c>
      <c r="H62" s="170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207</v>
      </c>
      <c r="C63" s="8" t="s">
        <v>208</v>
      </c>
      <c r="D63" s="2" t="s">
        <v>193</v>
      </c>
      <c r="E63" s="135">
        <v>0.64349081890922999</v>
      </c>
      <c r="F63" s="120">
        <v>65.75</v>
      </c>
      <c r="G63" s="26">
        <f t="shared" si="6"/>
        <v>42.31</v>
      </c>
      <c r="H63" s="170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209</v>
      </c>
      <c r="C64" s="8" t="s">
        <v>210</v>
      </c>
      <c r="D64" s="2" t="s">
        <v>175</v>
      </c>
      <c r="E64" s="135">
        <v>5.9999900783959999E-3</v>
      </c>
      <c r="F64" s="120">
        <v>5891.61</v>
      </c>
      <c r="G64" s="26">
        <f t="shared" si="6"/>
        <v>35.35</v>
      </c>
      <c r="H64" s="170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2"/>
      <c r="B65" s="173"/>
      <c r="C65" s="174" t="s">
        <v>384</v>
      </c>
      <c r="D65" s="172"/>
      <c r="E65" s="175"/>
      <c r="F65" s="176"/>
      <c r="G65" s="176">
        <f>SUM(G48:G64)</f>
        <v>2802.5099999999993</v>
      </c>
      <c r="H65" s="170">
        <f t="shared" si="7"/>
        <v>0.86035973807089761</v>
      </c>
      <c r="I65" s="26"/>
      <c r="J65" s="176">
        <f>SUM(J48:J64)</f>
        <v>27576.57</v>
      </c>
    </row>
    <row r="66" spans="1:10" s="12" customFormat="1" ht="51" hidden="1" customHeight="1" outlineLevel="1" x14ac:dyDescent="0.2">
      <c r="A66" s="2">
        <v>42</v>
      </c>
      <c r="B66" s="2" t="s">
        <v>211</v>
      </c>
      <c r="C66" s="8" t="s">
        <v>212</v>
      </c>
      <c r="D66" s="2" t="s">
        <v>175</v>
      </c>
      <c r="E66" s="135">
        <v>5.9998493204077999E-3</v>
      </c>
      <c r="F66" s="120">
        <v>5817.58</v>
      </c>
      <c r="G66" s="26">
        <f t="shared" ref="G66:G97" si="9">ROUND(E66*F66,2)</f>
        <v>34.9</v>
      </c>
      <c r="H66" s="170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hidden="1" customHeight="1" outlineLevel="1" x14ac:dyDescent="0.2">
      <c r="A67" s="2">
        <v>43</v>
      </c>
      <c r="B67" s="2" t="s">
        <v>213</v>
      </c>
      <c r="C67" s="8" t="s">
        <v>214</v>
      </c>
      <c r="D67" s="2" t="s">
        <v>193</v>
      </c>
      <c r="E67" s="135">
        <v>0.51050272952342002</v>
      </c>
      <c r="F67" s="120">
        <v>68.05</v>
      </c>
      <c r="G67" s="26">
        <f t="shared" si="9"/>
        <v>34.74</v>
      </c>
      <c r="H67" s="170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hidden="1" customHeight="1" outlineLevel="1" x14ac:dyDescent="0.2">
      <c r="A68" s="2">
        <v>44</v>
      </c>
      <c r="B68" s="2" t="s">
        <v>215</v>
      </c>
      <c r="C68" s="8" t="s">
        <v>216</v>
      </c>
      <c r="D68" s="2" t="s">
        <v>175</v>
      </c>
      <c r="E68" s="135">
        <v>1.0999719924967E-3</v>
      </c>
      <c r="F68" s="120">
        <v>28300.400000000001</v>
      </c>
      <c r="G68" s="26">
        <f t="shared" si="9"/>
        <v>31.13</v>
      </c>
      <c r="H68" s="170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hidden="1" customHeight="1" outlineLevel="1" x14ac:dyDescent="0.2">
      <c r="A69" s="2">
        <v>45</v>
      </c>
      <c r="B69" s="2" t="s">
        <v>217</v>
      </c>
      <c r="C69" s="8" t="s">
        <v>218</v>
      </c>
      <c r="D69" s="2" t="s">
        <v>178</v>
      </c>
      <c r="E69" s="135">
        <v>0.34499609698492001</v>
      </c>
      <c r="F69" s="120">
        <v>83</v>
      </c>
      <c r="G69" s="26">
        <f t="shared" si="9"/>
        <v>28.63</v>
      </c>
      <c r="H69" s="170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hidden="1" customHeight="1" outlineLevel="1" x14ac:dyDescent="0.2">
      <c r="A70" s="2">
        <v>46</v>
      </c>
      <c r="B70" s="2" t="s">
        <v>219</v>
      </c>
      <c r="C70" s="8" t="s">
        <v>220</v>
      </c>
      <c r="D70" s="2" t="s">
        <v>193</v>
      </c>
      <c r="E70" s="135">
        <v>0.85000098292050996</v>
      </c>
      <c r="F70" s="120">
        <v>32.6</v>
      </c>
      <c r="G70" s="26">
        <f t="shared" si="9"/>
        <v>27.71</v>
      </c>
      <c r="H70" s="170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hidden="1" customHeight="1" outlineLevel="1" x14ac:dyDescent="0.2">
      <c r="A71" s="2">
        <v>47</v>
      </c>
      <c r="B71" s="2" t="s">
        <v>221</v>
      </c>
      <c r="C71" s="8" t="s">
        <v>222</v>
      </c>
      <c r="D71" s="2" t="s">
        <v>175</v>
      </c>
      <c r="E71" s="135">
        <v>2.1998946615954E-3</v>
      </c>
      <c r="F71" s="120">
        <v>12430</v>
      </c>
      <c r="G71" s="26">
        <f t="shared" si="9"/>
        <v>27.34</v>
      </c>
      <c r="H71" s="170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hidden="1" customHeight="1" outlineLevel="1" x14ac:dyDescent="0.2">
      <c r="A72" s="2">
        <v>48</v>
      </c>
      <c r="B72" s="2" t="s">
        <v>223</v>
      </c>
      <c r="C72" s="8" t="s">
        <v>224</v>
      </c>
      <c r="D72" s="2" t="s">
        <v>193</v>
      </c>
      <c r="E72" s="135">
        <v>0.29247239503415001</v>
      </c>
      <c r="F72" s="120">
        <v>91.29</v>
      </c>
      <c r="G72" s="26">
        <f t="shared" si="9"/>
        <v>26.7</v>
      </c>
      <c r="H72" s="170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hidden="1" customHeight="1" outlineLevel="1" x14ac:dyDescent="0.2">
      <c r="A73" s="2">
        <v>49</v>
      </c>
      <c r="B73" s="2" t="s">
        <v>225</v>
      </c>
      <c r="C73" s="8" t="s">
        <v>226</v>
      </c>
      <c r="D73" s="2" t="s">
        <v>175</v>
      </c>
      <c r="E73" s="135">
        <v>2.3000201864098002E-3</v>
      </c>
      <c r="F73" s="120">
        <v>10315.01</v>
      </c>
      <c r="G73" s="26">
        <f t="shared" si="9"/>
        <v>23.72</v>
      </c>
      <c r="H73" s="170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hidden="1" customHeight="1" outlineLevel="1" x14ac:dyDescent="0.2">
      <c r="A74" s="2">
        <v>50</v>
      </c>
      <c r="B74" s="2" t="s">
        <v>227</v>
      </c>
      <c r="C74" s="8" t="s">
        <v>228</v>
      </c>
      <c r="D74" s="2" t="s">
        <v>229</v>
      </c>
      <c r="E74" s="135">
        <v>0.44999490911076001</v>
      </c>
      <c r="F74" s="120">
        <v>39</v>
      </c>
      <c r="G74" s="26">
        <f t="shared" si="9"/>
        <v>17.55</v>
      </c>
      <c r="H74" s="170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hidden="1" customHeight="1" outlineLevel="1" x14ac:dyDescent="0.2">
      <c r="A75" s="2">
        <v>51</v>
      </c>
      <c r="B75" s="2" t="s">
        <v>230</v>
      </c>
      <c r="C75" s="8" t="s">
        <v>231</v>
      </c>
      <c r="D75" s="2" t="s">
        <v>193</v>
      </c>
      <c r="E75" s="135">
        <v>0.35494567358556001</v>
      </c>
      <c r="F75" s="120">
        <v>47.57</v>
      </c>
      <c r="G75" s="26">
        <f t="shared" si="9"/>
        <v>16.88</v>
      </c>
      <c r="H75" s="170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hidden="1" customHeight="1" outlineLevel="1" x14ac:dyDescent="0.2">
      <c r="A76" s="2">
        <v>52</v>
      </c>
      <c r="B76" s="2" t="s">
        <v>232</v>
      </c>
      <c r="C76" s="8" t="s">
        <v>233</v>
      </c>
      <c r="D76" s="2" t="s">
        <v>193</v>
      </c>
      <c r="E76" s="135">
        <v>0.44793104198625999</v>
      </c>
      <c r="F76" s="120">
        <v>35.630000000000003</v>
      </c>
      <c r="G76" s="26">
        <f t="shared" si="9"/>
        <v>15.96</v>
      </c>
      <c r="H76" s="170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hidden="1" customHeight="1" outlineLevel="1" x14ac:dyDescent="0.2">
      <c r="A77" s="2">
        <v>53</v>
      </c>
      <c r="B77" s="2" t="s">
        <v>234</v>
      </c>
      <c r="C77" s="8" t="s">
        <v>235</v>
      </c>
      <c r="D77" s="2" t="s">
        <v>162</v>
      </c>
      <c r="E77" s="135">
        <v>0.2350313329184</v>
      </c>
      <c r="F77" s="120">
        <v>66.819999999999993</v>
      </c>
      <c r="G77" s="26">
        <f t="shared" si="9"/>
        <v>15.7</v>
      </c>
      <c r="H77" s="170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hidden="1" customHeight="1" outlineLevel="1" x14ac:dyDescent="0.2">
      <c r="A78" s="2">
        <v>54</v>
      </c>
      <c r="B78" s="2" t="s">
        <v>236</v>
      </c>
      <c r="C78" s="8" t="s">
        <v>237</v>
      </c>
      <c r="D78" s="2" t="s">
        <v>190</v>
      </c>
      <c r="E78" s="135">
        <v>1.4000804328831E-3</v>
      </c>
      <c r="F78" s="120">
        <v>10534.99</v>
      </c>
      <c r="G78" s="26">
        <f t="shared" si="9"/>
        <v>14.75</v>
      </c>
      <c r="H78" s="170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hidden="1" customHeight="1" outlineLevel="1" x14ac:dyDescent="0.2">
      <c r="A79" s="2">
        <v>55</v>
      </c>
      <c r="B79" s="2" t="s">
        <v>238</v>
      </c>
      <c r="C79" s="8" t="s">
        <v>239</v>
      </c>
      <c r="D79" s="2" t="s">
        <v>229</v>
      </c>
      <c r="E79" s="135">
        <v>0.49998743029575998</v>
      </c>
      <c r="F79" s="120">
        <v>29.4</v>
      </c>
      <c r="G79" s="26">
        <f t="shared" si="9"/>
        <v>14.7</v>
      </c>
      <c r="H79" s="170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hidden="1" customHeight="1" outlineLevel="1" x14ac:dyDescent="0.2">
      <c r="A80" s="2">
        <v>56</v>
      </c>
      <c r="B80" s="2" t="s">
        <v>240</v>
      </c>
      <c r="C80" s="8" t="s">
        <v>241</v>
      </c>
      <c r="D80" s="2" t="s">
        <v>193</v>
      </c>
      <c r="E80" s="135">
        <v>1.5957323687214999</v>
      </c>
      <c r="F80" s="120">
        <v>9.0399999999999991</v>
      </c>
      <c r="G80" s="26">
        <f t="shared" si="9"/>
        <v>14.43</v>
      </c>
      <c r="H80" s="170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hidden="1" customHeight="1" outlineLevel="1" x14ac:dyDescent="0.2">
      <c r="A81" s="2">
        <v>57</v>
      </c>
      <c r="B81" s="2" t="s">
        <v>242</v>
      </c>
      <c r="C81" s="8" t="s">
        <v>243</v>
      </c>
      <c r="D81" s="2" t="s">
        <v>175</v>
      </c>
      <c r="E81" s="135">
        <v>7.0005610060125997E-4</v>
      </c>
      <c r="F81" s="120">
        <v>15620</v>
      </c>
      <c r="G81" s="26">
        <f t="shared" si="9"/>
        <v>10.93</v>
      </c>
      <c r="H81" s="170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hidden="1" customHeight="1" outlineLevel="1" x14ac:dyDescent="0.2">
      <c r="A82" s="2">
        <v>58</v>
      </c>
      <c r="B82" s="2" t="s">
        <v>244</v>
      </c>
      <c r="C82" s="8" t="s">
        <v>245</v>
      </c>
      <c r="D82" s="2" t="s">
        <v>178</v>
      </c>
      <c r="E82" s="135">
        <v>4.9999434345639998E-2</v>
      </c>
      <c r="F82" s="120">
        <v>203</v>
      </c>
      <c r="G82" s="26">
        <f t="shared" si="9"/>
        <v>10.15</v>
      </c>
      <c r="H82" s="170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hidden="1" customHeight="1" outlineLevel="1" x14ac:dyDescent="0.2">
      <c r="A83" s="2">
        <v>59</v>
      </c>
      <c r="B83" s="2" t="s">
        <v>246</v>
      </c>
      <c r="C83" s="8" t="s">
        <v>247</v>
      </c>
      <c r="D83" s="2" t="s">
        <v>172</v>
      </c>
      <c r="E83" s="135">
        <v>0.79506494544978001</v>
      </c>
      <c r="F83" s="120">
        <v>12.37</v>
      </c>
      <c r="G83" s="26">
        <f t="shared" si="9"/>
        <v>9.83</v>
      </c>
      <c r="H83" s="170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hidden="1" customHeight="1" outlineLevel="1" x14ac:dyDescent="0.2">
      <c r="A84" s="2">
        <v>60</v>
      </c>
      <c r="B84" s="2" t="s">
        <v>248</v>
      </c>
      <c r="C84" s="8" t="s">
        <v>249</v>
      </c>
      <c r="D84" s="2" t="s">
        <v>229</v>
      </c>
      <c r="E84" s="135">
        <v>0.47008558162661002</v>
      </c>
      <c r="F84" s="120">
        <v>19.899999999999999</v>
      </c>
      <c r="G84" s="26">
        <f t="shared" si="9"/>
        <v>9.35</v>
      </c>
      <c r="H84" s="170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hidden="1" customHeight="1" outlineLevel="1" x14ac:dyDescent="0.2">
      <c r="A85" s="2">
        <v>61</v>
      </c>
      <c r="B85" s="2" t="s">
        <v>250</v>
      </c>
      <c r="C85" s="8" t="s">
        <v>251</v>
      </c>
      <c r="D85" s="2" t="s">
        <v>178</v>
      </c>
      <c r="E85" s="135">
        <v>0.29003874516771999</v>
      </c>
      <c r="F85" s="120">
        <v>26.6</v>
      </c>
      <c r="G85" s="26">
        <f t="shared" si="9"/>
        <v>7.72</v>
      </c>
      <c r="H85" s="170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hidden="1" customHeight="1" outlineLevel="1" x14ac:dyDescent="0.2">
      <c r="A86" s="2">
        <v>62</v>
      </c>
      <c r="B86" s="2" t="s">
        <v>252</v>
      </c>
      <c r="C86" s="8" t="s">
        <v>253</v>
      </c>
      <c r="D86" s="2" t="s">
        <v>193</v>
      </c>
      <c r="E86" s="135">
        <v>0.17500902016482001</v>
      </c>
      <c r="F86" s="120">
        <v>38.340000000000003</v>
      </c>
      <c r="G86" s="26">
        <f t="shared" si="9"/>
        <v>6.71</v>
      </c>
      <c r="H86" s="170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hidden="1" customHeight="1" outlineLevel="1" x14ac:dyDescent="0.2">
      <c r="A87" s="2">
        <v>63</v>
      </c>
      <c r="B87" s="2" t="s">
        <v>254</v>
      </c>
      <c r="C87" s="8" t="s">
        <v>255</v>
      </c>
      <c r="D87" s="2" t="s">
        <v>204</v>
      </c>
      <c r="E87" s="135">
        <v>9.8498885660909998E-3</v>
      </c>
      <c r="F87" s="120">
        <v>600</v>
      </c>
      <c r="G87" s="26">
        <f t="shared" si="9"/>
        <v>5.91</v>
      </c>
      <c r="H87" s="170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hidden="1" customHeight="1" outlineLevel="1" x14ac:dyDescent="0.2">
      <c r="A88" s="2">
        <v>64</v>
      </c>
      <c r="B88" s="2" t="s">
        <v>256</v>
      </c>
      <c r="C88" s="8" t="s">
        <v>257</v>
      </c>
      <c r="D88" s="2" t="s">
        <v>178</v>
      </c>
      <c r="E88" s="135">
        <v>6.3022542826364006E-2</v>
      </c>
      <c r="F88" s="120">
        <v>86</v>
      </c>
      <c r="G88" s="26">
        <f t="shared" si="9"/>
        <v>5.42</v>
      </c>
      <c r="H88" s="170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hidden="1" customHeight="1" outlineLevel="1" x14ac:dyDescent="0.2">
      <c r="A89" s="2">
        <v>65</v>
      </c>
      <c r="B89" s="2" t="s">
        <v>258</v>
      </c>
      <c r="C89" s="8" t="s">
        <v>259</v>
      </c>
      <c r="D89" s="2" t="s">
        <v>193</v>
      </c>
      <c r="E89" s="135">
        <v>0.16206340710750999</v>
      </c>
      <c r="F89" s="120">
        <v>28.6</v>
      </c>
      <c r="G89" s="26">
        <f t="shared" si="9"/>
        <v>4.6399999999999997</v>
      </c>
      <c r="H89" s="170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hidden="1" customHeight="1" outlineLevel="1" x14ac:dyDescent="0.2">
      <c r="A90" s="2">
        <v>66</v>
      </c>
      <c r="B90" s="2" t="s">
        <v>260</v>
      </c>
      <c r="C90" s="8" t="s">
        <v>261</v>
      </c>
      <c r="D90" s="2" t="s">
        <v>175</v>
      </c>
      <c r="E90" s="135">
        <v>4.5010106502232997E-4</v>
      </c>
      <c r="F90" s="120">
        <v>9420</v>
      </c>
      <c r="G90" s="26">
        <f t="shared" si="9"/>
        <v>4.24</v>
      </c>
      <c r="H90" s="170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hidden="1" customHeight="1" outlineLevel="1" x14ac:dyDescent="0.2">
      <c r="A91" s="2">
        <v>67</v>
      </c>
      <c r="B91" s="2" t="s">
        <v>262</v>
      </c>
      <c r="C91" s="8" t="s">
        <v>263</v>
      </c>
      <c r="D91" s="2" t="s">
        <v>264</v>
      </c>
      <c r="E91" s="135">
        <v>1.5055385230741999E-2</v>
      </c>
      <c r="F91" s="120">
        <v>270</v>
      </c>
      <c r="G91" s="26">
        <f t="shared" si="9"/>
        <v>4.0599999999999996</v>
      </c>
      <c r="H91" s="170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hidden="1" customHeight="1" outlineLevel="1" x14ac:dyDescent="0.2">
      <c r="A92" s="2">
        <v>68</v>
      </c>
      <c r="B92" s="2" t="s">
        <v>265</v>
      </c>
      <c r="C92" s="8" t="s">
        <v>266</v>
      </c>
      <c r="D92" s="2" t="s">
        <v>175</v>
      </c>
      <c r="E92" s="135">
        <v>3.5000779979084E-4</v>
      </c>
      <c r="F92" s="120">
        <v>10971.06</v>
      </c>
      <c r="G92" s="26">
        <f t="shared" si="9"/>
        <v>3.84</v>
      </c>
      <c r="H92" s="170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hidden="1" customHeight="1" outlineLevel="1" x14ac:dyDescent="0.2">
      <c r="A93" s="2">
        <v>69</v>
      </c>
      <c r="B93" s="2" t="s">
        <v>267</v>
      </c>
      <c r="C93" s="8" t="s">
        <v>268</v>
      </c>
      <c r="D93" s="2" t="s">
        <v>193</v>
      </c>
      <c r="E93" s="135">
        <v>0.31503537450063002</v>
      </c>
      <c r="F93" s="120">
        <v>10.57</v>
      </c>
      <c r="G93" s="26">
        <f t="shared" si="9"/>
        <v>3.33</v>
      </c>
      <c r="H93" s="170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hidden="1" customHeight="1" outlineLevel="1" x14ac:dyDescent="0.2">
      <c r="A94" s="2">
        <v>70</v>
      </c>
      <c r="B94" s="2" t="s">
        <v>269</v>
      </c>
      <c r="C94" s="8" t="s">
        <v>270</v>
      </c>
      <c r="D94" s="2" t="s">
        <v>193</v>
      </c>
      <c r="E94" s="135">
        <v>9.9929725134709005E-2</v>
      </c>
      <c r="F94" s="120">
        <v>28.22</v>
      </c>
      <c r="G94" s="26">
        <f t="shared" si="9"/>
        <v>2.82</v>
      </c>
      <c r="H94" s="170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hidden="1" customHeight="1" outlineLevel="1" x14ac:dyDescent="0.2">
      <c r="A95" s="2">
        <v>71</v>
      </c>
      <c r="B95" s="2" t="s">
        <v>271</v>
      </c>
      <c r="C95" s="8" t="s">
        <v>272</v>
      </c>
      <c r="D95" s="2" t="s">
        <v>175</v>
      </c>
      <c r="E95" s="194">
        <v>4.9961653625568998E-5</v>
      </c>
      <c r="F95" s="120">
        <v>52539.7</v>
      </c>
      <c r="G95" s="26">
        <f t="shared" si="9"/>
        <v>2.62</v>
      </c>
      <c r="H95" s="170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hidden="1" customHeight="1" outlineLevel="1" x14ac:dyDescent="0.2">
      <c r="A96" s="2">
        <v>72</v>
      </c>
      <c r="B96" s="2" t="s">
        <v>273</v>
      </c>
      <c r="C96" s="8" t="s">
        <v>274</v>
      </c>
      <c r="D96" s="2" t="s">
        <v>193</v>
      </c>
      <c r="E96" s="135">
        <v>9.3991925186565004E-2</v>
      </c>
      <c r="F96" s="120">
        <v>25.8</v>
      </c>
      <c r="G96" s="26">
        <f t="shared" si="9"/>
        <v>2.42</v>
      </c>
      <c r="H96" s="170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hidden="1" customHeight="1" outlineLevel="1" x14ac:dyDescent="0.2">
      <c r="A97" s="2">
        <v>73</v>
      </c>
      <c r="B97" s="2" t="s">
        <v>275</v>
      </c>
      <c r="C97" s="8" t="s">
        <v>276</v>
      </c>
      <c r="D97" s="2" t="s">
        <v>193</v>
      </c>
      <c r="E97" s="135">
        <v>9.5926030652157004E-2</v>
      </c>
      <c r="F97" s="120">
        <v>23.09</v>
      </c>
      <c r="G97" s="26">
        <f t="shared" si="9"/>
        <v>2.21</v>
      </c>
      <c r="H97" s="170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hidden="1" customHeight="1" outlineLevel="1" x14ac:dyDescent="0.2">
      <c r="A98" s="2">
        <v>74</v>
      </c>
      <c r="B98" s="2" t="s">
        <v>277</v>
      </c>
      <c r="C98" s="8" t="s">
        <v>278</v>
      </c>
      <c r="D98" s="2" t="s">
        <v>279</v>
      </c>
      <c r="E98" s="135">
        <v>0.22507980082397999</v>
      </c>
      <c r="F98" s="120">
        <v>8.33</v>
      </c>
      <c r="G98" s="26">
        <f t="shared" ref="G98:G129" si="12">ROUND(E98*F98,2)</f>
        <v>1.87</v>
      </c>
      <c r="H98" s="170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hidden="1" customHeight="1" outlineLevel="1" x14ac:dyDescent="0.2">
      <c r="A99" s="2">
        <v>75</v>
      </c>
      <c r="B99" s="2" t="s">
        <v>280</v>
      </c>
      <c r="C99" s="8" t="s">
        <v>281</v>
      </c>
      <c r="D99" s="2" t="s">
        <v>175</v>
      </c>
      <c r="E99" s="194">
        <v>4.9976778206187002E-5</v>
      </c>
      <c r="F99" s="120">
        <v>37517</v>
      </c>
      <c r="G99" s="26">
        <f t="shared" si="12"/>
        <v>1.87</v>
      </c>
      <c r="H99" s="170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hidden="1" customHeight="1" outlineLevel="1" x14ac:dyDescent="0.2">
      <c r="A100" s="2">
        <v>76</v>
      </c>
      <c r="B100" s="2" t="s">
        <v>282</v>
      </c>
      <c r="C100" s="8" t="s">
        <v>283</v>
      </c>
      <c r="D100" s="2" t="s">
        <v>193</v>
      </c>
      <c r="E100" s="135">
        <v>5.3946036751767998E-2</v>
      </c>
      <c r="F100" s="120">
        <v>30.4</v>
      </c>
      <c r="G100" s="26">
        <f t="shared" si="12"/>
        <v>1.64</v>
      </c>
      <c r="H100" s="170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hidden="1" customHeight="1" outlineLevel="1" x14ac:dyDescent="0.2">
      <c r="A101" s="2">
        <v>77</v>
      </c>
      <c r="B101" s="2" t="s">
        <v>284</v>
      </c>
      <c r="C101" s="8" t="s">
        <v>285</v>
      </c>
      <c r="D101" s="2" t="s">
        <v>193</v>
      </c>
      <c r="E101" s="135">
        <v>3.2021332651027003E-2</v>
      </c>
      <c r="F101" s="120">
        <v>44.97</v>
      </c>
      <c r="G101" s="26">
        <f t="shared" si="12"/>
        <v>1.44</v>
      </c>
      <c r="H101" s="170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hidden="1" customHeight="1" outlineLevel="1" x14ac:dyDescent="0.2">
      <c r="A102" s="2">
        <v>78</v>
      </c>
      <c r="B102" s="2" t="s">
        <v>286</v>
      </c>
      <c r="C102" s="8" t="s">
        <v>287</v>
      </c>
      <c r="D102" s="2" t="s">
        <v>288</v>
      </c>
      <c r="E102" s="135">
        <v>2.5066383085280999E-2</v>
      </c>
      <c r="F102" s="120">
        <v>37.5</v>
      </c>
      <c r="G102" s="26">
        <f t="shared" si="12"/>
        <v>0.94</v>
      </c>
      <c r="H102" s="170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hidden="1" customHeight="1" outlineLevel="1" x14ac:dyDescent="0.2">
      <c r="A103" s="2">
        <v>79</v>
      </c>
      <c r="B103" s="2" t="s">
        <v>289</v>
      </c>
      <c r="C103" s="8" t="s">
        <v>290</v>
      </c>
      <c r="D103" s="2" t="s">
        <v>291</v>
      </c>
      <c r="E103" s="135">
        <v>2.3475876544337</v>
      </c>
      <c r="F103" s="120">
        <v>0.4</v>
      </c>
      <c r="G103" s="26">
        <f t="shared" si="12"/>
        <v>0.94</v>
      </c>
      <c r="H103" s="170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hidden="1" customHeight="1" outlineLevel="1" x14ac:dyDescent="0.2">
      <c r="A104" s="2">
        <v>80</v>
      </c>
      <c r="B104" s="2" t="s">
        <v>292</v>
      </c>
      <c r="C104" s="8" t="s">
        <v>293</v>
      </c>
      <c r="D104" s="2" t="s">
        <v>175</v>
      </c>
      <c r="E104" s="135">
        <v>1.1027579544444E-3</v>
      </c>
      <c r="F104" s="120">
        <v>729.98</v>
      </c>
      <c r="G104" s="26">
        <f t="shared" si="12"/>
        <v>0.8</v>
      </c>
      <c r="H104" s="170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hidden="1" customHeight="1" outlineLevel="1" x14ac:dyDescent="0.2">
      <c r="A105" s="2">
        <v>81</v>
      </c>
      <c r="B105" s="2" t="s">
        <v>294</v>
      </c>
      <c r="C105" s="8" t="s">
        <v>295</v>
      </c>
      <c r="D105" s="2" t="s">
        <v>193</v>
      </c>
      <c r="E105" s="135">
        <v>2.5053936958013001E-2</v>
      </c>
      <c r="F105" s="120">
        <v>27.74</v>
      </c>
      <c r="G105" s="26">
        <f t="shared" si="12"/>
        <v>0.69</v>
      </c>
      <c r="H105" s="170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hidden="1" customHeight="1" outlineLevel="1" x14ac:dyDescent="0.2">
      <c r="A106" s="2">
        <v>82</v>
      </c>
      <c r="B106" s="2" t="s">
        <v>296</v>
      </c>
      <c r="C106" s="8" t="s">
        <v>297</v>
      </c>
      <c r="D106" s="2" t="s">
        <v>193</v>
      </c>
      <c r="E106" s="135">
        <v>5.0085854929392002E-3</v>
      </c>
      <c r="F106" s="120">
        <v>138.76</v>
      </c>
      <c r="G106" s="26">
        <f t="shared" si="12"/>
        <v>0.69</v>
      </c>
      <c r="H106" s="170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hidden="1" customHeight="1" outlineLevel="1" x14ac:dyDescent="0.2">
      <c r="A107" s="2">
        <v>83</v>
      </c>
      <c r="B107" s="2" t="s">
        <v>298</v>
      </c>
      <c r="C107" s="8" t="s">
        <v>299</v>
      </c>
      <c r="D107" s="2" t="s">
        <v>175</v>
      </c>
      <c r="E107" s="135">
        <v>9.9743884325334E-5</v>
      </c>
      <c r="F107" s="120">
        <v>6667</v>
      </c>
      <c r="G107" s="26">
        <f t="shared" si="12"/>
        <v>0.66</v>
      </c>
      <c r="H107" s="170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hidden="1" customHeight="1" outlineLevel="1" x14ac:dyDescent="0.2">
      <c r="A108" s="2">
        <v>84</v>
      </c>
      <c r="B108" s="2" t="s">
        <v>300</v>
      </c>
      <c r="C108" s="8" t="s">
        <v>301</v>
      </c>
      <c r="D108" s="2" t="s">
        <v>193</v>
      </c>
      <c r="E108" s="135">
        <v>4.5095387352168002E-3</v>
      </c>
      <c r="F108" s="120">
        <v>133.05000000000001</v>
      </c>
      <c r="G108" s="26">
        <f t="shared" si="12"/>
        <v>0.6</v>
      </c>
      <c r="H108" s="170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hidden="1" customHeight="1" outlineLevel="1" x14ac:dyDescent="0.2">
      <c r="A109" s="2">
        <v>85</v>
      </c>
      <c r="B109" s="2" t="s">
        <v>302</v>
      </c>
      <c r="C109" s="8" t="s">
        <v>303</v>
      </c>
      <c r="D109" s="2" t="s">
        <v>193</v>
      </c>
      <c r="E109" s="135">
        <v>4.9903343184181E-3</v>
      </c>
      <c r="F109" s="120">
        <v>114.22</v>
      </c>
      <c r="G109" s="26">
        <f t="shared" si="12"/>
        <v>0.56999999999999995</v>
      </c>
      <c r="H109" s="170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hidden="1" customHeight="1" outlineLevel="1" x14ac:dyDescent="0.2">
      <c r="A110" s="2">
        <v>86</v>
      </c>
      <c r="B110" s="2" t="s">
        <v>304</v>
      </c>
      <c r="C110" s="8" t="s">
        <v>305</v>
      </c>
      <c r="D110" s="2" t="s">
        <v>264</v>
      </c>
      <c r="E110" s="135">
        <v>2.0094351408483E-3</v>
      </c>
      <c r="F110" s="120">
        <v>253.8</v>
      </c>
      <c r="G110" s="26">
        <f t="shared" si="12"/>
        <v>0.51</v>
      </c>
      <c r="H110" s="170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hidden="1" customHeight="1" outlineLevel="1" x14ac:dyDescent="0.2">
      <c r="A111" s="2">
        <v>87</v>
      </c>
      <c r="B111" s="2" t="s">
        <v>306</v>
      </c>
      <c r="C111" s="8" t="s">
        <v>307</v>
      </c>
      <c r="D111" s="2" t="s">
        <v>193</v>
      </c>
      <c r="E111" s="135">
        <v>1.4964125867635E-2</v>
      </c>
      <c r="F111" s="120">
        <v>15.37</v>
      </c>
      <c r="G111" s="26">
        <f t="shared" si="12"/>
        <v>0.23</v>
      </c>
      <c r="H111" s="170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hidden="1" customHeight="1" outlineLevel="1" x14ac:dyDescent="0.2">
      <c r="A112" s="2">
        <v>88</v>
      </c>
      <c r="B112" s="2" t="s">
        <v>308</v>
      </c>
      <c r="C112" s="8" t="s">
        <v>309</v>
      </c>
      <c r="D112" s="2" t="s">
        <v>193</v>
      </c>
      <c r="E112" s="135">
        <v>1.2389091807882001E-2</v>
      </c>
      <c r="F112" s="120">
        <v>16.95</v>
      </c>
      <c r="G112" s="26">
        <f t="shared" si="12"/>
        <v>0.21</v>
      </c>
      <c r="H112" s="170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hidden="1" customHeight="1" outlineLevel="1" x14ac:dyDescent="0.2">
      <c r="A113" s="2">
        <v>89</v>
      </c>
      <c r="B113" s="2" t="s">
        <v>310</v>
      </c>
      <c r="C113" s="8" t="s">
        <v>311</v>
      </c>
      <c r="D113" s="2" t="s">
        <v>193</v>
      </c>
      <c r="E113" s="135">
        <v>2.8284408767493001E-3</v>
      </c>
      <c r="F113" s="120">
        <v>38.89</v>
      </c>
      <c r="G113" s="26">
        <f t="shared" si="12"/>
        <v>0.11</v>
      </c>
      <c r="H113" s="170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hidden="1" customHeight="1" outlineLevel="1" x14ac:dyDescent="0.2">
      <c r="A114" s="2">
        <v>90</v>
      </c>
      <c r="B114" s="2" t="s">
        <v>312</v>
      </c>
      <c r="C114" s="8" t="s">
        <v>313</v>
      </c>
      <c r="D114" s="2" t="s">
        <v>193</v>
      </c>
      <c r="E114" s="135">
        <v>4.3477768996208997E-3</v>
      </c>
      <c r="F114" s="120">
        <v>11.5</v>
      </c>
      <c r="G114" s="26">
        <f t="shared" si="12"/>
        <v>0.05</v>
      </c>
      <c r="H114" s="170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collapsed="1" x14ac:dyDescent="0.2">
      <c r="A115" s="2"/>
      <c r="B115" s="2"/>
      <c r="C115" s="8" t="s">
        <v>385</v>
      </c>
      <c r="D115" s="2"/>
      <c r="E115" s="190"/>
      <c r="F115" s="120"/>
      <c r="G115" s="26">
        <f>SUM(G66:G114)</f>
        <v>454.86</v>
      </c>
      <c r="H115" s="170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8" t="s">
        <v>386</v>
      </c>
      <c r="D116" s="2"/>
      <c r="E116" s="190"/>
      <c r="F116" s="120"/>
      <c r="G116" s="26">
        <f>G65+G115</f>
        <v>3257.3699999999994</v>
      </c>
      <c r="H116" s="191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387</v>
      </c>
      <c r="D117" s="2"/>
      <c r="E117" s="190"/>
      <c r="F117" s="120"/>
      <c r="G117" s="26">
        <f>G14+G33+G116</f>
        <v>12655.39</v>
      </c>
      <c r="H117" s="191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388</v>
      </c>
      <c r="D118" s="122">
        <f>ROUND(G118/(G$16+$G$14),2)</f>
        <v>1.6</v>
      </c>
      <c r="E118" s="190"/>
      <c r="F118" s="120"/>
      <c r="G118" s="26">
        <v>11581.32</v>
      </c>
      <c r="H118" s="191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389</v>
      </c>
      <c r="D119" s="122">
        <f>ROUND(G119/(G$14+G$16),2)</f>
        <v>1.1599999999999999</v>
      </c>
      <c r="E119" s="190"/>
      <c r="F119" s="120"/>
      <c r="G119" s="26">
        <v>8412.65</v>
      </c>
      <c r="H119" s="191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390</v>
      </c>
      <c r="D120" s="2"/>
      <c r="E120" s="190"/>
      <c r="F120" s="120"/>
      <c r="G120" s="26">
        <f>G14+G33+G116+G118+G119</f>
        <v>32649.360000000001</v>
      </c>
      <c r="H120" s="191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391</v>
      </c>
      <c r="D121" s="2"/>
      <c r="E121" s="190"/>
      <c r="F121" s="120"/>
      <c r="G121" s="26">
        <f>G120+G44</f>
        <v>562202.17999999993</v>
      </c>
      <c r="H121" s="191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351</v>
      </c>
      <c r="D122" s="2" t="s">
        <v>392</v>
      </c>
      <c r="E122" s="177">
        <v>1</v>
      </c>
      <c r="F122" s="120"/>
      <c r="G122" s="26">
        <f>G121/E122</f>
        <v>562202.17999999993</v>
      </c>
      <c r="H122" s="191"/>
      <c r="I122" s="26"/>
      <c r="J122" s="26">
        <f>J121/E122</f>
        <v>4577071.21</v>
      </c>
    </row>
    <row r="124" spans="1:10" s="12" customFormat="1" ht="14.25" customHeight="1" x14ac:dyDescent="0.2">
      <c r="A124" s="4" t="s">
        <v>393</v>
      </c>
    </row>
    <row r="125" spans="1:10" s="12" customFormat="1" ht="14.25" customHeight="1" x14ac:dyDescent="0.2">
      <c r="A125" s="114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394</v>
      </c>
    </row>
    <row r="128" spans="1:10" s="12" customFormat="1" ht="14.25" customHeight="1" x14ac:dyDescent="0.2">
      <c r="A128" s="11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7:H47"/>
    <mergeCell ref="B12:H12"/>
    <mergeCell ref="B15:H15"/>
    <mergeCell ref="B17:H17"/>
    <mergeCell ref="B18:H18"/>
    <mergeCell ref="B35:H35"/>
    <mergeCell ref="B34:H34"/>
    <mergeCell ref="B46:H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topLeftCell="A7" workbookViewId="0">
      <selection activeCell="D22" sqref="D22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4" t="s">
        <v>395</v>
      </c>
      <c r="B1" s="254"/>
      <c r="C1" s="254"/>
      <c r="D1" s="254"/>
      <c r="E1" s="254"/>
      <c r="F1" s="254"/>
      <c r="G1" s="254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10" t="s">
        <v>396</v>
      </c>
      <c r="B3" s="210"/>
      <c r="C3" s="210"/>
      <c r="D3" s="210"/>
      <c r="E3" s="210"/>
      <c r="F3" s="210"/>
      <c r="G3" s="210"/>
    </row>
    <row r="4" spans="1:7" ht="27" customHeight="1" x14ac:dyDescent="0.25">
      <c r="A4" s="213" t="s">
        <v>316</v>
      </c>
      <c r="B4" s="213"/>
      <c r="C4" s="213"/>
      <c r="D4" s="213"/>
      <c r="E4" s="213"/>
      <c r="F4" s="213"/>
      <c r="G4" s="21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9" t="s">
        <v>13</v>
      </c>
      <c r="B6" s="259" t="s">
        <v>100</v>
      </c>
      <c r="C6" s="259" t="s">
        <v>317</v>
      </c>
      <c r="D6" s="259" t="s">
        <v>102</v>
      </c>
      <c r="E6" s="239" t="s">
        <v>360</v>
      </c>
      <c r="F6" s="259" t="s">
        <v>104</v>
      </c>
      <c r="G6" s="259"/>
    </row>
    <row r="7" spans="1:7" x14ac:dyDescent="0.25">
      <c r="A7" s="259"/>
      <c r="B7" s="259"/>
      <c r="C7" s="259"/>
      <c r="D7" s="259"/>
      <c r="E7" s="240"/>
      <c r="F7" s="2" t="s">
        <v>363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55" t="s">
        <v>397</v>
      </c>
      <c r="C9" s="256"/>
      <c r="D9" s="256"/>
      <c r="E9" s="256"/>
      <c r="F9" s="256"/>
      <c r="G9" s="257"/>
    </row>
    <row r="10" spans="1:7" ht="27" customHeight="1" x14ac:dyDescent="0.25">
      <c r="A10" s="2"/>
      <c r="B10" s="118"/>
      <c r="C10" s="8" t="s">
        <v>398</v>
      </c>
      <c r="D10" s="118"/>
      <c r="E10" s="119"/>
      <c r="F10" s="120"/>
      <c r="G10" s="120">
        <v>0</v>
      </c>
    </row>
    <row r="11" spans="1:7" x14ac:dyDescent="0.25">
      <c r="A11" s="2"/>
      <c r="B11" s="246" t="s">
        <v>399</v>
      </c>
      <c r="C11" s="246"/>
      <c r="D11" s="246"/>
      <c r="E11" s="258"/>
      <c r="F11" s="248"/>
      <c r="G11" s="248"/>
    </row>
    <row r="12" spans="1:7" ht="25.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 Cisco ASA5510 c DC блоком питания</v>
      </c>
      <c r="D12" s="8" t="str">
        <f>'Прил.5 Расчет СМР и ОБ'!D36</f>
        <v>шт</v>
      </c>
      <c r="E12" s="196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 xml:space="preserve">Маршрутизатор Ciscо 2921/K9 </v>
      </c>
      <c r="D13" s="8" t="str">
        <f>'Прил.5 Расчет СМР и ОБ'!D37</f>
        <v>шт</v>
      </c>
      <c r="E13" s="196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Коммутатор, 24 порта Cisco ME-3400 (с 2 модулями GLC-T)</v>
      </c>
      <c r="D14" s="8" t="str">
        <f>'Прил.5 Расчет СМР и ОБ'!D38</f>
        <v>шт</v>
      </c>
      <c r="E14" s="196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ht="25.5" customHeight="1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для Cisco Catalyst 2960 (с модулями GLC)</v>
      </c>
      <c r="D15" s="8" t="str">
        <f>'Прил.5 Расчет СМР и ОБ'!D39</f>
        <v>шт</v>
      </c>
      <c r="E15" s="196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196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Коммутатор, 8 портов Cisco Catalyst 2960</v>
      </c>
      <c r="D17" s="8" t="str">
        <f>'Прил.5 Расчет СМР и ОБ'!D41</f>
        <v>шт</v>
      </c>
      <c r="E17" s="196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400</v>
      </c>
      <c r="D18" s="8"/>
      <c r="E18" s="40"/>
      <c r="F18" s="120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401</v>
      </c>
      <c r="D19" s="8"/>
      <c r="E19" s="40"/>
      <c r="F19" s="120"/>
      <c r="G19" s="26">
        <f>G10+G18</f>
        <v>643969.66999999993</v>
      </c>
    </row>
    <row r="20" spans="1:7" x14ac:dyDescent="0.25">
      <c r="A20" s="24"/>
      <c r="B20" s="121"/>
      <c r="C20" s="24"/>
      <c r="D20" s="24"/>
      <c r="E20" s="24"/>
      <c r="F20" s="24"/>
      <c r="G20" s="24"/>
    </row>
    <row r="21" spans="1:7" x14ac:dyDescent="0.25">
      <c r="A21" s="4" t="s">
        <v>393</v>
      </c>
      <c r="B21" s="12"/>
      <c r="C21" s="12"/>
      <c r="D21" s="24"/>
      <c r="E21" s="24"/>
      <c r="F21" s="24"/>
      <c r="G21" s="24"/>
    </row>
    <row r="22" spans="1:7" x14ac:dyDescent="0.25">
      <c r="A22" s="114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394</v>
      </c>
      <c r="B24" s="12"/>
      <c r="C24" s="12"/>
      <c r="D24" s="24"/>
      <c r="E24" s="24"/>
      <c r="F24" s="24"/>
      <c r="G24" s="24"/>
    </row>
    <row r="25" spans="1:7" x14ac:dyDescent="0.25">
      <c r="A25" s="114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2023-11-26T08:10:42Z</cp:lastPrinted>
  <dcterms:created xsi:type="dcterms:W3CDTF">2020-09-30T08:50:27Z</dcterms:created>
  <dcterms:modified xsi:type="dcterms:W3CDTF">2023-11-26T08:10:52Z</dcterms:modified>
  <cp:category/>
</cp:coreProperties>
</file>