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E6CA2F95-AC28-4628-9348-18A6B05B6F6E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Прил.3!$A$1:$H$121</definedName>
    <definedName name="_xlnm.Print_Area" localSheetId="6">'Прил.4 РМ'!$A$1:$E$48</definedName>
    <definedName name="_xlnm.Print_Area" localSheetId="7">'Прил.5 Расчет СМР и ОБ'!$A$1:$J$131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E17" i="9"/>
  <c r="D17" i="9"/>
  <c r="C17" i="9"/>
  <c r="B17" i="9"/>
  <c r="F16" i="9"/>
  <c r="G16" i="9" s="1"/>
  <c r="E16" i="9"/>
  <c r="D16" i="9"/>
  <c r="C16" i="9"/>
  <c r="B16" i="9"/>
  <c r="F15" i="9"/>
  <c r="G15" i="9" s="1"/>
  <c r="E15" i="9"/>
  <c r="D15" i="9"/>
  <c r="C15" i="9"/>
  <c r="B15" i="9"/>
  <c r="F14" i="9"/>
  <c r="E14" i="9"/>
  <c r="D14" i="9"/>
  <c r="C14" i="9"/>
  <c r="B14" i="9"/>
  <c r="E13" i="9"/>
  <c r="D13" i="9"/>
  <c r="C13" i="9"/>
  <c r="B13" i="9"/>
  <c r="E12" i="9"/>
  <c r="D12" i="9"/>
  <c r="C12" i="9"/>
  <c r="B12" i="9"/>
  <c r="I114" i="8"/>
  <c r="J114" i="8" s="1"/>
  <c r="G114" i="8"/>
  <c r="I113" i="8"/>
  <c r="J113" i="8" s="1"/>
  <c r="G113" i="8"/>
  <c r="I112" i="8"/>
  <c r="J112" i="8" s="1"/>
  <c r="G112" i="8"/>
  <c r="I111" i="8"/>
  <c r="J111" i="8" s="1"/>
  <c r="G111" i="8"/>
  <c r="J110" i="8"/>
  <c r="I110" i="8"/>
  <c r="G110" i="8"/>
  <c r="I109" i="8"/>
  <c r="J109" i="8" s="1"/>
  <c r="G109" i="8"/>
  <c r="J108" i="8"/>
  <c r="I108" i="8"/>
  <c r="G108" i="8"/>
  <c r="I107" i="8"/>
  <c r="J107" i="8" s="1"/>
  <c r="G107" i="8"/>
  <c r="I106" i="8"/>
  <c r="J106" i="8" s="1"/>
  <c r="G106" i="8"/>
  <c r="J105" i="8"/>
  <c r="I105" i="8"/>
  <c r="G105" i="8"/>
  <c r="I104" i="8"/>
  <c r="J104" i="8" s="1"/>
  <c r="G104" i="8"/>
  <c r="I103" i="8"/>
  <c r="J103" i="8" s="1"/>
  <c r="G103" i="8"/>
  <c r="I102" i="8"/>
  <c r="J102" i="8" s="1"/>
  <c r="G102" i="8"/>
  <c r="J101" i="8"/>
  <c r="I101" i="8"/>
  <c r="G101" i="8"/>
  <c r="I100" i="8"/>
  <c r="J100" i="8" s="1"/>
  <c r="G100" i="8"/>
  <c r="J99" i="8"/>
  <c r="I99" i="8"/>
  <c r="G99" i="8"/>
  <c r="I98" i="8"/>
  <c r="J98" i="8" s="1"/>
  <c r="G98" i="8"/>
  <c r="I97" i="8"/>
  <c r="J97" i="8" s="1"/>
  <c r="G97" i="8"/>
  <c r="J96" i="8"/>
  <c r="I96" i="8"/>
  <c r="G96" i="8"/>
  <c r="I95" i="8"/>
  <c r="J95" i="8" s="1"/>
  <c r="G95" i="8"/>
  <c r="I94" i="8"/>
  <c r="J94" i="8" s="1"/>
  <c r="G94" i="8"/>
  <c r="I93" i="8"/>
  <c r="J93" i="8" s="1"/>
  <c r="G93" i="8"/>
  <c r="J92" i="8"/>
  <c r="I92" i="8"/>
  <c r="G92" i="8"/>
  <c r="I91" i="8"/>
  <c r="J91" i="8" s="1"/>
  <c r="G91" i="8"/>
  <c r="J90" i="8"/>
  <c r="I90" i="8"/>
  <c r="G90" i="8"/>
  <c r="I89" i="8"/>
  <c r="J89" i="8" s="1"/>
  <c r="G89" i="8"/>
  <c r="I88" i="8"/>
  <c r="J88" i="8" s="1"/>
  <c r="G88" i="8"/>
  <c r="J87" i="8"/>
  <c r="I87" i="8"/>
  <c r="G87" i="8"/>
  <c r="I86" i="8"/>
  <c r="J86" i="8" s="1"/>
  <c r="G86" i="8"/>
  <c r="I85" i="8"/>
  <c r="J85" i="8" s="1"/>
  <c r="G85" i="8"/>
  <c r="I84" i="8"/>
  <c r="J84" i="8" s="1"/>
  <c r="G84" i="8"/>
  <c r="J83" i="8"/>
  <c r="I83" i="8"/>
  <c r="G83" i="8"/>
  <c r="I82" i="8"/>
  <c r="J82" i="8" s="1"/>
  <c r="G82" i="8"/>
  <c r="J81" i="8"/>
  <c r="I81" i="8"/>
  <c r="G81" i="8"/>
  <c r="I80" i="8"/>
  <c r="J80" i="8" s="1"/>
  <c r="G80" i="8"/>
  <c r="I79" i="8"/>
  <c r="J79" i="8" s="1"/>
  <c r="G79" i="8"/>
  <c r="I78" i="8"/>
  <c r="J78" i="8" s="1"/>
  <c r="G78" i="8"/>
  <c r="I77" i="8"/>
  <c r="J77" i="8" s="1"/>
  <c r="G77" i="8"/>
  <c r="I76" i="8"/>
  <c r="J76" i="8" s="1"/>
  <c r="G76" i="8"/>
  <c r="I75" i="8"/>
  <c r="J75" i="8" s="1"/>
  <c r="G75" i="8"/>
  <c r="I74" i="8"/>
  <c r="J74" i="8" s="1"/>
  <c r="G74" i="8"/>
  <c r="I73" i="8"/>
  <c r="J73" i="8" s="1"/>
  <c r="G73" i="8"/>
  <c r="I72" i="8"/>
  <c r="J72" i="8" s="1"/>
  <c r="G72" i="8"/>
  <c r="I71" i="8"/>
  <c r="J71" i="8" s="1"/>
  <c r="G71" i="8"/>
  <c r="I70" i="8"/>
  <c r="J70" i="8" s="1"/>
  <c r="G70" i="8"/>
  <c r="I69" i="8"/>
  <c r="J69" i="8" s="1"/>
  <c r="G69" i="8"/>
  <c r="I68" i="8"/>
  <c r="J68" i="8" s="1"/>
  <c r="G68" i="8"/>
  <c r="I67" i="8"/>
  <c r="J67" i="8" s="1"/>
  <c r="G67" i="8"/>
  <c r="J66" i="8"/>
  <c r="I66" i="8"/>
  <c r="G66" i="8"/>
  <c r="I64" i="8"/>
  <c r="J64" i="8" s="1"/>
  <c r="G64" i="8"/>
  <c r="I63" i="8"/>
  <c r="J63" i="8" s="1"/>
  <c r="G63" i="8"/>
  <c r="I62" i="8"/>
  <c r="J62" i="8" s="1"/>
  <c r="G62" i="8"/>
  <c r="I61" i="8"/>
  <c r="J61" i="8" s="1"/>
  <c r="G61" i="8"/>
  <c r="I60" i="8"/>
  <c r="J60" i="8" s="1"/>
  <c r="G60" i="8"/>
  <c r="I59" i="8"/>
  <c r="J59" i="8" s="1"/>
  <c r="G59" i="8"/>
  <c r="I58" i="8"/>
  <c r="J58" i="8" s="1"/>
  <c r="G58" i="8"/>
  <c r="I57" i="8"/>
  <c r="J57" i="8" s="1"/>
  <c r="G57" i="8"/>
  <c r="I56" i="8"/>
  <c r="J56" i="8" s="1"/>
  <c r="G56" i="8"/>
  <c r="J55" i="8"/>
  <c r="I55" i="8"/>
  <c r="G55" i="8"/>
  <c r="I54" i="8"/>
  <c r="J54" i="8" s="1"/>
  <c r="G54" i="8"/>
  <c r="I53" i="8"/>
  <c r="J53" i="8" s="1"/>
  <c r="G53" i="8"/>
  <c r="J52" i="8"/>
  <c r="I52" i="8"/>
  <c r="G52" i="8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J41" i="8"/>
  <c r="F41" i="8"/>
  <c r="G41" i="8" s="1"/>
  <c r="I40" i="8"/>
  <c r="J40" i="8" s="1"/>
  <c r="G40" i="8"/>
  <c r="J39" i="8"/>
  <c r="F39" i="8"/>
  <c r="G39" i="8" s="1"/>
  <c r="J38" i="8"/>
  <c r="F38" i="8"/>
  <c r="G38" i="8" s="1"/>
  <c r="J37" i="8"/>
  <c r="F37" i="8"/>
  <c r="F13" i="9" s="1"/>
  <c r="G13" i="9" s="1"/>
  <c r="J36" i="8"/>
  <c r="F36" i="8"/>
  <c r="G36" i="8" s="1"/>
  <c r="I31" i="8"/>
  <c r="J31" i="8" s="1"/>
  <c r="G31" i="8"/>
  <c r="I30" i="8"/>
  <c r="J30" i="8" s="1"/>
  <c r="G30" i="8"/>
  <c r="I29" i="8"/>
  <c r="J29" i="8" s="1"/>
  <c r="G29" i="8"/>
  <c r="I28" i="8"/>
  <c r="J28" i="8" s="1"/>
  <c r="G28" i="8"/>
  <c r="I27" i="8"/>
  <c r="J27" i="8" s="1"/>
  <c r="G27" i="8"/>
  <c r="I26" i="8"/>
  <c r="J26" i="8" s="1"/>
  <c r="G26" i="8"/>
  <c r="I25" i="8"/>
  <c r="J25" i="8" s="1"/>
  <c r="G25" i="8"/>
  <c r="I24" i="8"/>
  <c r="J24" i="8" s="1"/>
  <c r="G24" i="8"/>
  <c r="I23" i="8"/>
  <c r="J23" i="8" s="1"/>
  <c r="G23" i="8"/>
  <c r="I22" i="8"/>
  <c r="J22" i="8" s="1"/>
  <c r="G22" i="8"/>
  <c r="I21" i="8"/>
  <c r="J21" i="8" s="1"/>
  <c r="G21" i="8"/>
  <c r="G20" i="8"/>
  <c r="I19" i="8"/>
  <c r="J19" i="8" s="1"/>
  <c r="J20" i="8" s="1"/>
  <c r="G19" i="8"/>
  <c r="G16" i="8"/>
  <c r="E14" i="8"/>
  <c r="I13" i="8"/>
  <c r="J13" i="8" s="1"/>
  <c r="J14" i="8" s="1"/>
  <c r="G13" i="8"/>
  <c r="G14" i="8" s="1"/>
  <c r="C33" i="7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4" i="6"/>
  <c r="H23" i="6"/>
  <c r="H22" i="6"/>
  <c r="H21" i="6"/>
  <c r="H20" i="6"/>
  <c r="H19" i="6"/>
  <c r="H18" i="6"/>
  <c r="H17" i="6"/>
  <c r="H16" i="6"/>
  <c r="H15" i="6"/>
  <c r="H14" i="6"/>
  <c r="K13" i="6"/>
  <c r="H13" i="6"/>
  <c r="H12" i="6"/>
  <c r="F12" i="6"/>
  <c r="J14" i="5"/>
  <c r="H14" i="5"/>
  <c r="F14" i="5"/>
  <c r="J13" i="5"/>
  <c r="H13" i="5"/>
  <c r="F13" i="5"/>
  <c r="J12" i="5"/>
  <c r="B7" i="5"/>
  <c r="B6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32" i="8" l="1"/>
  <c r="G33" i="8" s="1"/>
  <c r="G37" i="8"/>
  <c r="G42" i="8" s="1"/>
  <c r="F12" i="9"/>
  <c r="G12" i="9" s="1"/>
  <c r="G18" i="9" s="1"/>
  <c r="J42" i="8"/>
  <c r="J44" i="8" s="1"/>
  <c r="F17" i="9"/>
  <c r="G17" i="9" s="1"/>
  <c r="J115" i="8"/>
  <c r="C17" i="7" s="1"/>
  <c r="G14" i="9"/>
  <c r="G65" i="8"/>
  <c r="G116" i="8" s="1"/>
  <c r="C12" i="7"/>
  <c r="J65" i="8"/>
  <c r="C11" i="7"/>
  <c r="J32" i="8"/>
  <c r="C13" i="7" s="1"/>
  <c r="C14" i="7" s="1"/>
  <c r="C25" i="7"/>
  <c r="J45" i="8"/>
  <c r="C26" i="7" s="1"/>
  <c r="G115" i="8"/>
  <c r="D118" i="8"/>
  <c r="J118" i="8" s="1"/>
  <c r="D119" i="8"/>
  <c r="H13" i="8"/>
  <c r="F16" i="8"/>
  <c r="I16" i="8" s="1"/>
  <c r="J16" i="8" s="1"/>
  <c r="C15" i="7" s="1"/>
  <c r="H19" i="8" l="1"/>
  <c r="H26" i="8"/>
  <c r="H29" i="8"/>
  <c r="H27" i="8"/>
  <c r="H28" i="8"/>
  <c r="H30" i="8"/>
  <c r="H31" i="8"/>
  <c r="G120" i="8"/>
  <c r="H32" i="8"/>
  <c r="H20" i="8"/>
  <c r="H23" i="8"/>
  <c r="H21" i="8"/>
  <c r="H22" i="8"/>
  <c r="H24" i="8"/>
  <c r="H25" i="8"/>
  <c r="H75" i="8"/>
  <c r="H90" i="8"/>
  <c r="H79" i="8"/>
  <c r="H56" i="8"/>
  <c r="H102" i="8"/>
  <c r="H62" i="8"/>
  <c r="H99" i="8"/>
  <c r="H50" i="8"/>
  <c r="H64" i="8"/>
  <c r="H111" i="8"/>
  <c r="H59" i="8"/>
  <c r="H73" i="8"/>
  <c r="H108" i="8"/>
  <c r="H114" i="8"/>
  <c r="H96" i="8"/>
  <c r="H55" i="8"/>
  <c r="H105" i="8"/>
  <c r="H81" i="8"/>
  <c r="H84" i="8"/>
  <c r="H70" i="8"/>
  <c r="H58" i="8"/>
  <c r="H69" i="8"/>
  <c r="G44" i="8"/>
  <c r="H42" i="8" s="1"/>
  <c r="H61" i="8"/>
  <c r="H48" i="8"/>
  <c r="G121" i="8"/>
  <c r="G122" i="8" s="1"/>
  <c r="G45" i="8"/>
  <c r="G19" i="9"/>
  <c r="C16" i="7"/>
  <c r="C18" i="7" s="1"/>
  <c r="C19" i="7" s="1"/>
  <c r="J116" i="8"/>
  <c r="H116" i="8"/>
  <c r="H63" i="8"/>
  <c r="H60" i="8"/>
  <c r="H57" i="8"/>
  <c r="H54" i="8"/>
  <c r="H51" i="8"/>
  <c r="H110" i="8"/>
  <c r="H98" i="8"/>
  <c r="H77" i="8"/>
  <c r="H74" i="8"/>
  <c r="H71" i="8"/>
  <c r="H68" i="8"/>
  <c r="H88" i="8"/>
  <c r="H82" i="8"/>
  <c r="H113" i="8"/>
  <c r="H101" i="8"/>
  <c r="H95" i="8"/>
  <c r="H92" i="8"/>
  <c r="H83" i="8"/>
  <c r="H80" i="8"/>
  <c r="H107" i="8"/>
  <c r="H112" i="8"/>
  <c r="H109" i="8"/>
  <c r="H106" i="8"/>
  <c r="H103" i="8"/>
  <c r="H100" i="8"/>
  <c r="H97" i="8"/>
  <c r="H94" i="8"/>
  <c r="H91" i="8"/>
  <c r="H85" i="8"/>
  <c r="H104" i="8"/>
  <c r="H89" i="8"/>
  <c r="H86" i="8"/>
  <c r="H76" i="8"/>
  <c r="H52" i="8"/>
  <c r="H87" i="8"/>
  <c r="H93" i="8"/>
  <c r="H53" i="8"/>
  <c r="J33" i="8"/>
  <c r="J117" i="8" s="1"/>
  <c r="G117" i="8"/>
  <c r="H115" i="8"/>
  <c r="H65" i="8"/>
  <c r="H66" i="8"/>
  <c r="H49" i="8"/>
  <c r="H78" i="8"/>
  <c r="H72" i="8"/>
  <c r="H67" i="8"/>
  <c r="C20" i="7"/>
  <c r="C22" i="7"/>
  <c r="J119" i="8"/>
  <c r="J120" i="8"/>
  <c r="J121" i="8" s="1"/>
  <c r="J122" i="8" s="1"/>
  <c r="H43" i="8" l="1"/>
  <c r="H44" i="8" s="1"/>
  <c r="H40" i="8"/>
  <c r="H38" i="8"/>
  <c r="H36" i="8"/>
  <c r="H37" i="8"/>
  <c r="H39" i="8"/>
  <c r="H41" i="8"/>
  <c r="C24" i="7"/>
  <c r="D22" i="7" s="1"/>
  <c r="C27" i="7" l="1"/>
  <c r="D24" i="7"/>
  <c r="D16" i="7"/>
  <c r="D12" i="7"/>
  <c r="D17" i="7"/>
  <c r="D13" i="7"/>
  <c r="D11" i="7"/>
  <c r="C29" i="7"/>
  <c r="D18" i="7"/>
  <c r="D14" i="7"/>
  <c r="D15" i="7"/>
  <c r="D20" i="7"/>
  <c r="C32" i="7" l="1"/>
  <c r="C34" i="7"/>
  <c r="C30" i="7"/>
  <c r="C35" i="7" l="1"/>
  <c r="C36" i="7"/>
  <c r="C37" i="7"/>
  <c r="C38" i="7" l="1"/>
  <c r="C39" i="7" l="1"/>
  <c r="C40" i="7" l="1"/>
  <c r="E39" i="7"/>
  <c r="C41" i="7" l="1"/>
  <c r="D11" i="10" s="1"/>
  <c r="E40" i="7"/>
  <c r="E31" i="7"/>
  <c r="E17" i="7"/>
  <c r="E13" i="7"/>
  <c r="E11" i="7"/>
  <c r="E26" i="7"/>
  <c r="E33" i="7"/>
  <c r="E25" i="7"/>
  <c r="E18" i="7"/>
  <c r="E16" i="7"/>
  <c r="E14" i="7"/>
  <c r="E12" i="7"/>
  <c r="E15" i="7"/>
  <c r="E20" i="7"/>
  <c r="E22" i="7"/>
  <c r="E24" i="7"/>
  <c r="E29" i="7"/>
  <c r="E27" i="7"/>
  <c r="E32" i="7"/>
  <c r="E30" i="7"/>
  <c r="E34" i="7"/>
  <c r="E36" i="7"/>
  <c r="E35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<sst xmlns="http://schemas.openxmlformats.org/spreadsheetml/2006/main" count="1028" uniqueCount="564">
  <si>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</si>
  <si>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</si>
  <si>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</si>
  <si>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</si>
  <si>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</si>
  <si>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</si>
  <si>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</si>
  <si>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</si>
  <si>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</si>
  <si>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</si>
  <si>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</si>
  <si>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</si>
  <si>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</si>
  <si>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</si>
  <si>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</si>
  <si>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</si>
  <si>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</si>
  <si>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</si>
  <si>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</si>
  <si>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</si>
  <si>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</si>
  <si>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</si>
  <si>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</si>
  <si>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</si>
  <si>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</si>
  <si>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</si>
  <si>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</si>
  <si>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</si>
  <si>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</si>
  <si>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</si>
  <si>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</si>
  <si>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</si>
  <si>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</si>
  <si>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</si>
  <si>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</si>
  <si>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</si>
  <si>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</si>
  <si>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</si>
  <si>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</si>
  <si>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</si>
  <si>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</si>
  <si>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</si>
  <si>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</si>
  <si>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</si>
  <si>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</si>
  <si>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</si>
  <si>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</si>
  <si>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</si>
  <si>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- Постоянная часть ПС, ЛВС ЗПС 330 кВ</t>
  </si>
  <si>
    <t>Сопоставимый уровень цен: 3 кв 2013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</si>
  <si>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</si>
  <si>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</si>
  <si>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</si>
  <si>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</si>
  <si>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</si>
  <si>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</si>
  <si>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</si>
  <si>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</si>
  <si>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</si>
  <si>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</si>
  <si>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</si>
  <si>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1 комплект ЛВС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</si>
  <si>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</si>
  <si>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</si>
  <si>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</si>
  <si>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</si>
  <si>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</si>
  <si>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</si>
  <si>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</si>
  <si>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</si>
  <si>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</si>
  <si>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</si>
  <si>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</si>
  <si>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</si>
  <si>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</si>
  <si>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</si>
  <si>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</si>
  <si>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</si>
  <si>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</si>
  <si>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</si>
  <si>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</si>
  <si>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</si>
  <si>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</si>
  <si>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</si>
  <si>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</si>
  <si>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</si>
  <si>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__ кв. 20__г., тыс. руб.</t>
  </si>
  <si>
    <t>Строительные работы</t>
  </si>
  <si>
    <t>Монтажные работы</t>
  </si>
  <si>
    <t>Прочее</t>
  </si>
  <si>
    <t>Всего</t>
  </si>
  <si>
    <t>ЛВС ЗПС 330 кВ</t>
  </si>
  <si>
    <t>Всего по объекту:</t>
  </si>
  <si>
    <t>Всего по объекту в сопоставимом уровне цен 3 кв. 2013 г:</t>
  </si>
  <si>
    <t>Составил ______________________     Д.Ю. Нефедова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</si>
  <si>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</si>
  <si>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</si>
  <si>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</si>
  <si>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Постоянная часть ПС, ЛВС ЗПС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</si>
  <si>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</si>
  <si>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</si>
  <si>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</si>
  <si>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</si>
  <si>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</si>
  <si>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</si>
  <si>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</si>
  <si>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</si>
  <si>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</si>
  <si>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</si>
  <si>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</si>
  <si>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1-3-0</t>
  </si>
  <si>
    <t>Затраты труда рабочих (ср 3)</t>
  </si>
  <si>
    <t>чел.час</t>
  </si>
  <si>
    <t>1-4-0</t>
  </si>
  <si>
    <t>Затраты труда рабочих (ср 4)</t>
  </si>
  <si>
    <t>1-6-0</t>
  </si>
  <si>
    <t>Затраты труда рабочих (ср 6)</t>
  </si>
  <si>
    <t>1-4-5</t>
  </si>
  <si>
    <t>Затраты труда рабочих (ср 4,5)</t>
  </si>
  <si>
    <t>1-5-0</t>
  </si>
  <si>
    <t>Затраты труда рабочих (ср 5)</t>
  </si>
  <si>
    <t>1-3-9</t>
  </si>
  <si>
    <t>Затраты труда рабочих (ср 3,9)</t>
  </si>
  <si>
    <t>1-3-8</t>
  </si>
  <si>
    <t>Затраты труда рабочих (ср 3,8)</t>
  </si>
  <si>
    <t>1-3-2</t>
  </si>
  <si>
    <t>Затраты труда рабочих (ср 3,2)</t>
  </si>
  <si>
    <t>1-3-1</t>
  </si>
  <si>
    <t>Затраты труда рабочих (ср 3,1)</t>
  </si>
  <si>
    <t>1-4-2</t>
  </si>
  <si>
    <t>Затраты труда рабочих (ср 4,2)</t>
  </si>
  <si>
    <t>1-3-5</t>
  </si>
  <si>
    <t>Затраты труда рабочих (ср 3,5)</t>
  </si>
  <si>
    <t>Затраты труда машинистов</t>
  </si>
  <si>
    <t>чел.-ч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</si>
  <si>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</si>
  <si>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</si>
  <si>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</si>
  <si>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</si>
  <si>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</si>
  <si>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</si>
  <si>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91.21.12-002</t>
  </si>
  <si>
    <t>Ножницы листовые кривошипные гильотинные</t>
  </si>
  <si>
    <t>91.14.02-001</t>
  </si>
  <si>
    <t>Автомобили бортовые, грузоподъемность: до 5 т</t>
  </si>
  <si>
    <t>91.21.16-014</t>
  </si>
  <si>
    <t>Пресс: листогибочный кривошипный 1000 кН (100 тс)</t>
  </si>
  <si>
    <t>91.17.04-233</t>
  </si>
  <si>
    <t>Установки для сварки: ручной дуговой (постоянного тока)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</si>
  <si>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</si>
  <si>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</si>
  <si>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</si>
  <si>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</si>
  <si>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91.14.02-002</t>
  </si>
  <si>
    <t>Автомобили бортовые, грузоподъемность: до 8 т</t>
  </si>
  <si>
    <t>91.21.19-031</t>
  </si>
  <si>
    <t>Станок: сверлильный</t>
  </si>
  <si>
    <t>91.06.03-060</t>
  </si>
  <si>
    <t>Лебедки электрические тяговым усилием: до 5,79 кН (0,59 т)</t>
  </si>
  <si>
    <t>91.06.01-003</t>
  </si>
  <si>
    <t>Домкраты гидравлические, грузоподъемность 63-100 т</t>
  </si>
  <si>
    <t>Прайс из СД ОП</t>
  </si>
  <si>
    <t>Межсетевой экран Cisco ASA5510 c DC блоком питания</t>
  </si>
  <si>
    <t>шт</t>
  </si>
  <si>
    <t xml:space="preserve">Маршрутизатор Ciscо 2921/K9 </t>
  </si>
  <si>
    <t>Коммутатор, 24 порта Cisco ME-3400 (с 2 модулями GLC-T)</t>
  </si>
  <si>
    <t>Модуль SFP для Cisco Catalyst 2960 (с модулями GLC)</t>
  </si>
  <si>
    <t>61.1.04.08-0002</t>
  </si>
  <si>
    <t>Шкаф телекоммуникационный, размер 800х800х2080 мм</t>
  </si>
  <si>
    <t>Коммутатор, 8 портов Cisco Catalyst 2960</t>
  </si>
  <si>
    <t>Материалы</t>
  </si>
  <si>
    <t>24.3.03.15-0201</t>
  </si>
  <si>
    <t>Трубы полиэтиленовые</t>
  </si>
  <si>
    <t>м</t>
  </si>
  <si>
    <t>08.3.08.02-0022</t>
  </si>
  <si>
    <t>Сталь угловая: 50х50 мм</t>
  </si>
  <si>
    <t>т</t>
  </si>
  <si>
    <t>20.2.10.03-0021</t>
  </si>
  <si>
    <t>Наконечники кабельные: П6-4Д-МУЗ</t>
  </si>
  <si>
    <t>100 шт</t>
  </si>
  <si>
    <t>999-9950</t>
  </si>
  <si>
    <t>Вспомогательные ненормируемые ресурсы (2% от Оплаты труда рабочих)</t>
  </si>
  <si>
    <t>руб.</t>
  </si>
  <si>
    <t>08.3.11.01-0001</t>
  </si>
  <si>
    <t>Сталь швеллерная № 4</t>
  </si>
  <si>
    <t>08.3.05.02-0052</t>
  </si>
  <si>
    <t>Сталь листовая горячекатаная марки Ст3 толщиной: 2-6 мм</t>
  </si>
  <si>
    <t>08.3.11.01-0032</t>
  </si>
  <si>
    <t>Сталь швеллерная, марки Ст3, перфорированная: ШП 60х35 мм</t>
  </si>
  <si>
    <t>21.2.03.02-0001</t>
  </si>
  <si>
    <t>Провода монтажные низковольтные с гибкой многопроволочной жилой, изолированные хлопчатобумажной пряжей из поливинилхлоридного пластиката марки ПМВГ сечением 0,35 мм2</t>
  </si>
  <si>
    <t>1000 м</t>
  </si>
  <si>
    <t>01.7.20.04-0003</t>
  </si>
  <si>
    <t>Нитки суровые</t>
  </si>
  <si>
    <t>кг</t>
  </si>
  <si>
    <t>14.4.04.12-0008</t>
  </si>
  <si>
    <t>Эмаль эпоксидная: ЭП-140 защитная</t>
  </si>
  <si>
    <t>08.3.08.02-0091</t>
  </si>
  <si>
    <t>Сталь угловая, марки Ст3, перфорированная УП 35х35 мм</t>
  </si>
  <si>
    <t>07.2.07.04-0007</t>
  </si>
  <si>
    <t>Конструкции стальные индивидуальные: решетчатые сварные массой до 0,1 т</t>
  </si>
  <si>
    <t>25.2.01.01-0017</t>
  </si>
  <si>
    <t>Бирки маркировочные пластмассовые</t>
  </si>
  <si>
    <t>11.2.11.05-0002</t>
  </si>
  <si>
    <t>Фанера клееная марки ФК и ФБА, сорт В/ВВ толщиной: 4 мм</t>
  </si>
  <si>
    <t>м3</t>
  </si>
  <si>
    <t>14.4.02.04-0221</t>
  </si>
  <si>
    <t>Краски масляные и алкидные, готовые к применению белила цинковые: МА-15</t>
  </si>
  <si>
    <t>10.3.02.03-0012</t>
  </si>
  <si>
    <t>Припои оловянно-свинцовые бессурьмянистые марки: ПОС40</t>
  </si>
  <si>
    <t>08.3.05.02-0058</t>
  </si>
  <si>
    <t>Сталь листовая горячекатаная марки Ст3 толщиной: 6-8 мм</t>
  </si>
  <si>
    <t>08.3.07.01-0011</t>
  </si>
  <si>
    <t>Полосовой горячекатаный прокат толщиной 10-75 мм, при ширине 100-200 мм, из углеродистой стали обыкновенного качества марки: Ст6сп</t>
  </si>
  <si>
    <t>10.3.02.03-0011</t>
  </si>
  <si>
    <t>Припои оловянно-свинцовые бессурьмянистые марки: ПОС30</t>
  </si>
  <si>
    <t>14.4.04.09-0017</t>
  </si>
  <si>
    <t>Эмаль ХВ-124 защитная, зеленая</t>
  </si>
  <si>
    <t>01.7.15.07-0012</t>
  </si>
  <si>
    <t>Дюбели пластмассовые с шурупами 12х70 мм</t>
  </si>
  <si>
    <t>14.5.05.02-0001</t>
  </si>
  <si>
    <t>Олифа натуральная</t>
  </si>
  <si>
    <t>01.7.15.14-0165</t>
  </si>
  <si>
    <t>Шурупы с полукруглой головкой: 4x40 мм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</si>
  <si>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</si>
  <si>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</si>
  <si>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01.7.11.07-0032</t>
  </si>
  <si>
    <t>Электроды диаметром: 4 мм Э42</t>
  </si>
  <si>
    <t>20.1.02.23-0082</t>
  </si>
  <si>
    <t>Перемычки гибкие, тип ПГС-50</t>
  </si>
  <si>
    <t>10 шт</t>
  </si>
  <si>
    <t>01.7.02.07-0011</t>
  </si>
  <si>
    <t>Прессшпан листовой, марки А</t>
  </si>
  <si>
    <t>14.4.03.17-0011</t>
  </si>
  <si>
    <t>Лак электроизоляционный 318</t>
  </si>
  <si>
    <t>20.2.08.05-0017</t>
  </si>
  <si>
    <t>Профиль монтажный</t>
  </si>
  <si>
    <t>21.2.03.09-0101</t>
  </si>
  <si>
    <t>Провода с алюминиевой жилой с резиновой изоляцией, в оплетке из хлопчатобумажной пряжи, пропитанной противогнилостным составом марки АПРН сечением 1х35 мм2</t>
  </si>
  <si>
    <t>20.2.08.07-0072</t>
  </si>
  <si>
    <t>Скобы: металлические для крепления проводов</t>
  </si>
  <si>
    <t>01.7.15.03-0042</t>
  </si>
  <si>
    <t>Болты с гайками и шайбами строительные</t>
  </si>
  <si>
    <t>14.4.01.01-0003</t>
  </si>
  <si>
    <t>Грунтовка: ГФ-021 красно-коричневая</t>
  </si>
  <si>
    <t>20.2.10.03-0020</t>
  </si>
  <si>
    <t>Наконечники кабельные: П2.5-4Д-МУ3</t>
  </si>
  <si>
    <t>08.3.07.01-0064</t>
  </si>
  <si>
    <t>Сталь полосовая: горячекатаная, марки Ст3, толщина 2-6 мм, ширина 30-40 мм, перфорированная</t>
  </si>
  <si>
    <t>20.2.02.02-0011</t>
  </si>
  <si>
    <t>Заглушки</t>
  </si>
  <si>
    <t>01.7.15.07-0007</t>
  </si>
  <si>
    <t>Дюбели пластмассовые диаметр 14 мм</t>
  </si>
  <si>
    <t>24.3.01.01-0004</t>
  </si>
  <si>
    <t>Трубка полихлорвиниловая ПХВ-305 диаметром 6-10 мм</t>
  </si>
  <si>
    <t>04.3.01.09-0016</t>
  </si>
  <si>
    <t>Раствор готовый кладочный цементный марки: 200</t>
  </si>
  <si>
    <t>01.7.15.07-0014</t>
  </si>
  <si>
    <t>Дюбели распорные полипропиленовые</t>
  </si>
  <si>
    <t>14.4.02.09-0001</t>
  </si>
  <si>
    <t>Краска</t>
  </si>
  <si>
    <t>14.5.09.07-0029</t>
  </si>
  <si>
    <t>Растворитель марки: Р-4</t>
  </si>
  <si>
    <t>20.2.02.01-0019</t>
  </si>
  <si>
    <t>Втулки изолирующие</t>
  </si>
  <si>
    <t>1000 шт</t>
  </si>
  <si>
    <t>08.1.02.04-0012</t>
  </si>
  <si>
    <t>Жесть белая толщиной: 0,25 мм</t>
  </si>
  <si>
    <t>01.7.11.07-0034</t>
  </si>
  <si>
    <t>Электроды диаметром: 4 мм Э42А</t>
  </si>
  <si>
    <t>01.7.15.03-0031</t>
  </si>
  <si>
    <t>Болты с гайками и шайбами оцинкованные, диаметр: 6 мм</t>
  </si>
  <si>
    <t>14.4.03.08-0001</t>
  </si>
  <si>
    <t>Лак пропиточный без растворителей АС-9115</t>
  </si>
  <si>
    <t>14.1.02.01-0002</t>
  </si>
  <si>
    <t>Клей БМК-5к</t>
  </si>
  <si>
    <t>01.7.19.04-0031</t>
  </si>
  <si>
    <t>Прокладки резиновые (пластина техническая прессованная)</t>
  </si>
  <si>
    <t>01.7.20.03-0012</t>
  </si>
  <si>
    <t>Мешковина джутовая</t>
  </si>
  <si>
    <t>м2</t>
  </si>
  <si>
    <t>10.2.02.08-0001</t>
  </si>
  <si>
    <t>Проволока медная круглая электротехническая ММ (мягкая) диаметром 1,0-3,0 мм и выше</t>
  </si>
  <si>
    <t>01.7.06.05-0041</t>
  </si>
  <si>
    <t>Лента изоляционная прорезиненная односторонняя ширина 20 мм, толщина 0,25-0,35 мм</t>
  </si>
  <si>
    <t>01.3.01.02-0002</t>
  </si>
  <si>
    <t>Вазелин технический</t>
  </si>
  <si>
    <t>01.7.17.11-0003</t>
  </si>
  <si>
    <t>Бумага шлифовальная</t>
  </si>
  <si>
    <t>10 листов</t>
  </si>
  <si>
    <t>01.7.03.04-0001</t>
  </si>
  <si>
    <t>Электроэнергия</t>
  </si>
  <si>
    <t>кВт-ч</t>
  </si>
  <si>
    <t>03.1.01.01-0002</t>
  </si>
  <si>
    <t>Гипсовые вяжущие, марка: Г3</t>
  </si>
  <si>
    <t>01.3.05.17-0002</t>
  </si>
  <si>
    <t>Канифоль сосновая</t>
  </si>
  <si>
    <t>01.7.11.06-0028</t>
  </si>
  <si>
    <t>Флюс: ФКДТ</t>
  </si>
  <si>
    <t>14.5.09.11-0101</t>
  </si>
  <si>
    <t>Уайт-спирит</t>
  </si>
  <si>
    <t>01.7.20.04-0005</t>
  </si>
  <si>
    <t>Нитки швейные</t>
  </si>
  <si>
    <t>10.3.02.03-0013</t>
  </si>
  <si>
    <t>Припои оловянно-свинцовые бессурьмянистые марки: ПОС61</t>
  </si>
  <si>
    <t>01.7.07.10-0001</t>
  </si>
  <si>
    <t>Патроны для строительно-монтажного пистолета</t>
  </si>
  <si>
    <t>22.2.02.15-0001</t>
  </si>
  <si>
    <t>Скрепы 10х2</t>
  </si>
  <si>
    <t>14.1.01.01-0003</t>
  </si>
  <si>
    <t>Клей столярный сухой</t>
  </si>
  <si>
    <t>01.3.01.07-0009</t>
  </si>
  <si>
    <t>Спирт этиловый ректификованный технический, сорт I</t>
  </si>
  <si>
    <t>01.7.02.09-0002</t>
  </si>
  <si>
    <t>Шпагат бумажный</t>
  </si>
  <si>
    <t>Приложение № 4</t>
  </si>
  <si>
    <t>Ресурсная модель</t>
  </si>
  <si>
    <t>Наименование разрабатываемого показателя УНЦ — Постоянная часть ПС, ЛВС ЗПС 330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</si>
  <si>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</si>
  <si>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</si>
  <si>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</si>
  <si>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</si>
  <si>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</si>
  <si>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</si>
  <si>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</si>
  <si>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</si>
  <si>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</si>
  <si>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</si>
  <si>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</si>
  <si>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</si>
  <si>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</si>
  <si>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</si>
  <si>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</si>
  <si>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</si>
  <si>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</si>
  <si>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</si>
  <si>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</si>
  <si>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</si>
  <si>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</si>
  <si>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</si>
  <si>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</si>
  <si>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</si>
  <si>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</si>
  <si>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</si>
  <si>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</si>
  <si>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</si>
  <si>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</si>
  <si>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</si>
  <si>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</si>
  <si>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</si>
  <si>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</si>
  <si>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</si>
  <si>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</si>
  <si>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</si>
  <si>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</si>
  <si>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</si>
  <si>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</si>
  <si>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</si>
  <si>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</si>
  <si>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</si>
  <si>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ЛВС ЗПС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</si>
  <si>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</si>
  <si>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</si>
  <si>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</si>
  <si>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</si>
  <si>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</si>
  <si>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</si>
  <si>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</si>
  <si>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</si>
  <si>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</si>
  <si>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</si>
  <si>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</si>
  <si>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</si>
  <si>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</si>
  <si>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</si>
  <si>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БЦ.36.42</t>
  </si>
  <si>
    <t>БЦ.36.41</t>
  </si>
  <si>
    <t>БЦ.36.39</t>
  </si>
  <si>
    <t>БЦ.36.43</t>
  </si>
  <si>
    <t>БЦ.36.40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</si>
  <si>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</si>
  <si>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</si>
  <si>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</si>
  <si>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</si>
  <si>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</si>
  <si>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</si>
  <si>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</si>
  <si>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</si>
  <si>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</si>
  <si>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</si>
  <si>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</si>
  <si>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</si>
  <si>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</si>
  <si>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</si>
  <si>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</si>
  <si>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</si>
  <si>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</si>
  <si>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</si>
  <si>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</si>
  <si>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</si>
  <si>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</si>
  <si>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</si>
  <si>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</si>
  <si>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</si>
  <si>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</si>
  <si>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</si>
  <si>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</si>
  <si>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</si>
  <si>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З2-04</t>
  </si>
  <si>
    <t>УНЦ постоянной части ЗПС 330 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</si>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</sst>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"/>
    <numFmt numFmtId="169" formatCode="_-* #,##0.0\ _₽_-;\-* #,##0.0\ _₽_-;_-* &quot;-&quot;??\ _₽_-;_-@_-"/>
    <numFmt numFmtId="170" formatCode="#,##0.0"/>
    <numFmt numFmtId="171" formatCode="#,##0.000"/>
    <numFmt numFmtId="172" formatCode="0.00000"/>
  </numFmts>
  <fonts count="31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b/>
      <sz val="12"/>
      <color rgb="FF000000"/>
      <name val="Calibri"/>
    </font>
    <font>
      <sz val="10"/>
      <color rgb="FF000000"/>
      <name val="Times New Roman"/>
    </font>
    <font>
      <b/>
      <sz val="12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1" fillId="0" borderId="1" xfId="0" applyNumberFormat="1" applyFont="1" applyBorder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10" fontId="19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vertical="center" wrapText="1"/>
    </xf>
    <xf numFmtId="1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top" wrapText="1"/>
    </xf>
    <xf numFmtId="4" fontId="20" fillId="0" borderId="1" xfId="0" applyNumberFormat="1" applyFont="1" applyBorder="1" applyAlignment="1">
      <alignment vertical="top"/>
    </xf>
    <xf numFmtId="166" fontId="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vertical="top"/>
    </xf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0" fontId="4" fillId="0" borderId="1" xfId="0" applyFont="1" applyBorder="1"/>
    <xf numFmtId="167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6" fillId="0" borderId="0" xfId="0" applyNumberFormat="1" applyFont="1"/>
    <xf numFmtId="49" fontId="1" fillId="0" borderId="1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vertical="top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21" fillId="0" borderId="0" xfId="0" applyFont="1"/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4" fontId="21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0" fontId="21" fillId="0" borderId="0" xfId="0" applyFont="1" applyAlignment="1">
      <alignment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0" fontId="20" fillId="0" borderId="0" xfId="0" applyFont="1"/>
    <xf numFmtId="168" fontId="1" fillId="0" borderId="1" xfId="0" applyNumberFormat="1" applyFont="1" applyBorder="1" applyAlignment="1">
      <alignment horizontal="center" vertical="top" wrapText="1"/>
    </xf>
    <xf numFmtId="169" fontId="16" fillId="0" borderId="0" xfId="0" applyNumberFormat="1" applyFont="1"/>
    <xf numFmtId="165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1" fontId="1" fillId="0" borderId="1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65" fontId="0" fillId="0" borderId="0" xfId="0" applyNumberFormat="1"/>
    <xf numFmtId="10" fontId="1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10" fontId="0" fillId="0" borderId="0" xfId="0" applyNumberFormat="1"/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8" fontId="1" fillId="0" borderId="1" xfId="0" applyNumberFormat="1" applyFont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170" fontId="16" fillId="0" borderId="1" xfId="0" applyNumberFormat="1" applyFont="1" applyBorder="1" applyAlignment="1">
      <alignment horizontal="center" vertical="center"/>
    </xf>
    <xf numFmtId="171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4" fontId="20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172" fontId="1" fillId="0" borderId="1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4" fontId="16" fillId="0" borderId="4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2" fontId="20" fillId="0" borderId="1" xfId="0" applyNumberFormat="1" applyFont="1" applyBorder="1" applyAlignment="1">
      <alignment vertical="center" wrapText="1"/>
    </xf>
    <xf numFmtId="0" fontId="18" fillId="0" borderId="4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2" fontId="20" fillId="0" borderId="4" xfId="0" applyNumberFormat="1" applyFont="1" applyBorder="1" applyAlignment="1">
      <alignment vertical="center" wrapText="1"/>
    </xf>
    <xf numFmtId="2" fontId="16" fillId="0" borderId="4" xfId="0" applyNumberFormat="1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7" fillId="0" borderId="0" xfId="0" applyFont="1" applyAlignment="1">
      <alignment horizontal="center" vertical="center" wrapText="1"/>
    </xf>
    <xf numFmtId="0" fontId="20" fillId="0" borderId="4" xfId="0" applyFont="1" applyBorder="1" applyAlignment="1">
      <alignment horizontal="right" vertical="center" wrapText="1"/>
    </xf>
    <xf numFmtId="0" fontId="20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2" fontId="20" fillId="0" borderId="3" xfId="0" applyNumberFormat="1" applyFont="1" applyBorder="1" applyAlignment="1">
      <alignment horizontal="center" vertical="center" wrapText="1"/>
    </xf>
    <xf numFmtId="2" fontId="20" fillId="0" borderId="6" xfId="0" applyNumberFormat="1" applyFont="1" applyBorder="1" applyAlignment="1">
      <alignment horizontal="center" vertical="center" wrapText="1"/>
    </xf>
    <xf numFmtId="2" fontId="20" fillId="0" borderId="2" xfId="0" applyNumberFormat="1" applyFont="1" applyBorder="1" applyAlignment="1">
      <alignment horizontal="center" vertical="center" wrapText="1"/>
    </xf>
    <xf numFmtId="2" fontId="20" fillId="0" borderId="7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435161</xdr:colOff>
      <xdr:row>28</xdr:row>
      <xdr:rowOff>118410</xdr:rowOff>
    </xdr:from>
    <xdr:to>
      <xdr:col>2</xdr:col>
      <xdr:colOff>1379963</xdr:colOff>
      <xdr:row>31</xdr:row>
      <xdr:rowOff>37505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3C69A97-E7AD-4946-B24E-8639B47E4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5396" y="15190322"/>
          <a:ext cx="944802" cy="524212"/>
        </a:xfrm>
        <a:prstGeom prst="rect">
          <a:avLst/>
        </a:prstGeom>
      </xdr:spPr>
    </xdr:pic>
    <xdr:clientData/>
  </xdr:twoCellAnchor>
  <xdr:twoCellAnchor editAs="oneCell">
    <xdr:from>
      <xdr:col>2</xdr:col>
      <xdr:colOff>530412</xdr:colOff>
      <xdr:row>26</xdr:row>
      <xdr:rowOff>306668</xdr:rowOff>
    </xdr:from>
    <xdr:to>
      <xdr:col>2</xdr:col>
      <xdr:colOff>1368611</xdr:colOff>
      <xdr:row>28</xdr:row>
      <xdr:rowOff>78570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3FF8CFEA-AC3B-4C94-9D40-829D50143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0647" y="14695021"/>
          <a:ext cx="838199" cy="4554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809625</xdr:colOff>
      <xdr:row>18</xdr:row>
      <xdr:rowOff>75747</xdr:rowOff>
    </xdr:from>
    <xdr:to>
      <xdr:col>2</xdr:col>
      <xdr:colOff>1754427</xdr:colOff>
      <xdr:row>21</xdr:row>
      <xdr:rowOff>28460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F22F6ED-71DA-49FE-B3BB-972A7A092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9339" y="4076247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904876</xdr:colOff>
      <xdr:row>15</xdr:row>
      <xdr:rowOff>151947</xdr:rowOff>
    </xdr:from>
    <xdr:to>
      <xdr:col>2</xdr:col>
      <xdr:colOff>1743075</xdr:colOff>
      <xdr:row>18</xdr:row>
      <xdr:rowOff>35907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F0927F50-55A5-4F13-A88D-227D9E4CA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4590" y="3580947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309562</xdr:colOff>
      <xdr:row>115</xdr:row>
      <xdr:rowOff>91889</xdr:rowOff>
    </xdr:from>
    <xdr:to>
      <xdr:col>2</xdr:col>
      <xdr:colOff>1254364</xdr:colOff>
      <xdr:row>118</xdr:row>
      <xdr:rowOff>10984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0F27365C-ECC6-4555-80D8-0705BF3A0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7952514"/>
          <a:ext cx="944802" cy="490595"/>
        </a:xfrm>
        <a:prstGeom prst="rect">
          <a:avLst/>
        </a:prstGeom>
      </xdr:spPr>
    </xdr:pic>
    <xdr:clientData/>
  </xdr:twoCellAnchor>
  <xdr:twoCellAnchor editAs="oneCell">
    <xdr:from>
      <xdr:col>2</xdr:col>
      <xdr:colOff>404813</xdr:colOff>
      <xdr:row>113</xdr:row>
      <xdr:rowOff>0</xdr:rowOff>
    </xdr:from>
    <xdr:to>
      <xdr:col>2</xdr:col>
      <xdr:colOff>1243012</xdr:colOff>
      <xdr:row>115</xdr:row>
      <xdr:rowOff>52049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BBC3C33-2BA7-450D-8DBD-1EEBEB5C0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27479625"/>
          <a:ext cx="838199" cy="4330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47625</xdr:rowOff>
    </xdr:from>
    <xdr:to>
      <xdr:col>1</xdr:col>
      <xdr:colOff>1725852</xdr:colOff>
      <xdr:row>46</xdr:row>
      <xdr:rowOff>338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4541D5B-1327-40DE-AEE7-941EDCC7C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8300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876301</xdr:colOff>
      <xdr:row>40</xdr:row>
      <xdr:rowOff>123825</xdr:rowOff>
    </xdr:from>
    <xdr:to>
      <xdr:col>1</xdr:col>
      <xdr:colOff>1714500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B27B951-9674-416E-8A37-02D56D6A0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526" y="11334750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669297</xdr:colOff>
      <xdr:row>124</xdr:row>
      <xdr:rowOff>15485</xdr:rowOff>
    </xdr:from>
    <xdr:to>
      <xdr:col>2</xdr:col>
      <xdr:colOff>109149</xdr:colOff>
      <xdr:row>127</xdr:row>
      <xdr:rowOff>20153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238572C-DF78-485E-9457-A2A568EB6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297" y="31655803"/>
          <a:ext cx="946534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764548</xdr:colOff>
      <xdr:row>121</xdr:row>
      <xdr:rowOff>316821</xdr:rowOff>
    </xdr:from>
    <xdr:to>
      <xdr:col>2</xdr:col>
      <xdr:colOff>97797</xdr:colOff>
      <xdr:row>123</xdr:row>
      <xdr:rowOff>148826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D7083F1-9777-4488-BACD-E62A7A3B3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548" y="31160503"/>
          <a:ext cx="839931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21</xdr:row>
      <xdr:rowOff>85725</xdr:rowOff>
    </xdr:from>
    <xdr:to>
      <xdr:col>2</xdr:col>
      <xdr:colOff>363777</xdr:colOff>
      <xdr:row>24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71BC401-B2F7-4BDE-A87D-CA02F4BC8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53911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685801</xdr:colOff>
      <xdr:row>18</xdr:row>
      <xdr:rowOff>219075</xdr:rowOff>
    </xdr:from>
    <xdr:to>
      <xdr:col>2</xdr:col>
      <xdr:colOff>352425</xdr:colOff>
      <xdr:row>21</xdr:row>
      <xdr:rowOff>45885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D4F4174A-AE89-40BE-BBCA-217F02664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1" y="4895850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95250</xdr:rowOff>
    </xdr:from>
    <xdr:to>
      <xdr:col>1</xdr:col>
      <xdr:colOff>801927</xdr:colOff>
      <xdr:row>16</xdr:row>
      <xdr:rowOff>47963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D3A4B10-4B3B-4BAC-AAE3-A8E461FFC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2575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800101</xdr:colOff>
      <xdr:row>10</xdr:row>
      <xdr:rowOff>781050</xdr:rowOff>
    </xdr:from>
    <xdr:to>
      <xdr:col>1</xdr:col>
      <xdr:colOff>790575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1120634A-35A1-42D5-944E-E396414D3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1" y="276225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968375</xdr:colOff>
      <xdr:row>26</xdr:row>
      <xdr:rowOff>130175</xdr:rowOff>
    </xdr:from>
    <xdr:to>
      <xdr:col>1</xdr:col>
      <xdr:colOff>1913177</xdr:colOff>
      <xdr:row>29</xdr:row>
      <xdr:rowOff>82888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B8346B0-E3E9-4DAD-9260-D72F5C5C4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89884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1063626</xdr:colOff>
      <xdr:row>24</xdr:row>
      <xdr:rowOff>15875</xdr:rowOff>
    </xdr:from>
    <xdr:to>
      <xdr:col>1</xdr:col>
      <xdr:colOff>1901825</xdr:colOff>
      <xdr:row>26</xdr:row>
      <xdr:rowOff>90335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8DDAC14E-66BC-4D8A-9C09-92BC212F4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6" y="8493125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7" t="s">
        <v>0</v>
      </c>
      <c r="B2" s="207"/>
      <c r="C2" s="207"/>
    </row>
    <row r="3" spans="1:3" x14ac:dyDescent="0.25">
      <c r="A3" s="1"/>
      <c r="B3" s="1"/>
      <c r="C3" s="1"/>
    </row>
    <row r="4" spans="1:3" x14ac:dyDescent="0.25">
      <c r="A4" s="208" t="s">
        <v>1</v>
      </c>
      <c r="B4" s="208"/>
      <c r="C4" s="208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209" t="s">
        <v>3</v>
      </c>
      <c r="C6" s="209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zoomScale="130" workbookViewId="0">
      <selection activeCell="D17" sqref="D17"/>
    </sheetView>
  </sheetViews>
  <sheetFormatPr defaultColWidth="9.140625"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</cols>
  <sheetData>
    <row r="1" spans="1:4" ht="15.75" customHeight="1" x14ac:dyDescent="0.25">
      <c r="A1" s="112"/>
      <c r="B1" s="112"/>
      <c r="C1" s="112"/>
      <c r="D1" s="112" t="s">
        <v>403</v>
      </c>
    </row>
    <row r="2" spans="1:4" ht="15.75" customHeight="1" x14ac:dyDescent="0.25">
      <c r="A2" s="112"/>
      <c r="B2" s="112"/>
      <c r="C2" s="112"/>
      <c r="D2" s="112"/>
    </row>
    <row r="3" spans="1:4" ht="15.75" customHeight="1" x14ac:dyDescent="0.25">
      <c r="A3" s="112"/>
      <c r="B3" s="157" t="s">
        <v>404</v>
      </c>
      <c r="C3" s="112"/>
      <c r="D3" s="112"/>
    </row>
    <row r="4" spans="1:4" ht="15.75" customHeight="1" x14ac:dyDescent="0.25">
      <c r="A4" s="112"/>
      <c r="B4" s="112"/>
      <c r="C4" s="112"/>
      <c r="D4" s="112"/>
    </row>
    <row r="5" spans="1:4" ht="15.75" customHeight="1" x14ac:dyDescent="0.25">
      <c r="A5" s="261" t="s">
        <v>405</v>
      </c>
      <c r="B5" s="261"/>
      <c r="C5" s="261"/>
      <c r="D5" s="194" t="str">
        <f>'Прил.5 Расчет СМР и ОБ'!D6:J6</f>
        <v>Постоянная часть ПС, ЛВС ЗПС 330 кВ</v>
      </c>
    </row>
    <row r="6" spans="1:4" ht="15.75" customHeight="1" x14ac:dyDescent="0.25">
      <c r="A6" s="112" t="s">
        <v>50</v>
      </c>
      <c r="B6" s="112"/>
      <c r="C6" s="112"/>
      <c r="D6" s="112"/>
    </row>
    <row r="7" spans="1:4" ht="15.75" customHeight="1" x14ac:dyDescent="0.25">
      <c r="A7" s="112"/>
      <c r="B7" s="112"/>
      <c r="C7" s="112"/>
      <c r="D7" s="112"/>
    </row>
    <row r="8" spans="1:4" x14ac:dyDescent="0.25">
      <c r="A8" s="220" t="s">
        <v>5</v>
      </c>
      <c r="B8" s="220" t="s">
        <v>6</v>
      </c>
      <c r="C8" s="220" t="s">
        <v>406</v>
      </c>
      <c r="D8" s="220" t="s">
        <v>407</v>
      </c>
    </row>
    <row r="9" spans="1:4" x14ac:dyDescent="0.25">
      <c r="A9" s="220"/>
      <c r="B9" s="220"/>
      <c r="C9" s="220"/>
      <c r="D9" s="220"/>
    </row>
    <row r="10" spans="1:4" ht="15.75" customHeight="1" x14ac:dyDescent="0.25">
      <c r="A10" s="108">
        <v>1</v>
      </c>
      <c r="B10" s="108">
        <v>2</v>
      </c>
      <c r="C10" s="108">
        <v>3</v>
      </c>
      <c r="D10" s="108">
        <v>4</v>
      </c>
    </row>
    <row r="11" spans="1:4" ht="63" customHeight="1" x14ac:dyDescent="0.25">
      <c r="A11" s="195" t="s">
        <v>408</v>
      </c>
      <c r="B11" s="195" t="s">
        <v>409</v>
      </c>
      <c r="C11" s="197" t="str">
        <f>D5</f>
        <v>Постоянная часть ПС, ЛВС ЗПС 330 кВ</v>
      </c>
      <c r="D11" s="140">
        <f>'Прил.4 РМ'!C41/1000</f>
        <v>4606.0163300000004</v>
      </c>
    </row>
    <row r="13" spans="1:4" x14ac:dyDescent="0.25">
      <c r="A13" s="4" t="s">
        <v>410</v>
      </c>
      <c r="B13" s="12"/>
      <c r="C13" s="12"/>
      <c r="D13" s="24"/>
    </row>
    <row r="14" spans="1:4" x14ac:dyDescent="0.25">
      <c r="A14" s="115" t="s">
        <v>77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78</v>
      </c>
      <c r="B16" s="12"/>
      <c r="C16" s="12"/>
      <c r="D16" s="24"/>
    </row>
    <row r="17" spans="1:4" x14ac:dyDescent="0.25">
      <c r="A17" s="115" t="s">
        <v>79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zoomScale="60" zoomScaleNormal="85" workbookViewId="0">
      <selection activeCell="D24" sqref="D24"/>
    </sheetView>
  </sheetViews>
  <sheetFormatPr defaultColWidth="9.140625" defaultRowHeight="15" x14ac:dyDescent="0.25"/>
  <cols>
    <col min="2" max="2" width="40.7109375" customWidth="1"/>
    <col min="3" max="3" width="37.5703125" customWidth="1"/>
    <col min="4" max="4" width="32" customWidth="1"/>
  </cols>
  <sheetData>
    <row r="4" spans="2:5" ht="15.75" customHeight="1" x14ac:dyDescent="0.25">
      <c r="B4" s="214" t="s">
        <v>411</v>
      </c>
      <c r="C4" s="214"/>
      <c r="D4" s="214"/>
    </row>
    <row r="5" spans="2:5" ht="18.75" customHeight="1" x14ac:dyDescent="0.25">
      <c r="B5" s="106"/>
    </row>
    <row r="6" spans="2:5" ht="15.75" customHeight="1" x14ac:dyDescent="0.25">
      <c r="B6" s="215" t="s">
        <v>412</v>
      </c>
      <c r="C6" s="215"/>
      <c r="D6" s="215"/>
    </row>
    <row r="7" spans="2:5" x14ac:dyDescent="0.25">
      <c r="B7" s="262"/>
      <c r="C7" s="262"/>
      <c r="D7" s="262"/>
      <c r="E7" s="262"/>
    </row>
    <row r="8" spans="2:5" x14ac:dyDescent="0.25">
      <c r="B8" s="110"/>
      <c r="C8" s="110"/>
      <c r="D8" s="110"/>
      <c r="E8" s="110"/>
    </row>
    <row r="9" spans="2:5" ht="47.25" customHeight="1" x14ac:dyDescent="0.25">
      <c r="B9" s="108" t="s">
        <v>413</v>
      </c>
      <c r="C9" s="108" t="s">
        <v>414</v>
      </c>
      <c r="D9" s="108" t="s">
        <v>415</v>
      </c>
    </row>
    <row r="10" spans="2:5" ht="15.75" customHeight="1" x14ac:dyDescent="0.25">
      <c r="B10" s="108">
        <v>1</v>
      </c>
      <c r="C10" s="108">
        <v>2</v>
      </c>
      <c r="D10" s="108">
        <v>3</v>
      </c>
    </row>
    <row r="11" spans="2:5" ht="45" customHeight="1" x14ac:dyDescent="0.25">
      <c r="B11" s="108" t="s">
        <v>416</v>
      </c>
      <c r="C11" s="108" t="s">
        <v>417</v>
      </c>
      <c r="D11" s="108">
        <v>46.83</v>
      </c>
    </row>
    <row r="12" spans="2:5" ht="29.25" customHeight="1" x14ac:dyDescent="0.25">
      <c r="B12" s="108" t="s">
        <v>418</v>
      </c>
      <c r="C12" s="108" t="s">
        <v>417</v>
      </c>
      <c r="D12" s="108">
        <v>11.96</v>
      </c>
    </row>
    <row r="13" spans="2:5" ht="29.25" customHeight="1" x14ac:dyDescent="0.25">
      <c r="B13" s="108" t="s">
        <v>419</v>
      </c>
      <c r="C13" s="108" t="s">
        <v>417</v>
      </c>
      <c r="D13" s="108">
        <v>9.84</v>
      </c>
    </row>
    <row r="14" spans="2:5" ht="30.75" customHeight="1" x14ac:dyDescent="0.25">
      <c r="B14" s="108" t="s">
        <v>420</v>
      </c>
      <c r="C14" s="105" t="s">
        <v>421</v>
      </c>
      <c r="D14" s="108">
        <v>6.26</v>
      </c>
    </row>
    <row r="15" spans="2:5" ht="89.25" customHeight="1" x14ac:dyDescent="0.25">
      <c r="B15" s="108" t="s">
        <v>422</v>
      </c>
      <c r="C15" s="108" t="s">
        <v>423</v>
      </c>
      <c r="D15" s="109">
        <v>3.9E-2</v>
      </c>
    </row>
    <row r="16" spans="2:5" ht="78.75" customHeight="1" x14ac:dyDescent="0.25">
      <c r="B16" s="108" t="s">
        <v>424</v>
      </c>
      <c r="C16" s="108" t="s">
        <v>425</v>
      </c>
      <c r="D16" s="109">
        <v>2.1000000000000001E-2</v>
      </c>
    </row>
    <row r="17" spans="2:4" ht="31.5" customHeight="1" x14ac:dyDescent="0.25">
      <c r="B17" s="108" t="s">
        <v>426</v>
      </c>
      <c r="C17" s="108" t="s">
        <v>427</v>
      </c>
      <c r="D17" s="109">
        <v>2.1399999999999999E-2</v>
      </c>
    </row>
    <row r="18" spans="2:4" ht="31.5" customHeight="1" x14ac:dyDescent="0.25">
      <c r="B18" s="108" t="s">
        <v>348</v>
      </c>
      <c r="C18" s="108" t="s">
        <v>428</v>
      </c>
      <c r="D18" s="109">
        <v>2E-3</v>
      </c>
    </row>
    <row r="19" spans="2:4" ht="24" customHeight="1" x14ac:dyDescent="0.25">
      <c r="B19" s="108" t="s">
        <v>350</v>
      </c>
      <c r="C19" s="108" t="s">
        <v>429</v>
      </c>
      <c r="D19" s="109">
        <v>0.03</v>
      </c>
    </row>
    <row r="20" spans="2:4" ht="18.75" customHeight="1" x14ac:dyDescent="0.25">
      <c r="B20" s="107"/>
    </row>
    <row r="21" spans="2:4" ht="18.75" customHeight="1" x14ac:dyDescent="0.25">
      <c r="B21" s="107"/>
    </row>
    <row r="22" spans="2:4" ht="18.75" customHeight="1" x14ac:dyDescent="0.25">
      <c r="B22" s="107"/>
    </row>
    <row r="23" spans="2:4" ht="18.75" customHeight="1" x14ac:dyDescent="0.25">
      <c r="B23" s="107"/>
    </row>
    <row r="26" spans="2:4" x14ac:dyDescent="0.25">
      <c r="B26" s="4" t="s">
        <v>430</v>
      </c>
      <c r="C26" s="12"/>
    </row>
    <row r="27" spans="2:4" x14ac:dyDescent="0.25">
      <c r="B27" s="115" t="s">
        <v>77</v>
      </c>
      <c r="C27" s="12"/>
    </row>
    <row r="28" spans="2:4" x14ac:dyDescent="0.25">
      <c r="B28" s="4"/>
      <c r="C28" s="12"/>
    </row>
    <row r="29" spans="2:4" x14ac:dyDescent="0.25">
      <c r="B29" s="4" t="s">
        <v>395</v>
      </c>
      <c r="C29" s="12"/>
    </row>
    <row r="30" spans="2:4" x14ac:dyDescent="0.25">
      <c r="B30" s="115" t="s">
        <v>79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I14" sqref="I14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25" customHeight="1" x14ac:dyDescent="0.25">
      <c r="A2" s="215" t="s">
        <v>431</v>
      </c>
      <c r="B2" s="215"/>
      <c r="C2" s="215"/>
      <c r="D2" s="215"/>
      <c r="E2" s="215"/>
      <c r="F2" s="215"/>
    </row>
    <row r="4" spans="1:7" ht="18" customHeight="1" x14ac:dyDescent="0.25">
      <c r="A4" s="180" t="s">
        <v>432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81" t="s">
        <v>13</v>
      </c>
      <c r="B5" s="181" t="s">
        <v>433</v>
      </c>
      <c r="C5" s="181" t="s">
        <v>434</v>
      </c>
      <c r="D5" s="181" t="s">
        <v>435</v>
      </c>
      <c r="E5" s="181" t="s">
        <v>436</v>
      </c>
      <c r="F5" s="181" t="s">
        <v>437</v>
      </c>
      <c r="G5" s="112"/>
    </row>
    <row r="6" spans="1:7" ht="15.75" customHeight="1" x14ac:dyDescent="0.25">
      <c r="A6" s="181">
        <v>1</v>
      </c>
      <c r="B6" s="181">
        <v>2</v>
      </c>
      <c r="C6" s="181">
        <v>3</v>
      </c>
      <c r="D6" s="181">
        <v>4</v>
      </c>
      <c r="E6" s="181">
        <v>5</v>
      </c>
      <c r="F6" s="181">
        <v>6</v>
      </c>
      <c r="G6" s="112"/>
    </row>
    <row r="7" spans="1:7" ht="110.25" customHeight="1" x14ac:dyDescent="0.25">
      <c r="A7" s="182" t="s">
        <v>438</v>
      </c>
      <c r="B7" s="146" t="s">
        <v>439</v>
      </c>
      <c r="C7" s="108" t="s">
        <v>440</v>
      </c>
      <c r="D7" s="108" t="s">
        <v>441</v>
      </c>
      <c r="E7" s="140">
        <v>47872.94</v>
      </c>
      <c r="F7" s="146" t="s">
        <v>442</v>
      </c>
      <c r="G7" s="112"/>
    </row>
    <row r="8" spans="1:7" ht="31.5" customHeight="1" x14ac:dyDescent="0.25">
      <c r="A8" s="182" t="s">
        <v>443</v>
      </c>
      <c r="B8" s="146" t="s">
        <v>444</v>
      </c>
      <c r="C8" s="108" t="s">
        <v>445</v>
      </c>
      <c r="D8" s="108" t="s">
        <v>446</v>
      </c>
      <c r="E8" s="140">
        <f>1973/12</f>
        <v>164.41666666667001</v>
      </c>
      <c r="F8" s="146" t="s">
        <v>447</v>
      </c>
      <c r="G8" s="183"/>
    </row>
    <row r="9" spans="1:7" ht="15.75" customHeight="1" x14ac:dyDescent="0.25">
      <c r="A9" s="182" t="s">
        <v>448</v>
      </c>
      <c r="B9" s="146" t="s">
        <v>449</v>
      </c>
      <c r="C9" s="108" t="s">
        <v>450</v>
      </c>
      <c r="D9" s="108" t="s">
        <v>441</v>
      </c>
      <c r="E9" s="140">
        <v>1</v>
      </c>
      <c r="F9" s="146"/>
      <c r="G9" s="183"/>
    </row>
    <row r="10" spans="1:7" ht="15.75" customHeight="1" x14ac:dyDescent="0.25">
      <c r="A10" s="182" t="s">
        <v>451</v>
      </c>
      <c r="B10" s="146" t="s">
        <v>452</v>
      </c>
      <c r="C10" s="108"/>
      <c r="D10" s="108"/>
      <c r="E10" s="184">
        <v>4.0999999999999996</v>
      </c>
      <c r="F10" s="146" t="s">
        <v>453</v>
      </c>
      <c r="G10" s="183"/>
    </row>
    <row r="11" spans="1:7" ht="78.75" customHeight="1" x14ac:dyDescent="0.25">
      <c r="A11" s="182" t="s">
        <v>454</v>
      </c>
      <c r="B11" s="146" t="s">
        <v>455</v>
      </c>
      <c r="C11" s="108" t="s">
        <v>456</v>
      </c>
      <c r="D11" s="108" t="s">
        <v>441</v>
      </c>
      <c r="E11" s="185">
        <v>1.359</v>
      </c>
      <c r="F11" s="146" t="s">
        <v>457</v>
      </c>
      <c r="G11" s="112"/>
    </row>
    <row r="12" spans="1:7" ht="78.75" customHeight="1" x14ac:dyDescent="0.25">
      <c r="A12" s="182" t="s">
        <v>458</v>
      </c>
      <c r="B12" s="145" t="s">
        <v>459</v>
      </c>
      <c r="C12" s="108" t="s">
        <v>460</v>
      </c>
      <c r="D12" s="108" t="s">
        <v>441</v>
      </c>
      <c r="E12" s="186">
        <v>1.139</v>
      </c>
      <c r="F12" s="187" t="s">
        <v>461</v>
      </c>
      <c r="G12" s="183"/>
    </row>
    <row r="13" spans="1:7" ht="63" customHeight="1" x14ac:dyDescent="0.25">
      <c r="A13" s="182" t="s">
        <v>462</v>
      </c>
      <c r="B13" s="188" t="s">
        <v>463</v>
      </c>
      <c r="C13" s="108" t="s">
        <v>464</v>
      </c>
      <c r="D13" s="108" t="s">
        <v>465</v>
      </c>
      <c r="E13" s="189">
        <f>((E7*E9/E8)*E11)*E12</f>
        <v>450.69987855412</v>
      </c>
      <c r="F13" s="146" t="s">
        <v>466</v>
      </c>
      <c r="G13" s="112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63" t="s">
        <v>467</v>
      </c>
      <c r="B1" s="263"/>
      <c r="C1" s="263"/>
      <c r="D1" s="263"/>
      <c r="E1" s="263"/>
      <c r="F1" s="263"/>
      <c r="G1" s="263"/>
      <c r="H1" s="263"/>
      <c r="I1" s="263"/>
    </row>
    <row r="2" spans="1:13" s="27" customFormat="1" ht="13.5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210" t="e">
        <f>#REF!</f>
        <v>#REF!</v>
      </c>
      <c r="B3" s="210"/>
      <c r="C3" s="210"/>
      <c r="D3" s="210"/>
      <c r="E3" s="210"/>
      <c r="F3" s="210"/>
      <c r="G3" s="210"/>
      <c r="H3" s="210"/>
      <c r="I3" s="210"/>
    </row>
    <row r="4" spans="1:13" s="4" customFormat="1" ht="15.75" customHeight="1" x14ac:dyDescent="0.2">
      <c r="A4" s="264"/>
      <c r="B4" s="264"/>
      <c r="C4" s="264"/>
      <c r="D4" s="264"/>
      <c r="E4" s="264"/>
      <c r="F4" s="264"/>
      <c r="G4" s="264"/>
      <c r="H4" s="264"/>
      <c r="I4" s="264"/>
    </row>
    <row r="5" spans="1:13" s="29" customFormat="1" ht="36.6" customHeight="1" x14ac:dyDescent="0.35">
      <c r="A5" s="265" t="s">
        <v>13</v>
      </c>
      <c r="B5" s="265" t="s">
        <v>468</v>
      </c>
      <c r="C5" s="265" t="s">
        <v>469</v>
      </c>
      <c r="D5" s="265" t="s">
        <v>470</v>
      </c>
      <c r="E5" s="260" t="s">
        <v>471</v>
      </c>
      <c r="F5" s="260"/>
      <c r="G5" s="260"/>
      <c r="H5" s="260"/>
      <c r="I5" s="260"/>
    </row>
    <row r="6" spans="1:13" s="24" customFormat="1" ht="31.5" customHeight="1" x14ac:dyDescent="0.2">
      <c r="A6" s="265"/>
      <c r="B6" s="265"/>
      <c r="C6" s="265"/>
      <c r="D6" s="265"/>
      <c r="E6" s="30" t="s">
        <v>87</v>
      </c>
      <c r="F6" s="30" t="s">
        <v>88</v>
      </c>
      <c r="G6" s="30" t="s">
        <v>43</v>
      </c>
      <c r="H6" s="30" t="s">
        <v>472</v>
      </c>
      <c r="I6" s="30" t="s">
        <v>473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338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474</v>
      </c>
      <c r="C9" s="8" t="s">
        <v>475</v>
      </c>
      <c r="D9" s="104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476</v>
      </c>
      <c r="C11" s="8" t="s">
        <v>424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477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478</v>
      </c>
      <c r="C12" s="8" t="s">
        <v>479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480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427</v>
      </c>
      <c r="C14" s="8" t="s">
        <v>481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482</v>
      </c>
      <c r="C16" s="8" t="s">
        <v>483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484</v>
      </c>
    </row>
    <row r="17" spans="1:10" s="24" customFormat="1" ht="81.75" customHeight="1" x14ac:dyDescent="0.2">
      <c r="A17" s="31">
        <v>7</v>
      </c>
      <c r="B17" s="8" t="s">
        <v>482</v>
      </c>
      <c r="C17" s="8" t="s">
        <v>485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486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1">
        <v>9</v>
      </c>
      <c r="B20" s="8" t="s">
        <v>487</v>
      </c>
      <c r="C20" s="8" t="s">
        <v>350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7" customFormat="1" ht="13.15" customHeight="1" x14ac:dyDescent="0.2">
      <c r="A21" s="31">
        <v>10</v>
      </c>
      <c r="B21" s="8"/>
      <c r="C21" s="8" t="s">
        <v>488</v>
      </c>
      <c r="D21" s="40"/>
      <c r="E21" s="26"/>
      <c r="F21" s="26"/>
      <c r="G21" s="26"/>
      <c r="H21" s="26"/>
      <c r="I21" s="26">
        <f>I19+I20</f>
        <v>113.10148359861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489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490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491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492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70" t="s">
        <v>493</v>
      </c>
      <c r="O2" s="270"/>
    </row>
    <row r="3" spans="1:16" x14ac:dyDescent="0.25">
      <c r="A3" s="271" t="s">
        <v>494</v>
      </c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</row>
    <row r="5" spans="1:16" ht="37.5" customHeight="1" x14ac:dyDescent="0.25">
      <c r="A5" s="272" t="s">
        <v>495</v>
      </c>
      <c r="B5" s="275" t="s">
        <v>496</v>
      </c>
      <c r="C5" s="278" t="s">
        <v>497</v>
      </c>
      <c r="D5" s="281" t="s">
        <v>498</v>
      </c>
      <c r="E5" s="282"/>
      <c r="F5" s="282"/>
      <c r="G5" s="282"/>
      <c r="H5" s="282"/>
      <c r="I5" s="281" t="s">
        <v>499</v>
      </c>
      <c r="J5" s="282"/>
      <c r="K5" s="282"/>
      <c r="L5" s="282"/>
      <c r="M5" s="282"/>
      <c r="N5" s="282"/>
      <c r="O5" s="47" t="s">
        <v>500</v>
      </c>
    </row>
    <row r="6" spans="1:16" s="50" customFormat="1" ht="150" customHeight="1" x14ac:dyDescent="0.25">
      <c r="A6" s="273"/>
      <c r="B6" s="276"/>
      <c r="C6" s="279"/>
      <c r="D6" s="278" t="s">
        <v>501</v>
      </c>
      <c r="E6" s="283" t="s">
        <v>502</v>
      </c>
      <c r="F6" s="284"/>
      <c r="G6" s="285"/>
      <c r="H6" s="48" t="s">
        <v>503</v>
      </c>
      <c r="I6" s="286" t="s">
        <v>504</v>
      </c>
      <c r="J6" s="286" t="s">
        <v>501</v>
      </c>
      <c r="K6" s="287" t="s">
        <v>502</v>
      </c>
      <c r="L6" s="287"/>
      <c r="M6" s="287"/>
      <c r="N6" s="48" t="s">
        <v>503</v>
      </c>
      <c r="O6" s="49" t="s">
        <v>505</v>
      </c>
    </row>
    <row r="7" spans="1:16" s="50" customFormat="1" ht="30.75" customHeight="1" x14ac:dyDescent="0.25">
      <c r="A7" s="274"/>
      <c r="B7" s="277"/>
      <c r="C7" s="280"/>
      <c r="D7" s="280"/>
      <c r="E7" s="47" t="s">
        <v>87</v>
      </c>
      <c r="F7" s="47" t="s">
        <v>88</v>
      </c>
      <c r="G7" s="47" t="s">
        <v>43</v>
      </c>
      <c r="H7" s="51" t="s">
        <v>506</v>
      </c>
      <c r="I7" s="286"/>
      <c r="J7" s="286"/>
      <c r="K7" s="47" t="s">
        <v>87</v>
      </c>
      <c r="L7" s="47" t="s">
        <v>88</v>
      </c>
      <c r="M7" s="47" t="s">
        <v>43</v>
      </c>
      <c r="N7" s="51" t="s">
        <v>506</v>
      </c>
      <c r="O7" s="47" t="s">
        <v>507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72" t="s">
        <v>508</v>
      </c>
      <c r="C9" s="53" t="s">
        <v>509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242.76169999999999</v>
      </c>
      <c r="G9" s="54">
        <v>0</v>
      </c>
      <c r="H9" s="54">
        <f>(713.49*0.8)/1000</f>
        <v>0.57079199999999997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1478.4187529999999</v>
      </c>
      <c r="M9" s="54">
        <f>G9*H24</f>
        <v>0</v>
      </c>
      <c r="N9" s="54">
        <f>H9*H25</f>
        <v>6.48990504</v>
      </c>
      <c r="O9" s="55">
        <f t="shared" ref="O9:O15" si="2">N9/(L9+M9)</f>
        <v>4.389761038157E-3</v>
      </c>
    </row>
    <row r="10" spans="1:16" s="50" customFormat="1" ht="54.75" customHeight="1" x14ac:dyDescent="0.25">
      <c r="A10" s="51">
        <v>2</v>
      </c>
      <c r="B10" s="274"/>
      <c r="C10" s="56" t="s">
        <v>510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1.2253798721652001E-3</v>
      </c>
      <c r="P10" s="57"/>
    </row>
    <row r="11" spans="1:16" s="50" customFormat="1" ht="24.6" customHeight="1" x14ac:dyDescent="0.25">
      <c r="A11" s="52">
        <v>3</v>
      </c>
      <c r="B11" s="272" t="s">
        <v>511</v>
      </c>
      <c r="C11" s="56" t="s">
        <v>512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129121.52159999999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154.48609999999999</v>
      </c>
      <c r="O11" s="55">
        <f t="shared" si="2"/>
        <v>4.1066716562919003E-3</v>
      </c>
    </row>
    <row r="12" spans="1:16" s="50" customFormat="1" ht="31.9" customHeight="1" x14ac:dyDescent="0.25">
      <c r="A12" s="51">
        <v>4</v>
      </c>
      <c r="B12" s="274"/>
      <c r="C12" s="56" t="s">
        <v>513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2.3140164284093001E-3</v>
      </c>
    </row>
    <row r="13" spans="1:16" s="50" customFormat="1" ht="60" customHeight="1" x14ac:dyDescent="0.25">
      <c r="A13" s="52">
        <v>5</v>
      </c>
      <c r="B13" s="272" t="s">
        <v>514</v>
      </c>
      <c r="C13" s="53" t="s">
        <v>515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267889.86339999997</v>
      </c>
      <c r="K13" s="54">
        <f>E13*L22</f>
        <v>79488.050399999993</v>
      </c>
      <c r="L13" s="54">
        <f>F13*L22</f>
        <v>167241.27900000001</v>
      </c>
      <c r="M13" s="54">
        <f>G13*L24</f>
        <v>21160.534</v>
      </c>
      <c r="N13" s="54">
        <f>H13*L25</f>
        <v>231.46549999999999</v>
      </c>
      <c r="O13" s="55">
        <f t="shared" si="2"/>
        <v>1.2285736337367E-3</v>
      </c>
    </row>
    <row r="14" spans="1:16" s="50" customFormat="1" ht="39.6" customHeight="1" x14ac:dyDescent="0.25">
      <c r="A14" s="51">
        <v>6</v>
      </c>
      <c r="B14" s="274"/>
      <c r="C14" s="56" t="s">
        <v>516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23240.095499999999</v>
      </c>
      <c r="N14" s="54">
        <f>H14*M25</f>
        <v>1423.7859000000001</v>
      </c>
      <c r="O14" s="55">
        <f t="shared" si="2"/>
        <v>5.6024083795152002E-3</v>
      </c>
    </row>
    <row r="15" spans="1:16" s="50" customFormat="1" ht="46.15" customHeight="1" x14ac:dyDescent="0.25">
      <c r="A15" s="52">
        <v>7</v>
      </c>
      <c r="B15" s="58" t="s">
        <v>517</v>
      </c>
      <c r="C15" s="56" t="s">
        <v>518</v>
      </c>
      <c r="D15" s="54">
        <f t="shared" si="0"/>
        <v>981651.63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201852.46119999999</v>
      </c>
      <c r="N15" s="54">
        <f>H15*N25</f>
        <v>1185.7186999999999</v>
      </c>
      <c r="O15" s="55">
        <f t="shared" si="2"/>
        <v>3.5280316227560002E-4</v>
      </c>
    </row>
    <row r="16" spans="1:16" s="50" customFormat="1" ht="24" customHeight="1" x14ac:dyDescent="0.25">
      <c r="A16" s="59"/>
      <c r="B16" s="59"/>
      <c r="C16" s="60" t="s">
        <v>519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2.7456591672216E-3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" customHeight="1" x14ac:dyDescent="0.25">
      <c r="C18" s="67" t="s">
        <v>520</v>
      </c>
    </row>
    <row r="19" spans="1:15" ht="30.75" customHeight="1" x14ac:dyDescent="0.25">
      <c r="L19" s="68"/>
    </row>
    <row r="20" spans="1:15" ht="15" customHeight="1" outlineLevel="1" x14ac:dyDescent="0.25">
      <c r="G20" s="269" t="s">
        <v>521</v>
      </c>
      <c r="H20" s="269"/>
      <c r="I20" s="269"/>
      <c r="J20" s="269"/>
      <c r="K20" s="269"/>
      <c r="L20" s="269"/>
      <c r="M20" s="269"/>
      <c r="N20" s="269"/>
    </row>
    <row r="21" spans="1:15" ht="15.75" customHeight="1" outlineLevel="1" x14ac:dyDescent="0.25">
      <c r="G21" s="69"/>
      <c r="H21" s="69" t="s">
        <v>522</v>
      </c>
      <c r="I21" s="69" t="s">
        <v>523</v>
      </c>
      <c r="J21" s="69" t="s">
        <v>524</v>
      </c>
      <c r="K21" s="70" t="s">
        <v>525</v>
      </c>
      <c r="L21" s="69" t="s">
        <v>526</v>
      </c>
      <c r="M21" s="69" t="s">
        <v>527</v>
      </c>
      <c r="N21" s="69" t="s">
        <v>528</v>
      </c>
      <c r="O21" s="63"/>
    </row>
    <row r="22" spans="1:15" ht="15.75" customHeight="1" outlineLevel="1" x14ac:dyDescent="0.25">
      <c r="G22" s="267" t="s">
        <v>529</v>
      </c>
      <c r="H22" s="266">
        <v>6.09</v>
      </c>
      <c r="I22" s="268">
        <v>6.44</v>
      </c>
      <c r="J22" s="266">
        <v>5.77</v>
      </c>
      <c r="K22" s="268">
        <v>5.77</v>
      </c>
      <c r="L22" s="266">
        <v>5.23</v>
      </c>
      <c r="M22" s="266">
        <v>5.77</v>
      </c>
      <c r="N22" s="71">
        <v>6.29</v>
      </c>
      <c r="O22" t="s">
        <v>530</v>
      </c>
    </row>
    <row r="23" spans="1:15" ht="15.75" customHeight="1" outlineLevel="1" x14ac:dyDescent="0.25">
      <c r="G23" s="267"/>
      <c r="H23" s="266"/>
      <c r="I23" s="268"/>
      <c r="J23" s="266"/>
      <c r="K23" s="268"/>
      <c r="L23" s="266"/>
      <c r="M23" s="266"/>
      <c r="N23" s="71">
        <v>6.56</v>
      </c>
      <c r="O23" t="s">
        <v>531</v>
      </c>
    </row>
    <row r="24" spans="1:15" ht="15.75" customHeight="1" outlineLevel="1" x14ac:dyDescent="0.25">
      <c r="G24" s="72" t="s">
        <v>532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506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5" customHeight="1" outlineLevel="1" x14ac:dyDescent="0.25">
      <c r="G26" s="72" t="s">
        <v>533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5" customHeight="1" outlineLevel="1" x14ac:dyDescent="0.25">
      <c r="G27" s="72" t="s">
        <v>534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472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88" t="s">
        <v>535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</row>
    <row r="4" spans="1:18" ht="36.75" customHeight="1" x14ac:dyDescent="0.25">
      <c r="A4" s="272" t="s">
        <v>495</v>
      </c>
      <c r="B4" s="275" t="s">
        <v>496</v>
      </c>
      <c r="C4" s="278" t="s">
        <v>536</v>
      </c>
      <c r="D4" s="278" t="s">
        <v>537</v>
      </c>
      <c r="E4" s="281" t="s">
        <v>538</v>
      </c>
      <c r="F4" s="282"/>
      <c r="G4" s="282"/>
      <c r="H4" s="282"/>
      <c r="I4" s="282"/>
      <c r="J4" s="282"/>
      <c r="K4" s="282"/>
      <c r="L4" s="282"/>
      <c r="M4" s="282"/>
      <c r="N4" s="289" t="s">
        <v>539</v>
      </c>
      <c r="O4" s="290"/>
      <c r="P4" s="290"/>
      <c r="Q4" s="290"/>
      <c r="R4" s="291"/>
    </row>
    <row r="5" spans="1:18" ht="60" customHeight="1" x14ac:dyDescent="0.25">
      <c r="A5" s="273"/>
      <c r="B5" s="276"/>
      <c r="C5" s="279"/>
      <c r="D5" s="279"/>
      <c r="E5" s="286" t="s">
        <v>540</v>
      </c>
      <c r="F5" s="286" t="s">
        <v>541</v>
      </c>
      <c r="G5" s="283" t="s">
        <v>502</v>
      </c>
      <c r="H5" s="284"/>
      <c r="I5" s="284"/>
      <c r="J5" s="285"/>
      <c r="K5" s="286" t="s">
        <v>542</v>
      </c>
      <c r="L5" s="286"/>
      <c r="M5" s="286"/>
      <c r="N5" s="74" t="s">
        <v>543</v>
      </c>
      <c r="O5" s="74" t="s">
        <v>544</v>
      </c>
      <c r="P5" s="74" t="s">
        <v>545</v>
      </c>
      <c r="Q5" s="75" t="s">
        <v>546</v>
      </c>
      <c r="R5" s="74" t="s">
        <v>547</v>
      </c>
    </row>
    <row r="6" spans="1:18" ht="49.5" customHeight="1" x14ac:dyDescent="0.25">
      <c r="A6" s="274"/>
      <c r="B6" s="277"/>
      <c r="C6" s="280"/>
      <c r="D6" s="280"/>
      <c r="E6" s="286"/>
      <c r="F6" s="286"/>
      <c r="G6" s="47" t="s">
        <v>87</v>
      </c>
      <c r="H6" s="47" t="s">
        <v>88</v>
      </c>
      <c r="I6" s="47" t="s">
        <v>43</v>
      </c>
      <c r="J6" s="47" t="s">
        <v>472</v>
      </c>
      <c r="K6" s="47" t="s">
        <v>543</v>
      </c>
      <c r="L6" s="47" t="s">
        <v>544</v>
      </c>
      <c r="M6" s="47" t="s">
        <v>545</v>
      </c>
      <c r="N6" s="47" t="s">
        <v>548</v>
      </c>
      <c r="O6" s="47" t="s">
        <v>549</v>
      </c>
      <c r="P6" s="47" t="s">
        <v>550</v>
      </c>
      <c r="Q6" s="48" t="s">
        <v>551</v>
      </c>
      <c r="R6" s="47" t="s">
        <v>552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72">
        <v>1</v>
      </c>
      <c r="B9" s="272" t="s">
        <v>553</v>
      </c>
      <c r="C9" s="292" t="s">
        <v>509</v>
      </c>
      <c r="D9" s="53" t="s">
        <v>554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1695.3600216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3.3863775806946002E-2</v>
      </c>
      <c r="O9" s="55">
        <f t="shared" ref="O9:O22" si="2">L9/(G9+H9)</f>
        <v>0</v>
      </c>
      <c r="P9" s="55">
        <f t="shared" ref="P9:P22" si="3">M9/(G9+H9)</f>
        <v>1.652318219292E-2</v>
      </c>
      <c r="Q9" s="77">
        <v>0</v>
      </c>
      <c r="R9" s="78">
        <f>N9+O9+P9+Q9</f>
        <v>5.0386957999864999E-2</v>
      </c>
    </row>
    <row r="10" spans="1:18" ht="72.599999999999994" hidden="1" customHeight="1" x14ac:dyDescent="0.25">
      <c r="A10" s="274"/>
      <c r="B10" s="273"/>
      <c r="C10" s="293"/>
      <c r="D10" s="53" t="s">
        <v>555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13.442130000000001</v>
      </c>
      <c r="N10" s="55">
        <f t="shared" si="1"/>
        <v>4.5248786595059001E-2</v>
      </c>
      <c r="O10" s="55">
        <f t="shared" si="2"/>
        <v>0</v>
      </c>
      <c r="P10" s="55">
        <f t="shared" si="3"/>
        <v>2.0328274718868E-2</v>
      </c>
      <c r="Q10" s="77">
        <v>0</v>
      </c>
      <c r="R10" s="78"/>
    </row>
    <row r="11" spans="1:18" ht="192.75" customHeight="1" x14ac:dyDescent="0.25">
      <c r="A11" s="272">
        <v>2</v>
      </c>
      <c r="B11" s="273"/>
      <c r="C11" s="292" t="s">
        <v>556</v>
      </c>
      <c r="D11" s="53" t="s">
        <v>554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246917.90760000001</v>
      </c>
      <c r="I11" s="54">
        <f>I12*F30</f>
        <v>174701.4558</v>
      </c>
      <c r="J11" s="54"/>
      <c r="K11" s="54">
        <f>K12*1.19*F33</f>
        <v>8486.4829769999997</v>
      </c>
      <c r="L11" s="54">
        <f>L12*1.19*F33</f>
        <v>11572.501646999999</v>
      </c>
      <c r="M11" s="54">
        <f>M12*1.266*F34</f>
        <v>3883.6190735999999</v>
      </c>
      <c r="N11" s="55">
        <f t="shared" si="1"/>
        <v>2.4476289311970999E-2</v>
      </c>
      <c r="O11" s="55">
        <f t="shared" si="2"/>
        <v>3.3376829853179003E-2</v>
      </c>
      <c r="P11" s="55">
        <f t="shared" si="3"/>
        <v>1.1200939692042E-2</v>
      </c>
      <c r="Q11" s="77">
        <v>0</v>
      </c>
      <c r="R11" s="78">
        <f>N11+O11+P11+Q11</f>
        <v>6.9054058857192999E-2</v>
      </c>
    </row>
    <row r="12" spans="1:18" ht="100.9" hidden="1" customHeight="1" x14ac:dyDescent="0.25">
      <c r="A12" s="274"/>
      <c r="B12" s="274"/>
      <c r="C12" s="293"/>
      <c r="D12" s="53" t="s">
        <v>555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3.5605195194586998E-2</v>
      </c>
      <c r="O12" s="55">
        <f t="shared" si="2"/>
        <v>4.8552643203058E-2</v>
      </c>
      <c r="P12" s="55">
        <f t="shared" si="3"/>
        <v>1.5002288893112999E-2</v>
      </c>
      <c r="Q12" s="77">
        <v>0</v>
      </c>
      <c r="R12" s="78"/>
    </row>
    <row r="13" spans="1:18" ht="49.15" customHeight="1" x14ac:dyDescent="0.25">
      <c r="A13" s="272">
        <v>3</v>
      </c>
      <c r="B13" s="272" t="s">
        <v>511</v>
      </c>
      <c r="C13" s="294" t="s">
        <v>512</v>
      </c>
      <c r="D13" s="53" t="s">
        <v>557</v>
      </c>
      <c r="E13" s="54">
        <v>170961.79</v>
      </c>
      <c r="F13" s="54">
        <f t="shared" si="0"/>
        <v>129121.52159999999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2500.7293079999999</v>
      </c>
      <c r="M13" s="54">
        <f>M14*1.266*G34</f>
        <v>200.53819799999999</v>
      </c>
      <c r="N13" s="55">
        <f t="shared" si="1"/>
        <v>1.5462031915832E-2</v>
      </c>
      <c r="O13" s="55">
        <f t="shared" si="2"/>
        <v>1.9367254017862E-2</v>
      </c>
      <c r="P13" s="55">
        <f t="shared" si="3"/>
        <v>1.5530966140659E-3</v>
      </c>
      <c r="Q13" s="77">
        <v>4.5614105389631997E-3</v>
      </c>
      <c r="R13" s="78">
        <f>N13+O13+P13+Q13</f>
        <v>4.0943793086723003E-2</v>
      </c>
    </row>
    <row r="14" spans="1:18" ht="57" hidden="1" customHeight="1" x14ac:dyDescent="0.25">
      <c r="A14" s="274"/>
      <c r="B14" s="273"/>
      <c r="C14" s="295"/>
      <c r="D14" s="53" t="s">
        <v>555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1.8789815748268001E-2</v>
      </c>
      <c r="O14" s="55">
        <f t="shared" si="2"/>
        <v>2.3535531198387E-2</v>
      </c>
      <c r="P14" s="55">
        <f t="shared" si="3"/>
        <v>1.7740574705247E-3</v>
      </c>
      <c r="Q14" s="77">
        <v>4.9753003421204997E-3</v>
      </c>
      <c r="R14" s="78"/>
    </row>
    <row r="15" spans="1:18" ht="67.900000000000006" customHeight="1" x14ac:dyDescent="0.25">
      <c r="A15" s="272">
        <v>4</v>
      </c>
      <c r="B15" s="273"/>
      <c r="C15" s="296" t="s">
        <v>513</v>
      </c>
      <c r="D15" s="56" t="s">
        <v>557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2.2525618000755001E-2</v>
      </c>
      <c r="O15" s="55">
        <f t="shared" si="2"/>
        <v>2.6866429814977E-2</v>
      </c>
      <c r="P15" s="55">
        <f t="shared" si="3"/>
        <v>6.9359333128888E-3</v>
      </c>
      <c r="Q15" s="77">
        <v>3.5515340532281999E-3</v>
      </c>
      <c r="R15" s="78">
        <f>N15+O15+P15+Q15</f>
        <v>5.9879515181849002E-2</v>
      </c>
    </row>
    <row r="16" spans="1:18" ht="67.900000000000006" hidden="1" customHeight="1" x14ac:dyDescent="0.25">
      <c r="A16" s="274"/>
      <c r="B16" s="274"/>
      <c r="C16" s="297"/>
      <c r="D16" s="56" t="s">
        <v>555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2.8517217139516E-2</v>
      </c>
      <c r="O16" s="55">
        <f t="shared" si="2"/>
        <v>3.4012611298874E-2</v>
      </c>
      <c r="P16" s="55">
        <f t="shared" si="3"/>
        <v>8.0848611548021993E-3</v>
      </c>
      <c r="Q16" s="77">
        <v>3.8737899135989E-3</v>
      </c>
      <c r="R16" s="78"/>
    </row>
    <row r="17" spans="1:18" ht="67.900000000000006" customHeight="1" x14ac:dyDescent="0.25">
      <c r="A17" s="272">
        <v>5</v>
      </c>
      <c r="B17" s="287" t="s">
        <v>514</v>
      </c>
      <c r="C17" s="292" t="s">
        <v>558</v>
      </c>
      <c r="D17" s="53" t="s">
        <v>559</v>
      </c>
      <c r="E17" s="54">
        <v>561932.85</v>
      </c>
      <c r="F17" s="54">
        <f>G17+H17+I17</f>
        <v>399667.21620000002</v>
      </c>
      <c r="G17" s="54">
        <f>G18*I28</f>
        <v>163785.296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1734.8322095999999</v>
      </c>
      <c r="N17" s="55">
        <f t="shared" si="1"/>
        <v>6.1677626090981999E-2</v>
      </c>
      <c r="O17" s="55">
        <f t="shared" si="2"/>
        <v>0</v>
      </c>
      <c r="P17" s="55">
        <f t="shared" si="3"/>
        <v>5.5684105147574998E-3</v>
      </c>
      <c r="Q17" s="77">
        <v>5.5643872525604002E-3</v>
      </c>
      <c r="R17" s="78">
        <f>N17+O17+P17+Q17</f>
        <v>7.2810423858299E-2</v>
      </c>
    </row>
    <row r="18" spans="1:18" ht="67.900000000000006" hidden="1" customHeight="1" x14ac:dyDescent="0.25">
      <c r="A18" s="274"/>
      <c r="B18" s="287"/>
      <c r="C18" s="293"/>
      <c r="D18" s="53" t="s">
        <v>555</v>
      </c>
      <c r="E18" s="54">
        <v>94393.09</v>
      </c>
      <c r="F18" s="54">
        <f>G18+H18+I18</f>
        <v>69651.210000000006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8.3321545724441004E-2</v>
      </c>
      <c r="O18" s="55">
        <f t="shared" si="2"/>
        <v>0</v>
      </c>
      <c r="P18" s="55">
        <f t="shared" si="3"/>
        <v>7.0000052993284996E-3</v>
      </c>
      <c r="Q18" s="77">
        <v>9.4728844648146997E-3</v>
      </c>
      <c r="R18" s="78"/>
    </row>
    <row r="19" spans="1:18" ht="67.900000000000006" customHeight="1" x14ac:dyDescent="0.25">
      <c r="A19" s="272">
        <v>6</v>
      </c>
      <c r="B19" s="287"/>
      <c r="C19" s="292" t="s">
        <v>516</v>
      </c>
      <c r="D19" s="56" t="s">
        <v>557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4.0112401119907999E-2</v>
      </c>
      <c r="O19" s="55">
        <f t="shared" si="2"/>
        <v>0</v>
      </c>
      <c r="P19" s="55">
        <f t="shared" si="3"/>
        <v>5.2015534168579998E-3</v>
      </c>
      <c r="Q19" s="77">
        <v>5.1286902198045999E-3</v>
      </c>
      <c r="R19" s="78">
        <f>N19+O19+P19+Q19</f>
        <v>5.0442644756571002E-2</v>
      </c>
    </row>
    <row r="20" spans="1:18" ht="67.900000000000006" hidden="1" customHeight="1" x14ac:dyDescent="0.25">
      <c r="A20" s="274"/>
      <c r="B20" s="287"/>
      <c r="C20" s="293"/>
      <c r="D20" s="56" t="s">
        <v>555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4.7553687712675E-2</v>
      </c>
      <c r="O20" s="55">
        <f t="shared" si="2"/>
        <v>0</v>
      </c>
      <c r="P20" s="55">
        <f t="shared" si="3"/>
        <v>5.6851131580381003E-3</v>
      </c>
      <c r="Q20" s="77">
        <v>5.5940533914911996E-3</v>
      </c>
      <c r="R20" s="78"/>
    </row>
    <row r="21" spans="1:18" ht="67.900000000000006" customHeight="1" x14ac:dyDescent="0.25">
      <c r="A21" s="272">
        <v>7</v>
      </c>
      <c r="B21" s="272" t="s">
        <v>517</v>
      </c>
      <c r="C21" s="292" t="s">
        <v>518</v>
      </c>
      <c r="D21" s="56" t="s">
        <v>560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201852.46119999999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</v>
      </c>
      <c r="N21" s="55">
        <f t="shared" si="1"/>
        <v>8.0473539343916007E-3</v>
      </c>
      <c r="O21" s="55">
        <f t="shared" si="2"/>
        <v>1.2071027027926E-2</v>
      </c>
      <c r="P21" s="55">
        <f t="shared" si="3"/>
        <v>1.8978730522309999E-3</v>
      </c>
      <c r="Q21" s="77">
        <v>5.9210415358545E-4</v>
      </c>
      <c r="R21" s="78">
        <f>N21+O21+P21+Q21</f>
        <v>2.2608358168133998E-2</v>
      </c>
    </row>
    <row r="22" spans="1:18" ht="67.900000000000006" hidden="1" customHeight="1" x14ac:dyDescent="0.25">
      <c r="A22" s="274"/>
      <c r="B22" s="274"/>
      <c r="C22" s="293"/>
      <c r="D22" s="79" t="s">
        <v>555</v>
      </c>
      <c r="E22" s="80">
        <v>2195184.4700000002</v>
      </c>
      <c r="F22" s="80">
        <f>G22+H22+I22+J22</f>
        <v>981651.63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1.1115444551008E-2</v>
      </c>
      <c r="O22" s="81">
        <f t="shared" si="2"/>
        <v>1.6673161475998E-2</v>
      </c>
      <c r="P22" s="81">
        <f t="shared" si="3"/>
        <v>2.4393737656901999E-3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561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2.9452156597254999E-2</v>
      </c>
      <c r="O23" s="62">
        <f>(O9+O11+O13+O15+O17+O19+O21)/7</f>
        <v>1.3097362959135E-2</v>
      </c>
      <c r="P23" s="62">
        <f>(P9+P11+P13+P15+P17+P19+P21)/7</f>
        <v>6.9829983993947003E-3</v>
      </c>
      <c r="Q23" s="62">
        <f>(Q9+Q11+Q13+Q15+Q17+Q19+Q21)/7</f>
        <v>2.7711608883059999E-3</v>
      </c>
      <c r="R23" s="62">
        <f>N23+O23+P23+Q23</f>
        <v>5.2303678844090998E-2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98" t="s">
        <v>562</v>
      </c>
      <c r="E26" s="298"/>
      <c r="F26" s="298"/>
      <c r="G26" s="298"/>
      <c r="H26" s="298"/>
      <c r="I26" s="298"/>
      <c r="J26" s="298"/>
      <c r="K26" s="298"/>
      <c r="L26" s="68"/>
      <c r="R26" s="86"/>
    </row>
    <row r="27" spans="1:18" outlineLevel="1" x14ac:dyDescent="0.25">
      <c r="D27" s="87"/>
      <c r="E27" s="87" t="s">
        <v>522</v>
      </c>
      <c r="F27" s="87" t="s">
        <v>523</v>
      </c>
      <c r="G27" s="87" t="s">
        <v>524</v>
      </c>
      <c r="H27" s="88" t="s">
        <v>525</v>
      </c>
      <c r="I27" s="88" t="s">
        <v>526</v>
      </c>
      <c r="J27" s="88" t="s">
        <v>527</v>
      </c>
      <c r="K27" s="59" t="s">
        <v>528</v>
      </c>
    </row>
    <row r="28" spans="1:18" outlineLevel="1" x14ac:dyDescent="0.25">
      <c r="D28" s="299" t="s">
        <v>529</v>
      </c>
      <c r="E28" s="301">
        <v>6.09</v>
      </c>
      <c r="F28" s="303">
        <v>6.63</v>
      </c>
      <c r="G28" s="301">
        <v>5.77</v>
      </c>
      <c r="H28" s="305">
        <v>5.77</v>
      </c>
      <c r="I28" s="305">
        <v>6.35</v>
      </c>
      <c r="J28" s="301">
        <v>5.77</v>
      </c>
      <c r="K28" s="89">
        <v>6.29</v>
      </c>
      <c r="L28" t="s">
        <v>530</v>
      </c>
    </row>
    <row r="29" spans="1:18" outlineLevel="1" x14ac:dyDescent="0.25">
      <c r="D29" s="300"/>
      <c r="E29" s="302"/>
      <c r="F29" s="304"/>
      <c r="G29" s="302"/>
      <c r="H29" s="306"/>
      <c r="I29" s="306"/>
      <c r="J29" s="302"/>
      <c r="K29" s="89">
        <v>6.56</v>
      </c>
      <c r="L29" t="s">
        <v>531</v>
      </c>
    </row>
    <row r="30" spans="1:18" outlineLevel="1" x14ac:dyDescent="0.25">
      <c r="D30" s="90" t="s">
        <v>532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99" t="s">
        <v>506</v>
      </c>
      <c r="E31" s="301">
        <v>11.37</v>
      </c>
      <c r="F31" s="303">
        <v>13.56</v>
      </c>
      <c r="G31" s="301">
        <v>15.91</v>
      </c>
      <c r="H31" s="305">
        <v>15.91</v>
      </c>
      <c r="I31" s="305">
        <v>14.03</v>
      </c>
      <c r="J31" s="301">
        <v>15.91</v>
      </c>
      <c r="K31" s="89">
        <v>8.2899999999999991</v>
      </c>
      <c r="L31" t="s">
        <v>530</v>
      </c>
    </row>
    <row r="32" spans="1:18" outlineLevel="1" x14ac:dyDescent="0.25">
      <c r="D32" s="300"/>
      <c r="E32" s="302"/>
      <c r="F32" s="304"/>
      <c r="G32" s="302"/>
      <c r="H32" s="306"/>
      <c r="I32" s="306"/>
      <c r="J32" s="302"/>
      <c r="K32" s="89">
        <v>11.84</v>
      </c>
      <c r="L32" t="s">
        <v>531</v>
      </c>
    </row>
    <row r="33" spans="4:12" ht="15" customHeight="1" outlineLevel="1" x14ac:dyDescent="0.25">
      <c r="D33" s="91" t="s">
        <v>533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563</v>
      </c>
    </row>
    <row r="34" spans="4:12" outlineLevel="1" x14ac:dyDescent="0.25">
      <c r="D34" s="91" t="s">
        <v>534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563</v>
      </c>
    </row>
    <row r="35" spans="4:12" outlineLevel="1" x14ac:dyDescent="0.25">
      <c r="D35" s="90" t="s">
        <v>472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7" t="s">
        <v>10</v>
      </c>
      <c r="B2" s="207"/>
      <c r="C2" s="207"/>
      <c r="D2" s="207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0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0"/>
    </row>
    <row r="5" spans="1:4" x14ac:dyDescent="0.25">
      <c r="A5" s="5"/>
      <c r="B5" s="1"/>
      <c r="C5" s="1"/>
    </row>
    <row r="6" spans="1:4" x14ac:dyDescent="0.25">
      <c r="A6" s="207" t="s">
        <v>12</v>
      </c>
      <c r="B6" s="207"/>
      <c r="C6" s="207"/>
      <c r="D6" s="207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1" t="s">
        <v>5</v>
      </c>
      <c r="B15" s="212" t="s">
        <v>15</v>
      </c>
      <c r="C15" s="212"/>
      <c r="D15" s="212"/>
    </row>
    <row r="16" spans="1:4" x14ac:dyDescent="0.25">
      <c r="A16" s="211"/>
      <c r="B16" s="211" t="s">
        <v>17</v>
      </c>
      <c r="C16" s="212" t="s">
        <v>28</v>
      </c>
      <c r="D16" s="212"/>
    </row>
    <row r="17" spans="1:4" ht="39" customHeight="1" x14ac:dyDescent="0.25">
      <c r="A17" s="211"/>
      <c r="B17" s="211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3" t="s">
        <v>29</v>
      </c>
      <c r="B2" s="213"/>
      <c r="C2" s="213"/>
      <c r="D2" s="213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N32"/>
  <sheetViews>
    <sheetView view="pageBreakPreview" topLeftCell="A22" zoomScale="85" zoomScaleNormal="55" workbookViewId="0">
      <selection activeCell="D30" sqref="D30"/>
    </sheetView>
  </sheetViews>
  <sheetFormatPr defaultColWidth="9.140625" defaultRowHeight="15.75" x14ac:dyDescent="0.25"/>
  <cols>
    <col min="1" max="2" width="9.140625" style="112"/>
    <col min="3" max="3" width="51.7109375" style="112" customWidth="1"/>
    <col min="4" max="4" width="47" style="112" customWidth="1"/>
    <col min="5" max="5" width="37.42578125" style="112" customWidth="1"/>
    <col min="6" max="6" width="9.140625" style="112"/>
  </cols>
  <sheetData>
    <row r="3" spans="2:14" x14ac:dyDescent="0.25">
      <c r="B3" s="214" t="s">
        <v>45</v>
      </c>
      <c r="C3" s="214"/>
      <c r="D3" s="214"/>
    </row>
    <row r="4" spans="2:14" x14ac:dyDescent="0.25">
      <c r="B4" s="215" t="s">
        <v>46</v>
      </c>
      <c r="C4" s="215"/>
      <c r="D4" s="215"/>
    </row>
    <row r="5" spans="2:14" ht="84" customHeight="1" x14ac:dyDescent="0.25">
      <c r="B5" s="217" t="s">
        <v>47</v>
      </c>
      <c r="C5" s="217"/>
      <c r="D5" s="217"/>
    </row>
    <row r="6" spans="2:14" ht="18.75" customHeight="1" x14ac:dyDescent="0.25">
      <c r="B6" s="142"/>
      <c r="C6" s="142"/>
      <c r="D6" s="142"/>
    </row>
    <row r="7" spans="2:14" ht="64.5" customHeight="1" x14ac:dyDescent="0.25">
      <c r="B7" s="216" t="s">
        <v>48</v>
      </c>
      <c r="C7" s="216"/>
      <c r="D7" s="216"/>
    </row>
    <row r="8" spans="2:14" ht="31.5" customHeight="1" x14ac:dyDescent="0.25">
      <c r="B8" s="216" t="s">
        <v>49</v>
      </c>
      <c r="C8" s="216"/>
      <c r="D8" s="216"/>
      <c r="E8" s="216"/>
      <c r="F8" s="216"/>
      <c r="G8" s="112"/>
      <c r="H8" s="112"/>
      <c r="I8" s="112"/>
      <c r="J8" s="112"/>
      <c r="K8" s="112"/>
      <c r="L8" s="112"/>
      <c r="M8" s="112"/>
      <c r="N8" s="112"/>
    </row>
    <row r="9" spans="2:14" ht="15.75" customHeight="1" x14ac:dyDescent="0.25">
      <c r="B9" s="216" t="s">
        <v>50</v>
      </c>
      <c r="C9" s="216"/>
      <c r="D9" s="216"/>
    </row>
    <row r="10" spans="2:14" x14ac:dyDescent="0.25">
      <c r="B10" s="143"/>
    </row>
    <row r="11" spans="2:14" x14ac:dyDescent="0.25">
      <c r="B11" s="108" t="s">
        <v>33</v>
      </c>
      <c r="C11" s="108" t="s">
        <v>51</v>
      </c>
      <c r="D11" s="108" t="s">
        <v>52</v>
      </c>
      <c r="E11" s="144"/>
    </row>
    <row r="12" spans="2:14" ht="96.75" customHeight="1" x14ac:dyDescent="0.25">
      <c r="B12" s="108">
        <v>1</v>
      </c>
      <c r="C12" s="145" t="s">
        <v>53</v>
      </c>
      <c r="D12" s="108" t="s">
        <v>54</v>
      </c>
    </row>
    <row r="13" spans="2:14" x14ac:dyDescent="0.25">
      <c r="B13" s="108">
        <v>2</v>
      </c>
      <c r="C13" s="145" t="s">
        <v>55</v>
      </c>
      <c r="D13" s="108" t="s">
        <v>56</v>
      </c>
    </row>
    <row r="14" spans="2:14" x14ac:dyDescent="0.25">
      <c r="B14" s="108">
        <v>3</v>
      </c>
      <c r="C14" s="145" t="s">
        <v>57</v>
      </c>
      <c r="D14" s="108" t="s">
        <v>58</v>
      </c>
    </row>
    <row r="15" spans="2:14" x14ac:dyDescent="0.25">
      <c r="B15" s="108">
        <v>4</v>
      </c>
      <c r="C15" s="145" t="s">
        <v>59</v>
      </c>
      <c r="D15" s="108">
        <v>1</v>
      </c>
    </row>
    <row r="16" spans="2:14" ht="252" customHeight="1" x14ac:dyDescent="0.25">
      <c r="B16" s="108">
        <v>5</v>
      </c>
      <c r="C16" s="105" t="s">
        <v>60</v>
      </c>
      <c r="D16" s="146" t="s">
        <v>61</v>
      </c>
    </row>
    <row r="17" spans="2:5" ht="79.5" customHeight="1" x14ac:dyDescent="0.25">
      <c r="B17" s="108">
        <v>6</v>
      </c>
      <c r="C17" s="105" t="s">
        <v>62</v>
      </c>
      <c r="D17" s="198">
        <f>D18+D19</f>
        <v>2087.6922972000002</v>
      </c>
      <c r="E17" s="147"/>
    </row>
    <row r="18" spans="2:5" x14ac:dyDescent="0.25">
      <c r="B18" s="148" t="s">
        <v>63</v>
      </c>
      <c r="C18" s="145" t="s">
        <v>64</v>
      </c>
      <c r="D18" s="199">
        <f>'Прил.2 Расч стоим'!F14/1000</f>
        <v>77.599408800000006</v>
      </c>
    </row>
    <row r="19" spans="2:5" ht="15.75" customHeight="1" x14ac:dyDescent="0.25">
      <c r="B19" s="148" t="s">
        <v>65</v>
      </c>
      <c r="C19" s="145" t="s">
        <v>66</v>
      </c>
      <c r="D19" s="199">
        <f>'Прил.2 Расч стоим'!H14/1000</f>
        <v>2010.0928884</v>
      </c>
    </row>
    <row r="20" spans="2:5" ht="16.5" customHeight="1" x14ac:dyDescent="0.25">
      <c r="B20" s="148" t="s">
        <v>67</v>
      </c>
      <c r="C20" s="145" t="s">
        <v>68</v>
      </c>
      <c r="D20" s="199"/>
    </row>
    <row r="21" spans="2:5" ht="35.25" customHeight="1" x14ac:dyDescent="0.25">
      <c r="B21" s="148" t="s">
        <v>69</v>
      </c>
      <c r="C21" s="149" t="s">
        <v>70</v>
      </c>
      <c r="D21" s="199"/>
    </row>
    <row r="22" spans="2:5" x14ac:dyDescent="0.25">
      <c r="B22" s="108">
        <v>7</v>
      </c>
      <c r="C22" s="149" t="s">
        <v>71</v>
      </c>
      <c r="D22" s="200" t="s">
        <v>72</v>
      </c>
      <c r="E22" s="150"/>
    </row>
    <row r="23" spans="2:5" ht="123" customHeight="1" x14ac:dyDescent="0.25">
      <c r="B23" s="108">
        <v>8</v>
      </c>
      <c r="C23" s="151" t="s">
        <v>73</v>
      </c>
      <c r="D23" s="198">
        <f>D17</f>
        <v>2087.6922972000002</v>
      </c>
      <c r="E23" s="147"/>
    </row>
    <row r="24" spans="2:5" ht="60.75" customHeight="1" x14ac:dyDescent="0.25">
      <c r="B24" s="108">
        <v>9</v>
      </c>
      <c r="C24" s="105" t="s">
        <v>74</v>
      </c>
      <c r="D24" s="199">
        <f>D23/D15</f>
        <v>2087.6922972000002</v>
      </c>
      <c r="E24" s="150"/>
    </row>
    <row r="25" spans="2:5" ht="48" customHeight="1" x14ac:dyDescent="0.25">
      <c r="B25" s="108">
        <v>10</v>
      </c>
      <c r="C25" s="145" t="s">
        <v>75</v>
      </c>
      <c r="D25" s="108"/>
    </row>
    <row r="26" spans="2:5" x14ac:dyDescent="0.25">
      <c r="B26" s="152"/>
      <c r="C26" s="153"/>
      <c r="D26" s="153"/>
    </row>
    <row r="27" spans="2:5" ht="37.5" customHeight="1" x14ac:dyDescent="0.25">
      <c r="B27" s="116"/>
    </row>
    <row r="28" spans="2:5" x14ac:dyDescent="0.25">
      <c r="B28" s="112" t="s">
        <v>76</v>
      </c>
    </row>
    <row r="29" spans="2:5" x14ac:dyDescent="0.25">
      <c r="B29" s="116" t="s">
        <v>77</v>
      </c>
    </row>
    <row r="31" spans="2:5" x14ac:dyDescent="0.25">
      <c r="B31" s="112" t="s">
        <v>78</v>
      </c>
    </row>
    <row r="32" spans="2:5" x14ac:dyDescent="0.25">
      <c r="B32" s="116" t="s">
        <v>79</v>
      </c>
    </row>
  </sheetData>
  <mergeCells count="6">
    <mergeCell ref="B3:D3"/>
    <mergeCell ref="B4:D4"/>
    <mergeCell ref="B7:D7"/>
    <mergeCell ref="B9:D9"/>
    <mergeCell ref="B5:D5"/>
    <mergeCell ref="B8:F8"/>
  </mergeCells>
  <pageMargins left="0.7" right="0.7" top="0.75" bottom="0.75" header="0.3" footer="0.3"/>
  <pageSetup paperSize="9" scale="53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G21" sqref="G21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35.28515625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10" width="13" style="112" customWidth="1"/>
    <col min="11" max="11" width="9.140625" style="112"/>
  </cols>
  <sheetData>
    <row r="3" spans="2:12" x14ac:dyDescent="0.25">
      <c r="B3" s="214" t="s">
        <v>80</v>
      </c>
      <c r="C3" s="214"/>
      <c r="D3" s="214"/>
      <c r="E3" s="214"/>
      <c r="F3" s="214"/>
      <c r="G3" s="214"/>
      <c r="H3" s="214"/>
      <c r="I3" s="214"/>
      <c r="J3" s="214"/>
    </row>
    <row r="4" spans="2:12" x14ac:dyDescent="0.25">
      <c r="B4" s="215" t="s">
        <v>81</v>
      </c>
      <c r="C4" s="215"/>
      <c r="D4" s="215"/>
      <c r="E4" s="215"/>
      <c r="F4" s="215"/>
      <c r="G4" s="215"/>
      <c r="H4" s="215"/>
      <c r="I4" s="215"/>
      <c r="J4" s="215"/>
    </row>
    <row r="5" spans="2:12" x14ac:dyDescent="0.25">
      <c r="B5" s="113"/>
      <c r="C5" s="113"/>
      <c r="D5" s="113"/>
      <c r="E5" s="113"/>
      <c r="F5" s="113"/>
      <c r="G5" s="113"/>
      <c r="H5" s="113"/>
      <c r="I5" s="113"/>
      <c r="J5" s="113"/>
    </row>
    <row r="6" spans="2:12" ht="29.25" customHeight="1" x14ac:dyDescent="0.25">
      <c r="B6" s="216" t="str">
        <f>'Прил.1 Сравнит табл'!B7:D7</f>
        <v>Наименование разрабатываемого показателя УНЦ - Постоянная часть ПС, ЛВС ЗПС 330 кВ</v>
      </c>
      <c r="C6" s="216"/>
      <c r="D6" s="216"/>
      <c r="E6" s="216"/>
      <c r="F6" s="216"/>
      <c r="G6" s="216"/>
      <c r="H6" s="216"/>
      <c r="I6" s="216"/>
      <c r="J6" s="216"/>
    </row>
    <row r="7" spans="2:12" x14ac:dyDescent="0.25">
      <c r="B7" s="216" t="str">
        <f>'Прил.1 Сравнит табл'!B9:D9</f>
        <v>Единица измерения  — 1 ПС</v>
      </c>
      <c r="C7" s="216"/>
      <c r="D7" s="216"/>
      <c r="E7" s="216"/>
      <c r="F7" s="216"/>
      <c r="G7" s="216"/>
      <c r="H7" s="216"/>
      <c r="I7" s="216"/>
      <c r="J7" s="216"/>
    </row>
    <row r="8" spans="2:12" ht="18.75" customHeight="1" x14ac:dyDescent="0.25">
      <c r="B8" s="107"/>
    </row>
    <row r="9" spans="2:12" ht="15.75" customHeight="1" x14ac:dyDescent="0.25">
      <c r="B9" s="220" t="s">
        <v>33</v>
      </c>
      <c r="C9" s="220" t="s">
        <v>82</v>
      </c>
      <c r="D9" s="220" t="s">
        <v>83</v>
      </c>
      <c r="E9" s="220"/>
      <c r="F9" s="220"/>
      <c r="G9" s="220"/>
      <c r="H9" s="220"/>
      <c r="I9" s="220"/>
      <c r="J9" s="220"/>
    </row>
    <row r="10" spans="2:12" ht="15.75" customHeight="1" x14ac:dyDescent="0.25">
      <c r="B10" s="220"/>
      <c r="C10" s="220"/>
      <c r="D10" s="220" t="s">
        <v>84</v>
      </c>
      <c r="E10" s="220" t="s">
        <v>85</v>
      </c>
      <c r="F10" s="220" t="s">
        <v>86</v>
      </c>
      <c r="G10" s="220"/>
      <c r="H10" s="220"/>
      <c r="I10" s="220"/>
      <c r="J10" s="220"/>
    </row>
    <row r="11" spans="2:12" ht="31.5" customHeight="1" x14ac:dyDescent="0.25">
      <c r="B11" s="221"/>
      <c r="C11" s="221"/>
      <c r="D11" s="221"/>
      <c r="E11" s="221"/>
      <c r="F11" s="156" t="s">
        <v>87</v>
      </c>
      <c r="G11" s="156" t="s">
        <v>88</v>
      </c>
      <c r="H11" s="156" t="s">
        <v>43</v>
      </c>
      <c r="I11" s="156" t="s">
        <v>89</v>
      </c>
      <c r="J11" s="156" t="s">
        <v>90</v>
      </c>
    </row>
    <row r="12" spans="2:12" ht="15.75" customHeight="1" x14ac:dyDescent="0.25">
      <c r="B12" s="206"/>
      <c r="C12" s="206" t="s">
        <v>91</v>
      </c>
      <c r="D12" s="206"/>
      <c r="E12" s="206"/>
      <c r="F12" s="226">
        <v>77599.408800000005</v>
      </c>
      <c r="G12" s="227"/>
      <c r="H12" s="206">
        <v>2010092.8884000001</v>
      </c>
      <c r="I12" s="206"/>
      <c r="J12" s="206">
        <f>H12+F12</f>
        <v>2087692.2971999999</v>
      </c>
    </row>
    <row r="13" spans="2:12" ht="15.75" customHeight="1" x14ac:dyDescent="0.25">
      <c r="B13" s="218" t="s">
        <v>92</v>
      </c>
      <c r="C13" s="218"/>
      <c r="D13" s="218"/>
      <c r="E13" s="218"/>
      <c r="F13" s="222">
        <f>F12</f>
        <v>77599.408800000005</v>
      </c>
      <c r="G13" s="223"/>
      <c r="H13" s="204">
        <f>SUM(H12:H12)</f>
        <v>2010092.8884000001</v>
      </c>
      <c r="I13" s="202"/>
      <c r="J13" s="205">
        <f>SUM(F13:I13)</f>
        <v>2087692.2971999999</v>
      </c>
      <c r="L13" s="112"/>
    </row>
    <row r="14" spans="2:12" ht="15.6" customHeight="1" x14ac:dyDescent="0.25">
      <c r="B14" s="219" t="s">
        <v>93</v>
      </c>
      <c r="C14" s="219"/>
      <c r="D14" s="219"/>
      <c r="E14" s="219"/>
      <c r="F14" s="224">
        <f>F13</f>
        <v>77599.408800000005</v>
      </c>
      <c r="G14" s="225"/>
      <c r="H14" s="201">
        <f>H13</f>
        <v>2010092.8884000001</v>
      </c>
      <c r="I14" s="114"/>
      <c r="J14" s="203">
        <f>SUM(F14:I14)</f>
        <v>2087692.2971999999</v>
      </c>
      <c r="L14" s="112"/>
    </row>
    <row r="15" spans="2:12" ht="15" customHeight="1" x14ac:dyDescent="0.25"/>
    <row r="16" spans="2:12" ht="15" customHeight="1" x14ac:dyDescent="0.25"/>
    <row r="17" spans="3:5" ht="15" customHeight="1" x14ac:dyDescent="0.25"/>
    <row r="18" spans="3:5" ht="15" customHeight="1" x14ac:dyDescent="0.25">
      <c r="C18" s="4" t="s">
        <v>94</v>
      </c>
      <c r="D18" s="12"/>
      <c r="E18" s="12"/>
    </row>
    <row r="19" spans="3:5" ht="15" customHeight="1" x14ac:dyDescent="0.25">
      <c r="C19" s="115" t="s">
        <v>77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78</v>
      </c>
      <c r="D21" s="12"/>
      <c r="E21" s="12"/>
    </row>
    <row r="22" spans="3:5" ht="15" customHeight="1" x14ac:dyDescent="0.25">
      <c r="C22" s="115" t="s">
        <v>79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3:E13"/>
    <mergeCell ref="B14:E14"/>
    <mergeCell ref="B3:J3"/>
    <mergeCell ref="B4:J4"/>
    <mergeCell ref="B7:J7"/>
    <mergeCell ref="B9:B11"/>
    <mergeCell ref="C9:C11"/>
    <mergeCell ref="D9:J9"/>
    <mergeCell ref="D10:D11"/>
    <mergeCell ref="E10:E11"/>
    <mergeCell ref="F10:J10"/>
    <mergeCell ref="B6:J6"/>
    <mergeCell ref="F13:G13"/>
    <mergeCell ref="F14:G14"/>
    <mergeCell ref="F12:G12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K119"/>
  <sheetViews>
    <sheetView view="pageBreakPreview" topLeftCell="A97" zoomScale="40" zoomScaleSheetLayoutView="40" workbookViewId="0">
      <selection activeCell="D181" sqref="D181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12" customWidth="1"/>
    <col min="6" max="6" width="20.7109375" style="112" customWidth="1"/>
    <col min="7" max="7" width="20" style="112" customWidth="1"/>
    <col min="8" max="8" width="16.7109375" style="112" customWidth="1"/>
    <col min="9" max="9" width="15" style="112" customWidth="1"/>
    <col min="10" max="10" width="9.140625" style="112"/>
  </cols>
  <sheetData>
    <row r="3" spans="1:11" x14ac:dyDescent="0.25">
      <c r="A3" s="214" t="s">
        <v>95</v>
      </c>
      <c r="B3" s="214"/>
      <c r="C3" s="214"/>
      <c r="D3" s="214"/>
      <c r="E3" s="214"/>
      <c r="F3" s="214"/>
      <c r="G3" s="214"/>
      <c r="H3" s="214"/>
    </row>
    <row r="4" spans="1:11" x14ac:dyDescent="0.25">
      <c r="A4" s="215" t="s">
        <v>96</v>
      </c>
      <c r="B4" s="215"/>
      <c r="C4" s="215"/>
      <c r="D4" s="215"/>
      <c r="E4" s="215"/>
      <c r="F4" s="215"/>
      <c r="G4" s="215"/>
      <c r="H4" s="215"/>
    </row>
    <row r="5" spans="1:11" ht="18.75" customHeight="1" x14ac:dyDescent="0.25">
      <c r="A5" s="154"/>
      <c r="B5" s="154"/>
      <c r="C5" s="233" t="s">
        <v>97</v>
      </c>
      <c r="D5" s="233"/>
      <c r="E5" s="233"/>
      <c r="F5" s="233"/>
      <c r="G5" s="233"/>
      <c r="H5" s="233"/>
    </row>
    <row r="6" spans="1:11" x14ac:dyDescent="0.25">
      <c r="A6" s="143"/>
    </row>
    <row r="7" spans="1:11" ht="33.75" customHeight="1" x14ac:dyDescent="0.25">
      <c r="A7" s="232" t="s">
        <v>98</v>
      </c>
      <c r="B7" s="232"/>
      <c r="C7" s="232"/>
      <c r="D7" s="232"/>
      <c r="E7" s="232"/>
      <c r="F7" s="232"/>
      <c r="G7" s="232"/>
      <c r="H7" s="232"/>
    </row>
    <row r="8" spans="1:11" x14ac:dyDescent="0.25">
      <c r="A8" s="155"/>
      <c r="B8" s="155"/>
      <c r="C8" s="155"/>
      <c r="D8" s="155"/>
      <c r="E8" s="155"/>
      <c r="F8" s="155"/>
      <c r="G8" s="155"/>
      <c r="H8" s="155"/>
    </row>
    <row r="9" spans="1:11" ht="38.25" customHeight="1" x14ac:dyDescent="0.25">
      <c r="A9" s="220" t="s">
        <v>99</v>
      </c>
      <c r="B9" s="220" t="s">
        <v>100</v>
      </c>
      <c r="C9" s="220" t="s">
        <v>101</v>
      </c>
      <c r="D9" s="220" t="s">
        <v>102</v>
      </c>
      <c r="E9" s="220" t="s">
        <v>103</v>
      </c>
      <c r="F9" s="220" t="s">
        <v>104</v>
      </c>
      <c r="G9" s="220" t="s">
        <v>105</v>
      </c>
      <c r="H9" s="220"/>
    </row>
    <row r="10" spans="1:11" ht="40.5" customHeight="1" x14ac:dyDescent="0.25">
      <c r="A10" s="220"/>
      <c r="B10" s="220"/>
      <c r="C10" s="220"/>
      <c r="D10" s="220"/>
      <c r="E10" s="220"/>
      <c r="F10" s="220"/>
      <c r="G10" s="108" t="s">
        <v>106</v>
      </c>
      <c r="H10" s="108" t="s">
        <v>107</v>
      </c>
    </row>
    <row r="11" spans="1:11" x14ac:dyDescent="0.25">
      <c r="A11" s="156">
        <v>1</v>
      </c>
      <c r="B11" s="156"/>
      <c r="C11" s="156">
        <v>2</v>
      </c>
      <c r="D11" s="156" t="s">
        <v>108</v>
      </c>
      <c r="E11" s="156">
        <v>4</v>
      </c>
      <c r="F11" s="156">
        <v>5</v>
      </c>
      <c r="G11" s="156">
        <v>6</v>
      </c>
      <c r="H11" s="156">
        <v>7</v>
      </c>
    </row>
    <row r="12" spans="1:11" s="157" customFormat="1" x14ac:dyDescent="0.25">
      <c r="A12" s="229" t="s">
        <v>109</v>
      </c>
      <c r="B12" s="230"/>
      <c r="C12" s="231"/>
      <c r="D12" s="231"/>
      <c r="E12" s="230"/>
      <c r="F12" s="124">
        <f>SUM(F13:F23)</f>
        <v>657.81059336204999</v>
      </c>
      <c r="G12" s="10"/>
      <c r="H12" s="124">
        <f>SUM(H13:H23)</f>
        <v>6591.94</v>
      </c>
    </row>
    <row r="13" spans="1:11" x14ac:dyDescent="0.25">
      <c r="A13" s="132">
        <v>1</v>
      </c>
      <c r="B13" s="125"/>
      <c r="C13" s="130" t="s">
        <v>110</v>
      </c>
      <c r="D13" s="131" t="s">
        <v>111</v>
      </c>
      <c r="E13" s="132" t="s">
        <v>112</v>
      </c>
      <c r="F13" s="158">
        <v>209.78477455142001</v>
      </c>
      <c r="G13" s="126">
        <v>8.5299999999999994</v>
      </c>
      <c r="H13" s="126">
        <f t="shared" ref="H13:H23" si="0">ROUND(F13*G13,2)</f>
        <v>1789.46</v>
      </c>
      <c r="K13" s="159">
        <f>(SUM(I13:I23)/F12)</f>
        <v>0</v>
      </c>
    </row>
    <row r="14" spans="1:11" x14ac:dyDescent="0.25">
      <c r="A14" s="132">
        <v>2</v>
      </c>
      <c r="B14" s="125"/>
      <c r="C14" s="130" t="s">
        <v>113</v>
      </c>
      <c r="D14" s="131" t="s">
        <v>114</v>
      </c>
      <c r="E14" s="132" t="s">
        <v>112</v>
      </c>
      <c r="F14" s="158">
        <v>175.77380814080999</v>
      </c>
      <c r="G14" s="126">
        <v>9.6199999999999992</v>
      </c>
      <c r="H14" s="126">
        <f t="shared" si="0"/>
        <v>1690.94</v>
      </c>
      <c r="K14" s="159"/>
    </row>
    <row r="15" spans="1:11" x14ac:dyDescent="0.25">
      <c r="A15" s="132">
        <v>3</v>
      </c>
      <c r="B15" s="125"/>
      <c r="C15" s="130" t="s">
        <v>115</v>
      </c>
      <c r="D15" s="131" t="s">
        <v>116</v>
      </c>
      <c r="E15" s="132" t="s">
        <v>112</v>
      </c>
      <c r="F15" s="158">
        <v>124.74965792873</v>
      </c>
      <c r="G15" s="126">
        <v>12.92</v>
      </c>
      <c r="H15" s="126">
        <f t="shared" si="0"/>
        <v>1611.77</v>
      </c>
    </row>
    <row r="16" spans="1:11" x14ac:dyDescent="0.25">
      <c r="A16" s="132">
        <v>4</v>
      </c>
      <c r="B16" s="125"/>
      <c r="C16" s="130" t="s">
        <v>117</v>
      </c>
      <c r="D16" s="131" t="s">
        <v>118</v>
      </c>
      <c r="E16" s="132" t="s">
        <v>112</v>
      </c>
      <c r="F16" s="158">
        <v>100.46711134425</v>
      </c>
      <c r="G16" s="126">
        <v>10.35</v>
      </c>
      <c r="H16" s="126">
        <f t="shared" si="0"/>
        <v>1039.83</v>
      </c>
    </row>
    <row r="17" spans="1:10" x14ac:dyDescent="0.25">
      <c r="A17" s="132">
        <v>5</v>
      </c>
      <c r="B17" s="125"/>
      <c r="C17" s="130" t="s">
        <v>119</v>
      </c>
      <c r="D17" s="131" t="s">
        <v>120</v>
      </c>
      <c r="E17" s="132" t="s">
        <v>112</v>
      </c>
      <c r="F17" s="158">
        <v>15.139372067152999</v>
      </c>
      <c r="G17" s="126">
        <v>11.09</v>
      </c>
      <c r="H17" s="126">
        <f t="shared" si="0"/>
        <v>167.9</v>
      </c>
    </row>
    <row r="18" spans="1:10" x14ac:dyDescent="0.25">
      <c r="A18" s="132">
        <v>6</v>
      </c>
      <c r="B18" s="125"/>
      <c r="C18" s="130" t="s">
        <v>121</v>
      </c>
      <c r="D18" s="131" t="s">
        <v>122</v>
      </c>
      <c r="E18" s="132" t="s">
        <v>112</v>
      </c>
      <c r="F18" s="158">
        <v>7.2077580136599</v>
      </c>
      <c r="G18" s="126">
        <v>9.51</v>
      </c>
      <c r="H18" s="126">
        <f t="shared" si="0"/>
        <v>68.55</v>
      </c>
    </row>
    <row r="19" spans="1:10" x14ac:dyDescent="0.25">
      <c r="A19" s="132">
        <v>7</v>
      </c>
      <c r="B19" s="125"/>
      <c r="C19" s="130" t="s">
        <v>123</v>
      </c>
      <c r="D19" s="131" t="s">
        <v>124</v>
      </c>
      <c r="E19" s="132" t="s">
        <v>112</v>
      </c>
      <c r="F19" s="158">
        <v>6.4479658583738004</v>
      </c>
      <c r="G19" s="126">
        <v>9.4</v>
      </c>
      <c r="H19" s="126">
        <f t="shared" si="0"/>
        <v>60.61</v>
      </c>
    </row>
    <row r="20" spans="1:10" x14ac:dyDescent="0.25">
      <c r="A20" s="132">
        <v>8</v>
      </c>
      <c r="B20" s="125"/>
      <c r="C20" s="130" t="s">
        <v>125</v>
      </c>
      <c r="D20" s="131" t="s">
        <v>126</v>
      </c>
      <c r="E20" s="132" t="s">
        <v>112</v>
      </c>
      <c r="F20" s="158">
        <v>6.8946004361434001</v>
      </c>
      <c r="G20" s="126">
        <v>8.74</v>
      </c>
      <c r="H20" s="126">
        <f t="shared" si="0"/>
        <v>60.26</v>
      </c>
    </row>
    <row r="21" spans="1:10" x14ac:dyDescent="0.25">
      <c r="A21" s="132">
        <v>9</v>
      </c>
      <c r="B21" s="125"/>
      <c r="C21" s="130" t="s">
        <v>127</v>
      </c>
      <c r="D21" s="131" t="s">
        <v>128</v>
      </c>
      <c r="E21" s="132" t="s">
        <v>112</v>
      </c>
      <c r="F21" s="158">
        <v>6.3452912427946</v>
      </c>
      <c r="G21" s="126">
        <v>8.64</v>
      </c>
      <c r="H21" s="126">
        <f t="shared" si="0"/>
        <v>54.82</v>
      </c>
    </row>
    <row r="22" spans="1:10" x14ac:dyDescent="0.25">
      <c r="A22" s="132">
        <v>10</v>
      </c>
      <c r="B22" s="125"/>
      <c r="C22" s="130" t="s">
        <v>129</v>
      </c>
      <c r="D22" s="131" t="s">
        <v>130</v>
      </c>
      <c r="E22" s="132" t="s">
        <v>112</v>
      </c>
      <c r="F22" s="158">
        <v>2.8851566977755998</v>
      </c>
      <c r="G22" s="126">
        <v>9.92</v>
      </c>
      <c r="H22" s="126">
        <f t="shared" si="0"/>
        <v>28.62</v>
      </c>
    </row>
    <row r="23" spans="1:10" x14ac:dyDescent="0.25">
      <c r="A23" s="132">
        <v>11</v>
      </c>
      <c r="B23" s="125"/>
      <c r="C23" s="130" t="s">
        <v>131</v>
      </c>
      <c r="D23" s="131" t="s">
        <v>132</v>
      </c>
      <c r="E23" s="132" t="s">
        <v>112</v>
      </c>
      <c r="F23" s="158">
        <v>2.1150970809315002</v>
      </c>
      <c r="G23" s="126">
        <v>9.07</v>
      </c>
      <c r="H23" s="126">
        <f t="shared" si="0"/>
        <v>19.18</v>
      </c>
    </row>
    <row r="24" spans="1:10" x14ac:dyDescent="0.25">
      <c r="A24" s="228" t="s">
        <v>133</v>
      </c>
      <c r="B24" s="228"/>
      <c r="C24" s="228"/>
      <c r="D24" s="228"/>
      <c r="E24" s="228"/>
      <c r="F24" s="141"/>
      <c r="G24" s="127"/>
      <c r="H24" s="124">
        <f>H25</f>
        <v>632.17999999999995</v>
      </c>
    </row>
    <row r="25" spans="1:10" x14ac:dyDescent="0.25">
      <c r="A25" s="132">
        <v>12</v>
      </c>
      <c r="B25" s="129"/>
      <c r="C25" s="130">
        <v>2</v>
      </c>
      <c r="D25" s="131" t="s">
        <v>133</v>
      </c>
      <c r="E25" s="132" t="s">
        <v>134</v>
      </c>
      <c r="F25" s="158">
        <v>31.2</v>
      </c>
      <c r="G25" s="126"/>
      <c r="H25" s="160">
        <v>632.17999999999995</v>
      </c>
    </row>
    <row r="26" spans="1:10" s="157" customFormat="1" x14ac:dyDescent="0.25">
      <c r="A26" s="229" t="s">
        <v>135</v>
      </c>
      <c r="B26" s="230"/>
      <c r="C26" s="231"/>
      <c r="D26" s="231"/>
      <c r="E26" s="230"/>
      <c r="F26" s="141"/>
      <c r="G26" s="127"/>
      <c r="H26" s="124">
        <f>SUM(H27:H38)</f>
        <v>2806.08</v>
      </c>
    </row>
    <row r="27" spans="1:10" x14ac:dyDescent="0.25">
      <c r="A27" s="132">
        <v>13</v>
      </c>
      <c r="B27" s="129"/>
      <c r="C27" s="130" t="s">
        <v>136</v>
      </c>
      <c r="D27" s="131" t="s">
        <v>137</v>
      </c>
      <c r="E27" s="132" t="s">
        <v>138</v>
      </c>
      <c r="F27" s="132">
        <v>29.139975257462002</v>
      </c>
      <c r="G27" s="161">
        <v>89.99</v>
      </c>
      <c r="H27" s="126">
        <f t="shared" ref="H27:H38" si="1">ROUND(F27*G27,2)</f>
        <v>2622.31</v>
      </c>
      <c r="J27" s="138"/>
    </row>
    <row r="28" spans="1:10" ht="25.5" customHeight="1" x14ac:dyDescent="0.25">
      <c r="A28" s="132">
        <v>14</v>
      </c>
      <c r="B28" s="129"/>
      <c r="C28" s="130" t="s">
        <v>139</v>
      </c>
      <c r="D28" s="131" t="s">
        <v>140</v>
      </c>
      <c r="E28" s="132" t="s">
        <v>138</v>
      </c>
      <c r="F28" s="132">
        <v>0.42499268419127001</v>
      </c>
      <c r="G28" s="161">
        <v>111.99</v>
      </c>
      <c r="H28" s="126">
        <f t="shared" si="1"/>
        <v>47.59</v>
      </c>
      <c r="I28" s="138"/>
      <c r="J28" s="138"/>
    </row>
    <row r="29" spans="1:10" s="157" customFormat="1" x14ac:dyDescent="0.25">
      <c r="A29" s="132">
        <v>15</v>
      </c>
      <c r="B29" s="129"/>
      <c r="C29" s="130" t="s">
        <v>141</v>
      </c>
      <c r="D29" s="131" t="s">
        <v>142</v>
      </c>
      <c r="E29" s="132" t="s">
        <v>138</v>
      </c>
      <c r="F29" s="132">
        <v>0.55499902618493002</v>
      </c>
      <c r="G29" s="161">
        <v>70</v>
      </c>
      <c r="H29" s="126">
        <f t="shared" si="1"/>
        <v>38.85</v>
      </c>
      <c r="J29" s="138"/>
    </row>
    <row r="30" spans="1:10" s="157" customFormat="1" x14ac:dyDescent="0.25">
      <c r="A30" s="132">
        <v>16</v>
      </c>
      <c r="B30" s="129"/>
      <c r="C30" s="130" t="s">
        <v>143</v>
      </c>
      <c r="D30" s="131" t="s">
        <v>144</v>
      </c>
      <c r="E30" s="132" t="s">
        <v>138</v>
      </c>
      <c r="F30" s="132">
        <v>0.50000014064151999</v>
      </c>
      <c r="G30" s="161">
        <v>65.709999999999994</v>
      </c>
      <c r="H30" s="126">
        <f t="shared" si="1"/>
        <v>32.86</v>
      </c>
      <c r="J30" s="138"/>
    </row>
    <row r="31" spans="1:10" s="157" customFormat="1" x14ac:dyDescent="0.25">
      <c r="A31" s="132">
        <v>17</v>
      </c>
      <c r="B31" s="129"/>
      <c r="C31" s="130" t="s">
        <v>145</v>
      </c>
      <c r="D31" s="131" t="s">
        <v>146</v>
      </c>
      <c r="E31" s="132" t="s">
        <v>138</v>
      </c>
      <c r="F31" s="132">
        <v>0.55503136188487001</v>
      </c>
      <c r="G31" s="161">
        <v>56.24</v>
      </c>
      <c r="H31" s="126">
        <f t="shared" si="1"/>
        <v>31.21</v>
      </c>
      <c r="J31" s="138"/>
    </row>
    <row r="32" spans="1:10" s="157" customFormat="1" ht="25.5" customHeight="1" x14ac:dyDescent="0.25">
      <c r="A32" s="132">
        <v>18</v>
      </c>
      <c r="B32" s="129"/>
      <c r="C32" s="130" t="s">
        <v>147</v>
      </c>
      <c r="D32" s="131" t="s">
        <v>148</v>
      </c>
      <c r="E32" s="132" t="s">
        <v>138</v>
      </c>
      <c r="F32" s="132">
        <v>1.8851040416478</v>
      </c>
      <c r="G32" s="161">
        <v>8.1</v>
      </c>
      <c r="H32" s="126">
        <f t="shared" si="1"/>
        <v>15.27</v>
      </c>
      <c r="I32" s="138"/>
      <c r="J32" s="138"/>
    </row>
    <row r="33" spans="1:10" s="157" customFormat="1" x14ac:dyDescent="0.25">
      <c r="A33" s="132">
        <v>19</v>
      </c>
      <c r="B33" s="129"/>
      <c r="C33" s="130" t="s">
        <v>149</v>
      </c>
      <c r="D33" s="131" t="s">
        <v>150</v>
      </c>
      <c r="E33" s="132" t="s">
        <v>138</v>
      </c>
      <c r="F33" s="132">
        <v>0.55497234111612004</v>
      </c>
      <c r="G33" s="161">
        <v>16.920000000000002</v>
      </c>
      <c r="H33" s="126">
        <f t="shared" si="1"/>
        <v>9.39</v>
      </c>
      <c r="I33" s="112"/>
      <c r="J33" s="138"/>
    </row>
    <row r="34" spans="1:10" s="157" customFormat="1" ht="25.5" customHeight="1" x14ac:dyDescent="0.25">
      <c r="A34" s="132">
        <v>20</v>
      </c>
      <c r="B34" s="129"/>
      <c r="C34" s="130" t="s">
        <v>151</v>
      </c>
      <c r="D34" s="131" t="s">
        <v>152</v>
      </c>
      <c r="E34" s="132" t="s">
        <v>138</v>
      </c>
      <c r="F34" s="132">
        <v>0.56522887215595996</v>
      </c>
      <c r="G34" s="161">
        <v>6.82</v>
      </c>
      <c r="H34" s="126">
        <f t="shared" si="1"/>
        <v>3.85</v>
      </c>
      <c r="I34" s="112"/>
      <c r="J34" s="138"/>
    </row>
    <row r="35" spans="1:10" s="157" customFormat="1" x14ac:dyDescent="0.25">
      <c r="A35" s="132">
        <v>21</v>
      </c>
      <c r="B35" s="129"/>
      <c r="C35" s="130" t="s">
        <v>153</v>
      </c>
      <c r="D35" s="131" t="s">
        <v>154</v>
      </c>
      <c r="E35" s="132" t="s">
        <v>138</v>
      </c>
      <c r="F35" s="132">
        <v>1.9978925641896E-2</v>
      </c>
      <c r="G35" s="161">
        <v>85.84</v>
      </c>
      <c r="H35" s="126">
        <f t="shared" si="1"/>
        <v>1.71</v>
      </c>
      <c r="I35" s="112"/>
      <c r="J35" s="138"/>
    </row>
    <row r="36" spans="1:10" s="157" customFormat="1" x14ac:dyDescent="0.25">
      <c r="A36" s="132">
        <v>22</v>
      </c>
      <c r="B36" s="129"/>
      <c r="C36" s="130" t="s">
        <v>155</v>
      </c>
      <c r="D36" s="131" t="s">
        <v>156</v>
      </c>
      <c r="E36" s="132" t="s">
        <v>138</v>
      </c>
      <c r="F36" s="132">
        <v>0.55499725502262998</v>
      </c>
      <c r="G36" s="161">
        <v>2.36</v>
      </c>
      <c r="H36" s="126">
        <f t="shared" si="1"/>
        <v>1.31</v>
      </c>
      <c r="I36" s="112"/>
      <c r="J36" s="138"/>
    </row>
    <row r="37" spans="1:10" s="157" customFormat="1" ht="25.5" customHeight="1" x14ac:dyDescent="0.25">
      <c r="A37" s="132">
        <v>23</v>
      </c>
      <c r="B37" s="129"/>
      <c r="C37" s="130" t="s">
        <v>157</v>
      </c>
      <c r="D37" s="131" t="s">
        <v>158</v>
      </c>
      <c r="E37" s="132" t="s">
        <v>138</v>
      </c>
      <c r="F37" s="132">
        <v>0.72654078126829003</v>
      </c>
      <c r="G37" s="161">
        <v>1.7</v>
      </c>
      <c r="H37" s="126">
        <f t="shared" si="1"/>
        <v>1.24</v>
      </c>
      <c r="I37" s="112"/>
      <c r="J37" s="138"/>
    </row>
    <row r="38" spans="1:10" s="157" customFormat="1" x14ac:dyDescent="0.25">
      <c r="A38" s="132">
        <v>24</v>
      </c>
      <c r="B38" s="129"/>
      <c r="C38" s="130" t="s">
        <v>159</v>
      </c>
      <c r="D38" s="131" t="s">
        <v>160</v>
      </c>
      <c r="E38" s="132" t="s">
        <v>138</v>
      </c>
      <c r="F38" s="132">
        <v>0.54464588449953</v>
      </c>
      <c r="G38" s="161">
        <v>0.9</v>
      </c>
      <c r="H38" s="126">
        <f t="shared" si="1"/>
        <v>0.49</v>
      </c>
      <c r="I38" s="112"/>
      <c r="J38" s="138"/>
    </row>
    <row r="39" spans="1:10" ht="15" customHeight="1" x14ac:dyDescent="0.25">
      <c r="A39" s="229" t="s">
        <v>43</v>
      </c>
      <c r="B39" s="230"/>
      <c r="C39" s="231"/>
      <c r="D39" s="231"/>
      <c r="E39" s="230"/>
      <c r="F39" s="10"/>
      <c r="G39" s="10"/>
      <c r="H39" s="124">
        <f>SUM(H40:H45)</f>
        <v>510175.86</v>
      </c>
      <c r="I39"/>
    </row>
    <row r="40" spans="1:10" ht="25.5" customHeight="1" x14ac:dyDescent="0.25">
      <c r="A40" s="162">
        <v>25</v>
      </c>
      <c r="B40" s="129"/>
      <c r="C40" s="130" t="s">
        <v>161</v>
      </c>
      <c r="D40" s="131" t="s">
        <v>162</v>
      </c>
      <c r="E40" s="132" t="s">
        <v>163</v>
      </c>
      <c r="F40" s="132">
        <v>1.0000002148439</v>
      </c>
      <c r="G40" s="126">
        <v>183336.36</v>
      </c>
      <c r="H40" s="126">
        <f t="shared" ref="H40:H45" si="2">ROUND(F40*G40,2)</f>
        <v>183336.4</v>
      </c>
    </row>
    <row r="41" spans="1:10" x14ac:dyDescent="0.25">
      <c r="A41" s="162">
        <v>26</v>
      </c>
      <c r="B41" s="129"/>
      <c r="C41" s="130" t="s">
        <v>161</v>
      </c>
      <c r="D41" s="131" t="s">
        <v>164</v>
      </c>
      <c r="E41" s="132" t="s">
        <v>163</v>
      </c>
      <c r="F41" s="132">
        <v>1.0000002262493</v>
      </c>
      <c r="G41" s="126">
        <v>161904</v>
      </c>
      <c r="H41" s="126">
        <f t="shared" si="2"/>
        <v>161904.04</v>
      </c>
      <c r="I41" s="138"/>
    </row>
    <row r="42" spans="1:10" ht="25.5" customHeight="1" x14ac:dyDescent="0.25">
      <c r="A42" s="162">
        <v>27</v>
      </c>
      <c r="B42" s="129"/>
      <c r="C42" s="130" t="s">
        <v>161</v>
      </c>
      <c r="D42" s="131" t="s">
        <v>165</v>
      </c>
      <c r="E42" s="132" t="s">
        <v>163</v>
      </c>
      <c r="F42" s="132">
        <v>1.0000001890071999</v>
      </c>
      <c r="G42" s="126">
        <v>146812</v>
      </c>
      <c r="H42" s="126">
        <f t="shared" si="2"/>
        <v>146812.03</v>
      </c>
      <c r="I42" s="138"/>
    </row>
    <row r="43" spans="1:10" ht="25.5" customHeight="1" x14ac:dyDescent="0.25">
      <c r="A43" s="162">
        <v>29</v>
      </c>
      <c r="B43" s="129"/>
      <c r="C43" s="130" t="s">
        <v>161</v>
      </c>
      <c r="D43" s="131" t="s">
        <v>166</v>
      </c>
      <c r="E43" s="132" t="s">
        <v>163</v>
      </c>
      <c r="F43" s="132">
        <v>1.0000004567762999</v>
      </c>
      <c r="G43" s="126">
        <v>13427</v>
      </c>
      <c r="H43" s="126">
        <f t="shared" si="2"/>
        <v>13427.01</v>
      </c>
      <c r="I43" s="138"/>
    </row>
    <row r="44" spans="1:10" ht="25.5" customHeight="1" x14ac:dyDescent="0.25">
      <c r="A44" s="162">
        <v>30</v>
      </c>
      <c r="B44" s="129"/>
      <c r="C44" s="130" t="s">
        <v>167</v>
      </c>
      <c r="D44" s="131" t="s">
        <v>168</v>
      </c>
      <c r="E44" s="132" t="s">
        <v>163</v>
      </c>
      <c r="F44" s="132">
        <v>0.50000007475900998</v>
      </c>
      <c r="G44" s="126">
        <v>9392.75</v>
      </c>
      <c r="H44" s="126">
        <f t="shared" si="2"/>
        <v>4696.38</v>
      </c>
    </row>
    <row r="45" spans="1:10" x14ac:dyDescent="0.25">
      <c r="A45" s="162">
        <v>31</v>
      </c>
      <c r="B45" s="129"/>
      <c r="C45" s="130" t="s">
        <v>161</v>
      </c>
      <c r="D45" s="131" t="s">
        <v>169</v>
      </c>
      <c r="E45" s="132" t="s">
        <v>163</v>
      </c>
      <c r="F45" s="132">
        <v>0.50000017379196005</v>
      </c>
      <c r="G45" s="126">
        <v>0</v>
      </c>
      <c r="H45" s="126">
        <f t="shared" si="2"/>
        <v>0</v>
      </c>
      <c r="I45" s="138"/>
    </row>
    <row r="46" spans="1:10" x14ac:dyDescent="0.25">
      <c r="A46" s="229" t="s">
        <v>170</v>
      </c>
      <c r="B46" s="230"/>
      <c r="C46" s="231"/>
      <c r="D46" s="231"/>
      <c r="E46" s="230"/>
      <c r="F46" s="141"/>
      <c r="G46" s="127"/>
      <c r="H46" s="124">
        <f>SUM(H47:H112)</f>
        <v>3257.37</v>
      </c>
    </row>
    <row r="47" spans="1:10" x14ac:dyDescent="0.25">
      <c r="A47" s="162">
        <v>32</v>
      </c>
      <c r="B47" s="129"/>
      <c r="C47" s="130" t="s">
        <v>171</v>
      </c>
      <c r="D47" s="131" t="s">
        <v>172</v>
      </c>
      <c r="E47" s="132" t="s">
        <v>173</v>
      </c>
      <c r="F47" s="132">
        <v>47.940127188026999</v>
      </c>
      <c r="G47" s="126">
        <v>30.6</v>
      </c>
      <c r="H47" s="126">
        <f t="shared" ref="H47:H78" si="3">ROUND(F47*G47,2)</f>
        <v>1466.97</v>
      </c>
      <c r="I47" s="138"/>
    </row>
    <row r="48" spans="1:10" x14ac:dyDescent="0.25">
      <c r="A48" s="162">
        <v>33</v>
      </c>
      <c r="B48" s="129"/>
      <c r="C48" s="130" t="s">
        <v>174</v>
      </c>
      <c r="D48" s="131" t="s">
        <v>175</v>
      </c>
      <c r="E48" s="132" t="s">
        <v>176</v>
      </c>
      <c r="F48" s="132">
        <v>3.7199822079437998E-2</v>
      </c>
      <c r="G48" s="126">
        <v>5763</v>
      </c>
      <c r="H48" s="126">
        <f t="shared" si="3"/>
        <v>214.38</v>
      </c>
      <c r="I48" s="138"/>
    </row>
    <row r="49" spans="1:9" x14ac:dyDescent="0.25">
      <c r="A49" s="162">
        <v>34</v>
      </c>
      <c r="B49" s="129"/>
      <c r="C49" s="130" t="s">
        <v>177</v>
      </c>
      <c r="D49" s="131" t="s">
        <v>178</v>
      </c>
      <c r="E49" s="132" t="s">
        <v>179</v>
      </c>
      <c r="F49" s="132">
        <v>0.25499711516277002</v>
      </c>
      <c r="G49" s="126">
        <v>580</v>
      </c>
      <c r="H49" s="126">
        <f t="shared" si="3"/>
        <v>147.9</v>
      </c>
    </row>
    <row r="50" spans="1:9" ht="25.5" customHeight="1" x14ac:dyDescent="0.25">
      <c r="A50" s="162">
        <v>35</v>
      </c>
      <c r="B50" s="129"/>
      <c r="C50" s="130" t="s">
        <v>180</v>
      </c>
      <c r="D50" s="131" t="s">
        <v>181</v>
      </c>
      <c r="E50" s="132" t="s">
        <v>182</v>
      </c>
      <c r="F50" s="132">
        <v>128.32354824808999</v>
      </c>
      <c r="G50" s="126">
        <v>1</v>
      </c>
      <c r="H50" s="126">
        <f t="shared" si="3"/>
        <v>128.32</v>
      </c>
      <c r="I50" s="138"/>
    </row>
    <row r="51" spans="1:9" x14ac:dyDescent="0.25">
      <c r="A51" s="162">
        <v>36</v>
      </c>
      <c r="B51" s="129"/>
      <c r="C51" s="130" t="s">
        <v>183</v>
      </c>
      <c r="D51" s="131" t="s">
        <v>184</v>
      </c>
      <c r="E51" s="132" t="s">
        <v>176</v>
      </c>
      <c r="F51" s="132">
        <v>1.4999830303692001E-2</v>
      </c>
      <c r="G51" s="126">
        <v>6800</v>
      </c>
      <c r="H51" s="126">
        <f t="shared" si="3"/>
        <v>102</v>
      </c>
      <c r="I51" s="138"/>
    </row>
    <row r="52" spans="1:9" ht="25.5" customHeight="1" x14ac:dyDescent="0.25">
      <c r="A52" s="162">
        <v>37</v>
      </c>
      <c r="B52" s="129"/>
      <c r="C52" s="130" t="s">
        <v>185</v>
      </c>
      <c r="D52" s="131" t="s">
        <v>186</v>
      </c>
      <c r="E52" s="132" t="s">
        <v>176</v>
      </c>
      <c r="F52" s="132">
        <v>1.6999448511981E-2</v>
      </c>
      <c r="G52" s="126">
        <v>5941.89</v>
      </c>
      <c r="H52" s="126">
        <f t="shared" si="3"/>
        <v>101.01</v>
      </c>
      <c r="I52" s="138"/>
    </row>
    <row r="53" spans="1:9" ht="25.5" customHeight="1" x14ac:dyDescent="0.25">
      <c r="A53" s="162">
        <v>38</v>
      </c>
      <c r="B53" s="129"/>
      <c r="C53" s="130" t="s">
        <v>187</v>
      </c>
      <c r="D53" s="131" t="s">
        <v>188</v>
      </c>
      <c r="E53" s="132" t="s">
        <v>173</v>
      </c>
      <c r="F53" s="132">
        <v>3.7950973958884999</v>
      </c>
      <c r="G53" s="126">
        <v>23.79</v>
      </c>
      <c r="H53" s="126">
        <f t="shared" si="3"/>
        <v>90.29</v>
      </c>
      <c r="I53" s="138"/>
    </row>
    <row r="54" spans="1:9" ht="51" customHeight="1" x14ac:dyDescent="0.25">
      <c r="A54" s="162">
        <v>39</v>
      </c>
      <c r="B54" s="129"/>
      <c r="C54" s="130" t="s">
        <v>189</v>
      </c>
      <c r="D54" s="131" t="s">
        <v>190</v>
      </c>
      <c r="E54" s="132" t="s">
        <v>191</v>
      </c>
      <c r="F54" s="132">
        <v>2.9999995322349999E-2</v>
      </c>
      <c r="G54" s="126">
        <v>3005.8</v>
      </c>
      <c r="H54" s="126">
        <f t="shared" si="3"/>
        <v>90.17</v>
      </c>
      <c r="I54" s="138"/>
    </row>
    <row r="55" spans="1:9" x14ac:dyDescent="0.25">
      <c r="A55" s="162">
        <v>40</v>
      </c>
      <c r="B55" s="129"/>
      <c r="C55" s="130" t="s">
        <v>192</v>
      </c>
      <c r="D55" s="131" t="s">
        <v>193</v>
      </c>
      <c r="E55" s="132" t="s">
        <v>194</v>
      </c>
      <c r="F55" s="132">
        <v>0.44260789590742999</v>
      </c>
      <c r="G55" s="126">
        <v>155</v>
      </c>
      <c r="H55" s="126">
        <f t="shared" si="3"/>
        <v>68.599999999999994</v>
      </c>
      <c r="I55" s="138"/>
    </row>
    <row r="56" spans="1:9" x14ac:dyDescent="0.25">
      <c r="A56" s="162">
        <v>41</v>
      </c>
      <c r="B56" s="129"/>
      <c r="C56" s="130" t="s">
        <v>195</v>
      </c>
      <c r="D56" s="131" t="s">
        <v>196</v>
      </c>
      <c r="E56" s="132" t="s">
        <v>176</v>
      </c>
      <c r="F56" s="132">
        <v>8.9998981822153005E-4</v>
      </c>
      <c r="G56" s="126">
        <v>75000</v>
      </c>
      <c r="H56" s="126">
        <f t="shared" si="3"/>
        <v>67.5</v>
      </c>
      <c r="I56" s="138"/>
    </row>
    <row r="57" spans="1:9" ht="25.5" customHeight="1" x14ac:dyDescent="0.25">
      <c r="A57" s="162">
        <v>42</v>
      </c>
      <c r="B57" s="129"/>
      <c r="C57" s="130" t="s">
        <v>197</v>
      </c>
      <c r="D57" s="131" t="s">
        <v>198</v>
      </c>
      <c r="E57" s="132" t="s">
        <v>173</v>
      </c>
      <c r="F57" s="132">
        <v>3.8000026841204999</v>
      </c>
      <c r="G57" s="126">
        <v>15.13</v>
      </c>
      <c r="H57" s="126">
        <f t="shared" si="3"/>
        <v>57.49</v>
      </c>
      <c r="I57" s="138"/>
    </row>
    <row r="58" spans="1:9" ht="25.5" customHeight="1" x14ac:dyDescent="0.25">
      <c r="A58" s="162">
        <v>43</v>
      </c>
      <c r="B58" s="129"/>
      <c r="C58" s="130" t="s">
        <v>199</v>
      </c>
      <c r="D58" s="131" t="s">
        <v>200</v>
      </c>
      <c r="E58" s="132" t="s">
        <v>176</v>
      </c>
      <c r="F58" s="132">
        <v>4.4999490911074996E-3</v>
      </c>
      <c r="G58" s="126">
        <v>11500</v>
      </c>
      <c r="H58" s="126">
        <f t="shared" si="3"/>
        <v>51.75</v>
      </c>
      <c r="I58" s="138"/>
    </row>
    <row r="59" spans="1:9" x14ac:dyDescent="0.25">
      <c r="A59" s="162">
        <v>44</v>
      </c>
      <c r="B59" s="129"/>
      <c r="C59" s="130" t="s">
        <v>201</v>
      </c>
      <c r="D59" s="131" t="s">
        <v>202</v>
      </c>
      <c r="E59" s="132" t="s">
        <v>179</v>
      </c>
      <c r="F59" s="132">
        <v>1.609944759107</v>
      </c>
      <c r="G59" s="126">
        <v>30.74</v>
      </c>
      <c r="H59" s="126">
        <f t="shared" si="3"/>
        <v>49.49</v>
      </c>
      <c r="I59" s="138"/>
    </row>
    <row r="60" spans="1:9" ht="25.5" customHeight="1" x14ac:dyDescent="0.25">
      <c r="A60" s="162">
        <v>45</v>
      </c>
      <c r="B60" s="129"/>
      <c r="C60" s="130" t="s">
        <v>203</v>
      </c>
      <c r="D60" s="131" t="s">
        <v>204</v>
      </c>
      <c r="E60" s="132" t="s">
        <v>205</v>
      </c>
      <c r="F60" s="132">
        <v>8.9999782599914993E-3</v>
      </c>
      <c r="G60" s="126">
        <v>4949.3999999999996</v>
      </c>
      <c r="H60" s="126">
        <f t="shared" si="3"/>
        <v>44.54</v>
      </c>
      <c r="I60" s="138"/>
    </row>
    <row r="61" spans="1:9" ht="25.5" customHeight="1" x14ac:dyDescent="0.25">
      <c r="A61" s="162">
        <v>46</v>
      </c>
      <c r="B61" s="129"/>
      <c r="C61" s="130" t="s">
        <v>206</v>
      </c>
      <c r="D61" s="131" t="s">
        <v>207</v>
      </c>
      <c r="E61" s="132" t="s">
        <v>176</v>
      </c>
      <c r="F61" s="132">
        <v>1.6500373050742001E-3</v>
      </c>
      <c r="G61" s="126">
        <v>26932.42</v>
      </c>
      <c r="H61" s="126">
        <f t="shared" si="3"/>
        <v>44.44</v>
      </c>
      <c r="I61" s="138"/>
    </row>
    <row r="62" spans="1:9" ht="25.5" customHeight="1" x14ac:dyDescent="0.25">
      <c r="A62" s="162">
        <v>47</v>
      </c>
      <c r="B62" s="129"/>
      <c r="C62" s="130" t="s">
        <v>208</v>
      </c>
      <c r="D62" s="131" t="s">
        <v>209</v>
      </c>
      <c r="E62" s="132" t="s">
        <v>194</v>
      </c>
      <c r="F62" s="132">
        <v>0.64349081890922999</v>
      </c>
      <c r="G62" s="126">
        <v>65.75</v>
      </c>
      <c r="H62" s="126">
        <f t="shared" si="3"/>
        <v>42.31</v>
      </c>
      <c r="I62" s="138"/>
    </row>
    <row r="63" spans="1:9" ht="25.5" customHeight="1" x14ac:dyDescent="0.25">
      <c r="A63" s="162">
        <v>48</v>
      </c>
      <c r="B63" s="129"/>
      <c r="C63" s="130" t="s">
        <v>210</v>
      </c>
      <c r="D63" s="131" t="s">
        <v>211</v>
      </c>
      <c r="E63" s="132" t="s">
        <v>176</v>
      </c>
      <c r="F63" s="132">
        <v>5.9999900783959999E-3</v>
      </c>
      <c r="G63" s="126">
        <v>5891.61</v>
      </c>
      <c r="H63" s="126">
        <f t="shared" si="3"/>
        <v>35.35</v>
      </c>
      <c r="I63" s="138"/>
    </row>
    <row r="64" spans="1:9" ht="38.25" customHeight="1" x14ac:dyDescent="0.25">
      <c r="A64" s="162">
        <v>49</v>
      </c>
      <c r="B64" s="129"/>
      <c r="C64" s="130" t="s">
        <v>212</v>
      </c>
      <c r="D64" s="131" t="s">
        <v>213</v>
      </c>
      <c r="E64" s="132" t="s">
        <v>176</v>
      </c>
      <c r="F64" s="132">
        <v>5.9998493204077999E-3</v>
      </c>
      <c r="G64" s="126">
        <v>5817.58</v>
      </c>
      <c r="H64" s="126">
        <f t="shared" si="3"/>
        <v>34.9</v>
      </c>
      <c r="I64" s="138"/>
    </row>
    <row r="65" spans="1:9" ht="25.5" customHeight="1" x14ac:dyDescent="0.25">
      <c r="A65" s="162">
        <v>50</v>
      </c>
      <c r="B65" s="129"/>
      <c r="C65" s="130" t="s">
        <v>214</v>
      </c>
      <c r="D65" s="131" t="s">
        <v>215</v>
      </c>
      <c r="E65" s="132" t="s">
        <v>194</v>
      </c>
      <c r="F65" s="132">
        <v>0.51050272952342002</v>
      </c>
      <c r="G65" s="126">
        <v>68.05</v>
      </c>
      <c r="H65" s="126">
        <f t="shared" si="3"/>
        <v>34.74</v>
      </c>
      <c r="I65" s="138"/>
    </row>
    <row r="66" spans="1:9" x14ac:dyDescent="0.25">
      <c r="A66" s="162">
        <v>51</v>
      </c>
      <c r="B66" s="129"/>
      <c r="C66" s="130" t="s">
        <v>216</v>
      </c>
      <c r="D66" s="131" t="s">
        <v>217</v>
      </c>
      <c r="E66" s="132" t="s">
        <v>176</v>
      </c>
      <c r="F66" s="132">
        <v>1.0999719924967E-3</v>
      </c>
      <c r="G66" s="126">
        <v>28300.400000000001</v>
      </c>
      <c r="H66" s="126">
        <f t="shared" si="3"/>
        <v>31.13</v>
      </c>
      <c r="I66" s="138"/>
    </row>
    <row r="67" spans="1:9" x14ac:dyDescent="0.25">
      <c r="A67" s="162">
        <v>52</v>
      </c>
      <c r="B67" s="129"/>
      <c r="C67" s="130" t="s">
        <v>218</v>
      </c>
      <c r="D67" s="131" t="s">
        <v>219</v>
      </c>
      <c r="E67" s="132" t="s">
        <v>179</v>
      </c>
      <c r="F67" s="132">
        <v>0.34499609698492001</v>
      </c>
      <c r="G67" s="126">
        <v>83</v>
      </c>
      <c r="H67" s="126">
        <f t="shared" si="3"/>
        <v>28.63</v>
      </c>
      <c r="I67" s="138"/>
    </row>
    <row r="68" spans="1:9" x14ac:dyDescent="0.25">
      <c r="A68" s="162">
        <v>53</v>
      </c>
      <c r="B68" s="129"/>
      <c r="C68" s="130" t="s">
        <v>220</v>
      </c>
      <c r="D68" s="131" t="s">
        <v>221</v>
      </c>
      <c r="E68" s="132" t="s">
        <v>194</v>
      </c>
      <c r="F68" s="132">
        <v>0.85000098292050996</v>
      </c>
      <c r="G68" s="126">
        <v>32.6</v>
      </c>
      <c r="H68" s="126">
        <f t="shared" si="3"/>
        <v>27.71</v>
      </c>
      <c r="I68" s="138"/>
    </row>
    <row r="69" spans="1:9" x14ac:dyDescent="0.25">
      <c r="A69" s="162">
        <v>54</v>
      </c>
      <c r="B69" s="129"/>
      <c r="C69" s="130" t="s">
        <v>222</v>
      </c>
      <c r="D69" s="131" t="s">
        <v>223</v>
      </c>
      <c r="E69" s="132" t="s">
        <v>176</v>
      </c>
      <c r="F69" s="132">
        <v>2.1998946615954E-3</v>
      </c>
      <c r="G69" s="126">
        <v>12430</v>
      </c>
      <c r="H69" s="126">
        <f t="shared" si="3"/>
        <v>27.34</v>
      </c>
      <c r="I69" s="138"/>
    </row>
    <row r="70" spans="1:9" ht="38.25" customHeight="1" x14ac:dyDescent="0.25">
      <c r="A70" s="162">
        <v>55</v>
      </c>
      <c r="B70" s="129"/>
      <c r="C70" s="130" t="s">
        <v>224</v>
      </c>
      <c r="D70" s="131" t="s">
        <v>225</v>
      </c>
      <c r="E70" s="132" t="s">
        <v>194</v>
      </c>
      <c r="F70" s="132">
        <v>0.29247239503415001</v>
      </c>
      <c r="G70" s="126">
        <v>91.29</v>
      </c>
      <c r="H70" s="126">
        <f t="shared" si="3"/>
        <v>26.7</v>
      </c>
      <c r="I70" s="138"/>
    </row>
    <row r="71" spans="1:9" x14ac:dyDescent="0.25">
      <c r="A71" s="162">
        <v>56</v>
      </c>
      <c r="B71" s="129"/>
      <c r="C71" s="130" t="s">
        <v>226</v>
      </c>
      <c r="D71" s="131" t="s">
        <v>227</v>
      </c>
      <c r="E71" s="132" t="s">
        <v>176</v>
      </c>
      <c r="F71" s="132">
        <v>2.3000201864098002E-3</v>
      </c>
      <c r="G71" s="126">
        <v>10315.01</v>
      </c>
      <c r="H71" s="126">
        <f t="shared" si="3"/>
        <v>23.72</v>
      </c>
      <c r="I71" s="138"/>
    </row>
    <row r="72" spans="1:9" x14ac:dyDescent="0.25">
      <c r="A72" s="162">
        <v>57</v>
      </c>
      <c r="B72" s="129"/>
      <c r="C72" s="130" t="s">
        <v>228</v>
      </c>
      <c r="D72" s="131" t="s">
        <v>229</v>
      </c>
      <c r="E72" s="132" t="s">
        <v>230</v>
      </c>
      <c r="F72" s="132">
        <v>0.44999490911076001</v>
      </c>
      <c r="G72" s="126">
        <v>39</v>
      </c>
      <c r="H72" s="126">
        <f t="shared" si="3"/>
        <v>17.55</v>
      </c>
      <c r="I72" s="138"/>
    </row>
    <row r="73" spans="1:9" x14ac:dyDescent="0.25">
      <c r="A73" s="162">
        <v>58</v>
      </c>
      <c r="B73" s="129"/>
      <c r="C73" s="130" t="s">
        <v>231</v>
      </c>
      <c r="D73" s="131" t="s">
        <v>232</v>
      </c>
      <c r="E73" s="132" t="s">
        <v>194</v>
      </c>
      <c r="F73" s="132">
        <v>0.35494567358556001</v>
      </c>
      <c r="G73" s="126">
        <v>47.57</v>
      </c>
      <c r="H73" s="126">
        <f t="shared" si="3"/>
        <v>16.88</v>
      </c>
      <c r="I73" s="138"/>
    </row>
    <row r="74" spans="1:9" x14ac:dyDescent="0.25">
      <c r="A74" s="162">
        <v>59</v>
      </c>
      <c r="B74" s="129"/>
      <c r="C74" s="130" t="s">
        <v>233</v>
      </c>
      <c r="D74" s="131" t="s">
        <v>234</v>
      </c>
      <c r="E74" s="132" t="s">
        <v>194</v>
      </c>
      <c r="F74" s="132">
        <v>0.44793104198625999</v>
      </c>
      <c r="G74" s="126">
        <v>35.630000000000003</v>
      </c>
      <c r="H74" s="126">
        <f t="shared" si="3"/>
        <v>15.96</v>
      </c>
      <c r="I74" s="138"/>
    </row>
    <row r="75" spans="1:9" x14ac:dyDescent="0.25">
      <c r="A75" s="162">
        <v>60</v>
      </c>
      <c r="B75" s="129"/>
      <c r="C75" s="130" t="s">
        <v>235</v>
      </c>
      <c r="D75" s="131" t="s">
        <v>236</v>
      </c>
      <c r="E75" s="132" t="s">
        <v>163</v>
      </c>
      <c r="F75" s="132">
        <v>0.2350313329184</v>
      </c>
      <c r="G75" s="126">
        <v>66.819999999999993</v>
      </c>
      <c r="H75" s="126">
        <f t="shared" si="3"/>
        <v>15.7</v>
      </c>
      <c r="I75" s="138"/>
    </row>
    <row r="76" spans="1:9" ht="51" customHeight="1" x14ac:dyDescent="0.25">
      <c r="A76" s="162">
        <v>61</v>
      </c>
      <c r="B76" s="129"/>
      <c r="C76" s="130" t="s">
        <v>237</v>
      </c>
      <c r="D76" s="131" t="s">
        <v>238</v>
      </c>
      <c r="E76" s="132" t="s">
        <v>191</v>
      </c>
      <c r="F76" s="132">
        <v>1.4000804328831E-3</v>
      </c>
      <c r="G76" s="126">
        <v>10534.99</v>
      </c>
      <c r="H76" s="126">
        <f t="shared" si="3"/>
        <v>14.75</v>
      </c>
      <c r="I76" s="138"/>
    </row>
    <row r="77" spans="1:9" x14ac:dyDescent="0.25">
      <c r="A77" s="162">
        <v>62</v>
      </c>
      <c r="B77" s="129"/>
      <c r="C77" s="130" t="s">
        <v>239</v>
      </c>
      <c r="D77" s="131" t="s">
        <v>240</v>
      </c>
      <c r="E77" s="132" t="s">
        <v>230</v>
      </c>
      <c r="F77" s="132">
        <v>0.49998743029575998</v>
      </c>
      <c r="G77" s="126">
        <v>29.4</v>
      </c>
      <c r="H77" s="126">
        <f t="shared" si="3"/>
        <v>14.7</v>
      </c>
      <c r="I77" s="138"/>
    </row>
    <row r="78" spans="1:9" x14ac:dyDescent="0.25">
      <c r="A78" s="162">
        <v>63</v>
      </c>
      <c r="B78" s="129"/>
      <c r="C78" s="130" t="s">
        <v>241</v>
      </c>
      <c r="D78" s="131" t="s">
        <v>242</v>
      </c>
      <c r="E78" s="132" t="s">
        <v>194</v>
      </c>
      <c r="F78" s="132">
        <v>1.5957323687214999</v>
      </c>
      <c r="G78" s="126">
        <v>9.0399999999999991</v>
      </c>
      <c r="H78" s="126">
        <f t="shared" si="3"/>
        <v>14.43</v>
      </c>
      <c r="I78" s="138"/>
    </row>
    <row r="79" spans="1:9" x14ac:dyDescent="0.25">
      <c r="A79" s="162">
        <v>64</v>
      </c>
      <c r="B79" s="129"/>
      <c r="C79" s="130" t="s">
        <v>243</v>
      </c>
      <c r="D79" s="131" t="s">
        <v>244</v>
      </c>
      <c r="E79" s="132" t="s">
        <v>176</v>
      </c>
      <c r="F79" s="132">
        <v>7.0005610060125997E-4</v>
      </c>
      <c r="G79" s="126">
        <v>15620</v>
      </c>
      <c r="H79" s="126">
        <f t="shared" ref="H79:H110" si="4">ROUND(F79*G79,2)</f>
        <v>10.93</v>
      </c>
      <c r="I79" s="138"/>
    </row>
    <row r="80" spans="1:9" x14ac:dyDescent="0.25">
      <c r="A80" s="162">
        <v>65</v>
      </c>
      <c r="B80" s="129"/>
      <c r="C80" s="130" t="s">
        <v>245</v>
      </c>
      <c r="D80" s="131" t="s">
        <v>246</v>
      </c>
      <c r="E80" s="132" t="s">
        <v>179</v>
      </c>
      <c r="F80" s="132">
        <v>4.9999434345639998E-2</v>
      </c>
      <c r="G80" s="126">
        <v>203</v>
      </c>
      <c r="H80" s="126">
        <f t="shared" si="4"/>
        <v>10.15</v>
      </c>
      <c r="I80" s="138"/>
    </row>
    <row r="81" spans="1:9" ht="25.5" customHeight="1" x14ac:dyDescent="0.25">
      <c r="A81" s="162">
        <v>66</v>
      </c>
      <c r="B81" s="129"/>
      <c r="C81" s="130" t="s">
        <v>247</v>
      </c>
      <c r="D81" s="131" t="s">
        <v>248</v>
      </c>
      <c r="E81" s="132" t="s">
        <v>173</v>
      </c>
      <c r="F81" s="132">
        <v>0.79506494544978001</v>
      </c>
      <c r="G81" s="126">
        <v>12.37</v>
      </c>
      <c r="H81" s="126">
        <f t="shared" si="4"/>
        <v>9.83</v>
      </c>
      <c r="I81" s="138"/>
    </row>
    <row r="82" spans="1:9" x14ac:dyDescent="0.25">
      <c r="A82" s="162">
        <v>67</v>
      </c>
      <c r="B82" s="129"/>
      <c r="C82" s="130" t="s">
        <v>249</v>
      </c>
      <c r="D82" s="131" t="s">
        <v>250</v>
      </c>
      <c r="E82" s="132" t="s">
        <v>230</v>
      </c>
      <c r="F82" s="132">
        <v>0.47008558162661002</v>
      </c>
      <c r="G82" s="126">
        <v>19.899999999999999</v>
      </c>
      <c r="H82" s="126">
        <f t="shared" si="4"/>
        <v>9.35</v>
      </c>
      <c r="I82" s="138"/>
    </row>
    <row r="83" spans="1:9" x14ac:dyDescent="0.25">
      <c r="A83" s="162">
        <v>68</v>
      </c>
      <c r="B83" s="129"/>
      <c r="C83" s="130" t="s">
        <v>251</v>
      </c>
      <c r="D83" s="131" t="s">
        <v>252</v>
      </c>
      <c r="E83" s="132" t="s">
        <v>179</v>
      </c>
      <c r="F83" s="132">
        <v>0.29003874516771999</v>
      </c>
      <c r="G83" s="126">
        <v>26.6</v>
      </c>
      <c r="H83" s="126">
        <f t="shared" si="4"/>
        <v>7.72</v>
      </c>
      <c r="I83" s="138"/>
    </row>
    <row r="84" spans="1:9" ht="25.5" customHeight="1" x14ac:dyDescent="0.25">
      <c r="A84" s="162">
        <v>69</v>
      </c>
      <c r="B84" s="129"/>
      <c r="C84" s="130" t="s">
        <v>253</v>
      </c>
      <c r="D84" s="131" t="s">
        <v>254</v>
      </c>
      <c r="E84" s="132" t="s">
        <v>194</v>
      </c>
      <c r="F84" s="132">
        <v>0.17500902016482001</v>
      </c>
      <c r="G84" s="126">
        <v>38.340000000000003</v>
      </c>
      <c r="H84" s="126">
        <f t="shared" si="4"/>
        <v>6.71</v>
      </c>
      <c r="I84" s="138"/>
    </row>
    <row r="85" spans="1:9" x14ac:dyDescent="0.25">
      <c r="A85" s="162">
        <v>70</v>
      </c>
      <c r="B85" s="129"/>
      <c r="C85" s="130" t="s">
        <v>255</v>
      </c>
      <c r="D85" s="131" t="s">
        <v>256</v>
      </c>
      <c r="E85" s="132" t="s">
        <v>205</v>
      </c>
      <c r="F85" s="132">
        <v>9.8498885660909998E-3</v>
      </c>
      <c r="G85" s="126">
        <v>600</v>
      </c>
      <c r="H85" s="126">
        <f t="shared" si="4"/>
        <v>5.91</v>
      </c>
      <c r="I85" s="138"/>
    </row>
    <row r="86" spans="1:9" x14ac:dyDescent="0.25">
      <c r="A86" s="162">
        <v>71</v>
      </c>
      <c r="B86" s="129"/>
      <c r="C86" s="130" t="s">
        <v>257</v>
      </c>
      <c r="D86" s="131" t="s">
        <v>258</v>
      </c>
      <c r="E86" s="132" t="s">
        <v>179</v>
      </c>
      <c r="F86" s="132">
        <v>6.3022542826364006E-2</v>
      </c>
      <c r="G86" s="126">
        <v>86</v>
      </c>
      <c r="H86" s="126">
        <f t="shared" si="4"/>
        <v>5.42</v>
      </c>
      <c r="I86" s="138"/>
    </row>
    <row r="87" spans="1:9" x14ac:dyDescent="0.25">
      <c r="A87" s="162">
        <v>72</v>
      </c>
      <c r="B87" s="129"/>
      <c r="C87" s="130" t="s">
        <v>259</v>
      </c>
      <c r="D87" s="131" t="s">
        <v>260</v>
      </c>
      <c r="E87" s="132" t="s">
        <v>194</v>
      </c>
      <c r="F87" s="132">
        <v>0.16206340710750999</v>
      </c>
      <c r="G87" s="126">
        <v>28.6</v>
      </c>
      <c r="H87" s="126">
        <f t="shared" si="4"/>
        <v>4.6399999999999997</v>
      </c>
      <c r="I87" s="138"/>
    </row>
    <row r="88" spans="1:9" x14ac:dyDescent="0.25">
      <c r="A88" s="162">
        <v>73</v>
      </c>
      <c r="B88" s="129"/>
      <c r="C88" s="130" t="s">
        <v>261</v>
      </c>
      <c r="D88" s="131" t="s">
        <v>262</v>
      </c>
      <c r="E88" s="132" t="s">
        <v>176</v>
      </c>
      <c r="F88" s="132">
        <v>4.5010106502232997E-4</v>
      </c>
      <c r="G88" s="126">
        <v>9420</v>
      </c>
      <c r="H88" s="126">
        <f t="shared" si="4"/>
        <v>4.24</v>
      </c>
      <c r="I88" s="138"/>
    </row>
    <row r="89" spans="1:9" x14ac:dyDescent="0.25">
      <c r="A89" s="162">
        <v>74</v>
      </c>
      <c r="B89" s="129"/>
      <c r="C89" s="130" t="s">
        <v>263</v>
      </c>
      <c r="D89" s="131" t="s">
        <v>264</v>
      </c>
      <c r="E89" s="132" t="s">
        <v>265</v>
      </c>
      <c r="F89" s="132">
        <v>1.5055385230741999E-2</v>
      </c>
      <c r="G89" s="126">
        <v>270</v>
      </c>
      <c r="H89" s="126">
        <f t="shared" si="4"/>
        <v>4.0599999999999996</v>
      </c>
      <c r="I89" s="138"/>
    </row>
    <row r="90" spans="1:9" x14ac:dyDescent="0.25">
      <c r="A90" s="162">
        <v>75</v>
      </c>
      <c r="B90" s="129"/>
      <c r="C90" s="130" t="s">
        <v>266</v>
      </c>
      <c r="D90" s="131" t="s">
        <v>267</v>
      </c>
      <c r="E90" s="132" t="s">
        <v>176</v>
      </c>
      <c r="F90" s="132">
        <v>3.5000779979084E-4</v>
      </c>
      <c r="G90" s="126">
        <v>10971.06</v>
      </c>
      <c r="H90" s="126">
        <f t="shared" si="4"/>
        <v>3.84</v>
      </c>
      <c r="I90" s="138"/>
    </row>
    <row r="91" spans="1:9" x14ac:dyDescent="0.25">
      <c r="A91" s="162">
        <v>76</v>
      </c>
      <c r="B91" s="129"/>
      <c r="C91" s="130" t="s">
        <v>268</v>
      </c>
      <c r="D91" s="131" t="s">
        <v>269</v>
      </c>
      <c r="E91" s="132" t="s">
        <v>194</v>
      </c>
      <c r="F91" s="132">
        <v>0.31503537450063002</v>
      </c>
      <c r="G91" s="126">
        <v>10.57</v>
      </c>
      <c r="H91" s="126">
        <f t="shared" si="4"/>
        <v>3.33</v>
      </c>
      <c r="I91" s="138"/>
    </row>
    <row r="92" spans="1:9" ht="25.5" customHeight="1" x14ac:dyDescent="0.25">
      <c r="A92" s="162">
        <v>77</v>
      </c>
      <c r="B92" s="129"/>
      <c r="C92" s="130" t="s">
        <v>270</v>
      </c>
      <c r="D92" s="131" t="s">
        <v>271</v>
      </c>
      <c r="E92" s="132" t="s">
        <v>194</v>
      </c>
      <c r="F92" s="132">
        <v>9.9929725134709005E-2</v>
      </c>
      <c r="G92" s="126">
        <v>28.22</v>
      </c>
      <c r="H92" s="126">
        <f t="shared" si="4"/>
        <v>2.82</v>
      </c>
      <c r="I92" s="138"/>
    </row>
    <row r="93" spans="1:9" x14ac:dyDescent="0.25">
      <c r="A93" s="162">
        <v>78</v>
      </c>
      <c r="B93" s="129"/>
      <c r="C93" s="130" t="s">
        <v>272</v>
      </c>
      <c r="D93" s="131" t="s">
        <v>273</v>
      </c>
      <c r="E93" s="132" t="s">
        <v>176</v>
      </c>
      <c r="F93" s="132">
        <v>4.9961653625568998E-5</v>
      </c>
      <c r="G93" s="126">
        <v>52539.7</v>
      </c>
      <c r="H93" s="126">
        <f t="shared" si="4"/>
        <v>2.62</v>
      </c>
      <c r="I93" s="138"/>
    </row>
    <row r="94" spans="1:9" x14ac:dyDescent="0.25">
      <c r="A94" s="162">
        <v>79</v>
      </c>
      <c r="B94" s="129"/>
      <c r="C94" s="130" t="s">
        <v>274</v>
      </c>
      <c r="D94" s="131" t="s">
        <v>275</v>
      </c>
      <c r="E94" s="132" t="s">
        <v>194</v>
      </c>
      <c r="F94" s="132">
        <v>9.3991925186565004E-2</v>
      </c>
      <c r="G94" s="126">
        <v>25.8</v>
      </c>
      <c r="H94" s="126">
        <f t="shared" si="4"/>
        <v>2.42</v>
      </c>
      <c r="I94" s="138"/>
    </row>
    <row r="95" spans="1:9" ht="25.5" customHeight="1" x14ac:dyDescent="0.25">
      <c r="A95" s="162">
        <v>80</v>
      </c>
      <c r="B95" s="129"/>
      <c r="C95" s="130" t="s">
        <v>276</v>
      </c>
      <c r="D95" s="131" t="s">
        <v>277</v>
      </c>
      <c r="E95" s="132" t="s">
        <v>194</v>
      </c>
      <c r="F95" s="132">
        <v>9.5926030652157004E-2</v>
      </c>
      <c r="G95" s="126">
        <v>23.09</v>
      </c>
      <c r="H95" s="126">
        <f t="shared" si="4"/>
        <v>2.21</v>
      </c>
      <c r="I95" s="138"/>
    </row>
    <row r="96" spans="1:9" x14ac:dyDescent="0.25">
      <c r="A96" s="162">
        <v>81</v>
      </c>
      <c r="B96" s="129"/>
      <c r="C96" s="130" t="s">
        <v>278</v>
      </c>
      <c r="D96" s="131" t="s">
        <v>279</v>
      </c>
      <c r="E96" s="132" t="s">
        <v>280</v>
      </c>
      <c r="F96" s="132">
        <v>0.22507980082397999</v>
      </c>
      <c r="G96" s="126">
        <v>8.33</v>
      </c>
      <c r="H96" s="126">
        <f t="shared" si="4"/>
        <v>1.87</v>
      </c>
      <c r="I96" s="138"/>
    </row>
    <row r="97" spans="1:9" ht="25.5" customHeight="1" x14ac:dyDescent="0.25">
      <c r="A97" s="162">
        <v>82</v>
      </c>
      <c r="B97" s="129"/>
      <c r="C97" s="130" t="s">
        <v>281</v>
      </c>
      <c r="D97" s="131" t="s">
        <v>282</v>
      </c>
      <c r="E97" s="132" t="s">
        <v>176</v>
      </c>
      <c r="F97" s="132">
        <v>4.9976778206187002E-5</v>
      </c>
      <c r="G97" s="126">
        <v>37517</v>
      </c>
      <c r="H97" s="126">
        <f t="shared" si="4"/>
        <v>1.87</v>
      </c>
      <c r="I97" s="138"/>
    </row>
    <row r="98" spans="1:9" ht="25.5" customHeight="1" x14ac:dyDescent="0.25">
      <c r="A98" s="162">
        <v>83</v>
      </c>
      <c r="B98" s="129"/>
      <c r="C98" s="130" t="s">
        <v>283</v>
      </c>
      <c r="D98" s="131" t="s">
        <v>284</v>
      </c>
      <c r="E98" s="132" t="s">
        <v>194</v>
      </c>
      <c r="F98" s="132">
        <v>5.3946036751767998E-2</v>
      </c>
      <c r="G98" s="126">
        <v>30.4</v>
      </c>
      <c r="H98" s="126">
        <f t="shared" si="4"/>
        <v>1.64</v>
      </c>
      <c r="I98" s="138"/>
    </row>
    <row r="99" spans="1:9" x14ac:dyDescent="0.25">
      <c r="A99" s="162">
        <v>84</v>
      </c>
      <c r="B99" s="129"/>
      <c r="C99" s="130" t="s">
        <v>285</v>
      </c>
      <c r="D99" s="131" t="s">
        <v>286</v>
      </c>
      <c r="E99" s="132" t="s">
        <v>194</v>
      </c>
      <c r="F99" s="132">
        <v>3.2021332651027003E-2</v>
      </c>
      <c r="G99" s="126">
        <v>44.97</v>
      </c>
      <c r="H99" s="126">
        <f t="shared" si="4"/>
        <v>1.44</v>
      </c>
      <c r="I99" s="138"/>
    </row>
    <row r="100" spans="1:9" x14ac:dyDescent="0.25">
      <c r="A100" s="162">
        <v>85</v>
      </c>
      <c r="B100" s="129"/>
      <c r="C100" s="130" t="s">
        <v>287</v>
      </c>
      <c r="D100" s="131" t="s">
        <v>288</v>
      </c>
      <c r="E100" s="132" t="s">
        <v>289</v>
      </c>
      <c r="F100" s="132">
        <v>2.5066383085280999E-2</v>
      </c>
      <c r="G100" s="126">
        <v>37.5</v>
      </c>
      <c r="H100" s="126">
        <f t="shared" si="4"/>
        <v>0.94</v>
      </c>
      <c r="I100" s="138"/>
    </row>
    <row r="101" spans="1:9" x14ac:dyDescent="0.25">
      <c r="A101" s="162">
        <v>86</v>
      </c>
      <c r="B101" s="129"/>
      <c r="C101" s="130" t="s">
        <v>290</v>
      </c>
      <c r="D101" s="131" t="s">
        <v>291</v>
      </c>
      <c r="E101" s="132" t="s">
        <v>292</v>
      </c>
      <c r="F101" s="132">
        <v>2.3475876544337</v>
      </c>
      <c r="G101" s="126">
        <v>0.4</v>
      </c>
      <c r="H101" s="126">
        <f t="shared" si="4"/>
        <v>0.94</v>
      </c>
      <c r="I101" s="138"/>
    </row>
    <row r="102" spans="1:9" x14ac:dyDescent="0.25">
      <c r="A102" s="162">
        <v>87</v>
      </c>
      <c r="B102" s="129"/>
      <c r="C102" s="130" t="s">
        <v>293</v>
      </c>
      <c r="D102" s="131" t="s">
        <v>294</v>
      </c>
      <c r="E102" s="132" t="s">
        <v>176</v>
      </c>
      <c r="F102" s="132">
        <v>1.1027579544444E-3</v>
      </c>
      <c r="G102" s="126">
        <v>729.98</v>
      </c>
      <c r="H102" s="126">
        <f t="shared" si="4"/>
        <v>0.8</v>
      </c>
      <c r="I102" s="138"/>
    </row>
    <row r="103" spans="1:9" x14ac:dyDescent="0.25">
      <c r="A103" s="162">
        <v>88</v>
      </c>
      <c r="B103" s="129"/>
      <c r="C103" s="130" t="s">
        <v>295</v>
      </c>
      <c r="D103" s="131" t="s">
        <v>296</v>
      </c>
      <c r="E103" s="132" t="s">
        <v>194</v>
      </c>
      <c r="F103" s="132">
        <v>2.5053936958013001E-2</v>
      </c>
      <c r="G103" s="126">
        <v>27.74</v>
      </c>
      <c r="H103" s="126">
        <f t="shared" si="4"/>
        <v>0.69</v>
      </c>
      <c r="I103" s="138"/>
    </row>
    <row r="104" spans="1:9" x14ac:dyDescent="0.25">
      <c r="A104" s="162">
        <v>89</v>
      </c>
      <c r="B104" s="129"/>
      <c r="C104" s="130" t="s">
        <v>297</v>
      </c>
      <c r="D104" s="131" t="s">
        <v>298</v>
      </c>
      <c r="E104" s="132" t="s">
        <v>194</v>
      </c>
      <c r="F104" s="132">
        <v>5.0085854929392002E-3</v>
      </c>
      <c r="G104" s="126">
        <v>138.76</v>
      </c>
      <c r="H104" s="126">
        <f t="shared" si="4"/>
        <v>0.69</v>
      </c>
      <c r="I104" s="138"/>
    </row>
    <row r="105" spans="1:9" x14ac:dyDescent="0.25">
      <c r="A105" s="162">
        <v>90</v>
      </c>
      <c r="B105" s="129"/>
      <c r="C105" s="130" t="s">
        <v>299</v>
      </c>
      <c r="D105" s="131" t="s">
        <v>300</v>
      </c>
      <c r="E105" s="132" t="s">
        <v>176</v>
      </c>
      <c r="F105" s="132">
        <v>9.9743884325334E-5</v>
      </c>
      <c r="G105" s="126">
        <v>6667</v>
      </c>
      <c r="H105" s="126">
        <f t="shared" si="4"/>
        <v>0.66</v>
      </c>
      <c r="I105" s="138"/>
    </row>
    <row r="106" spans="1:9" x14ac:dyDescent="0.25">
      <c r="A106" s="162">
        <v>91</v>
      </c>
      <c r="B106" s="129"/>
      <c r="C106" s="130" t="s">
        <v>301</v>
      </c>
      <c r="D106" s="131" t="s">
        <v>302</v>
      </c>
      <c r="E106" s="132" t="s">
        <v>194</v>
      </c>
      <c r="F106" s="132">
        <v>4.5095387352168002E-3</v>
      </c>
      <c r="G106" s="126">
        <v>133.05000000000001</v>
      </c>
      <c r="H106" s="126">
        <f t="shared" si="4"/>
        <v>0.6</v>
      </c>
      <c r="I106" s="138"/>
    </row>
    <row r="107" spans="1:9" ht="25.5" customHeight="1" x14ac:dyDescent="0.25">
      <c r="A107" s="162">
        <v>92</v>
      </c>
      <c r="B107" s="129"/>
      <c r="C107" s="130" t="s">
        <v>303</v>
      </c>
      <c r="D107" s="131" t="s">
        <v>304</v>
      </c>
      <c r="E107" s="132" t="s">
        <v>194</v>
      </c>
      <c r="F107" s="132">
        <v>4.9903343184181E-3</v>
      </c>
      <c r="G107" s="126">
        <v>114.22</v>
      </c>
      <c r="H107" s="126">
        <f t="shared" si="4"/>
        <v>0.56999999999999995</v>
      </c>
      <c r="I107" s="138"/>
    </row>
    <row r="108" spans="1:9" x14ac:dyDescent="0.25">
      <c r="A108" s="162">
        <v>93</v>
      </c>
      <c r="B108" s="129"/>
      <c r="C108" s="130" t="s">
        <v>305</v>
      </c>
      <c r="D108" s="131" t="s">
        <v>306</v>
      </c>
      <c r="E108" s="132" t="s">
        <v>265</v>
      </c>
      <c r="F108" s="132">
        <v>2.0094351408483E-3</v>
      </c>
      <c r="G108" s="126">
        <v>253.8</v>
      </c>
      <c r="H108" s="126">
        <f t="shared" si="4"/>
        <v>0.51</v>
      </c>
      <c r="I108" s="138"/>
    </row>
    <row r="109" spans="1:9" x14ac:dyDescent="0.25">
      <c r="A109" s="162">
        <v>94</v>
      </c>
      <c r="B109" s="129"/>
      <c r="C109" s="130" t="s">
        <v>307</v>
      </c>
      <c r="D109" s="131" t="s">
        <v>308</v>
      </c>
      <c r="E109" s="132" t="s">
        <v>194</v>
      </c>
      <c r="F109" s="132">
        <v>1.4964125867635E-2</v>
      </c>
      <c r="G109" s="126">
        <v>15.37</v>
      </c>
      <c r="H109" s="126">
        <f t="shared" si="4"/>
        <v>0.23</v>
      </c>
      <c r="I109" s="138"/>
    </row>
    <row r="110" spans="1:9" x14ac:dyDescent="0.25">
      <c r="A110" s="162">
        <v>95</v>
      </c>
      <c r="B110" s="129"/>
      <c r="C110" s="130" t="s">
        <v>309</v>
      </c>
      <c r="D110" s="131" t="s">
        <v>310</v>
      </c>
      <c r="E110" s="132" t="s">
        <v>194</v>
      </c>
      <c r="F110" s="132">
        <v>1.2389091807882001E-2</v>
      </c>
      <c r="G110" s="126">
        <v>16.95</v>
      </c>
      <c r="H110" s="126">
        <f t="shared" si="4"/>
        <v>0.21</v>
      </c>
      <c r="I110" s="138"/>
    </row>
    <row r="111" spans="1:9" x14ac:dyDescent="0.25">
      <c r="A111" s="162">
        <v>96</v>
      </c>
      <c r="B111" s="129"/>
      <c r="C111" s="130" t="s">
        <v>311</v>
      </c>
      <c r="D111" s="131" t="s">
        <v>312</v>
      </c>
      <c r="E111" s="132" t="s">
        <v>194</v>
      </c>
      <c r="F111" s="132">
        <v>2.8284408767493001E-3</v>
      </c>
      <c r="G111" s="126">
        <v>38.89</v>
      </c>
      <c r="H111" s="126">
        <f t="shared" ref="H111:H142" si="5">ROUND(F111*G111,2)</f>
        <v>0.11</v>
      </c>
      <c r="I111" s="138"/>
    </row>
    <row r="112" spans="1:9" x14ac:dyDescent="0.25">
      <c r="A112" s="162">
        <v>97</v>
      </c>
      <c r="B112" s="129"/>
      <c r="C112" s="130" t="s">
        <v>313</v>
      </c>
      <c r="D112" s="131" t="s">
        <v>314</v>
      </c>
      <c r="E112" s="132" t="s">
        <v>194</v>
      </c>
      <c r="F112" s="132">
        <v>4.3477768996208997E-3</v>
      </c>
      <c r="G112" s="126">
        <v>11.5</v>
      </c>
      <c r="H112" s="126">
        <f t="shared" si="5"/>
        <v>0.05</v>
      </c>
      <c r="I112" s="138"/>
    </row>
    <row r="115" spans="2:2" x14ac:dyDescent="0.25">
      <c r="B115" s="112" t="s">
        <v>94</v>
      </c>
    </row>
    <row r="116" spans="2:2" x14ac:dyDescent="0.25">
      <c r="B116" s="116" t="s">
        <v>77</v>
      </c>
    </row>
    <row r="118" spans="2:2" x14ac:dyDescent="0.25">
      <c r="B118" s="112" t="s">
        <v>78</v>
      </c>
    </row>
    <row r="119" spans="2:2" x14ac:dyDescent="0.25">
      <c r="B119" s="116" t="s">
        <v>79</v>
      </c>
    </row>
  </sheetData>
  <mergeCells count="16">
    <mergeCell ref="A3:H3"/>
    <mergeCell ref="A4:H4"/>
    <mergeCell ref="A7:H7"/>
    <mergeCell ref="A9:A10"/>
    <mergeCell ref="B9:B10"/>
    <mergeCell ref="C9:C10"/>
    <mergeCell ref="C5:H5"/>
    <mergeCell ref="F9:F10"/>
    <mergeCell ref="G9:H9"/>
    <mergeCell ref="A24:E24"/>
    <mergeCell ref="A46:E46"/>
    <mergeCell ref="A12:E12"/>
    <mergeCell ref="A26:E26"/>
    <mergeCell ref="D9:D10"/>
    <mergeCell ref="E9:E10"/>
    <mergeCell ref="A39:E39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rowBreaks count="1" manualBreakCount="1">
    <brk id="107" max="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K50"/>
  <sheetViews>
    <sheetView view="pageBreakPreview" topLeftCell="A33" workbookViewId="0">
      <selection activeCell="D45" sqref="D45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4.42578125" customWidth="1"/>
    <col min="11" max="11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315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7" t="s">
        <v>316</v>
      </c>
      <c r="C5" s="207"/>
      <c r="D5" s="207"/>
      <c r="E5" s="207"/>
    </row>
    <row r="6" spans="2:5" x14ac:dyDescent="0.25">
      <c r="B6" s="163"/>
      <c r="C6" s="4"/>
      <c r="D6" s="4"/>
      <c r="E6" s="4"/>
    </row>
    <row r="7" spans="2:5" ht="38.25" customHeight="1" x14ac:dyDescent="0.25">
      <c r="B7" s="234" t="s">
        <v>317</v>
      </c>
      <c r="C7" s="234"/>
      <c r="D7" s="234"/>
      <c r="E7" s="234"/>
    </row>
    <row r="8" spans="2:5" x14ac:dyDescent="0.25">
      <c r="B8" s="235" t="s">
        <v>50</v>
      </c>
      <c r="C8" s="235"/>
      <c r="D8" s="235"/>
      <c r="E8" s="235"/>
    </row>
    <row r="9" spans="2:5" x14ac:dyDescent="0.25">
      <c r="B9" s="163"/>
      <c r="C9" s="4"/>
      <c r="D9" s="4"/>
      <c r="E9" s="4"/>
    </row>
    <row r="10" spans="2:5" ht="51" customHeight="1" x14ac:dyDescent="0.25">
      <c r="B10" s="2" t="s">
        <v>318</v>
      </c>
      <c r="C10" s="2" t="s">
        <v>319</v>
      </c>
      <c r="D10" s="2" t="s">
        <v>320</v>
      </c>
      <c r="E10" s="2" t="s">
        <v>321</v>
      </c>
    </row>
    <row r="11" spans="2:5" x14ac:dyDescent="0.25">
      <c r="B11" s="118" t="s">
        <v>322</v>
      </c>
      <c r="C11" s="164">
        <f>'Прил.5 Расчет СМР и ОБ'!J14</f>
        <v>296475.15000000002</v>
      </c>
      <c r="D11" s="165">
        <f t="shared" ref="D11:D18" si="0">C11/$C$24</f>
        <v>0.35098784426624846</v>
      </c>
      <c r="E11" s="165">
        <f t="shared" ref="E11:E18" si="1">C11/$C$40</f>
        <v>6.43669341919159E-2</v>
      </c>
    </row>
    <row r="12" spans="2:5" x14ac:dyDescent="0.25">
      <c r="B12" s="118" t="s">
        <v>323</v>
      </c>
      <c r="C12" s="164">
        <f>'Прил.5 Расчет СМР и ОБ'!J20</f>
        <v>31362.77</v>
      </c>
      <c r="D12" s="165">
        <f t="shared" si="0"/>
        <v>3.7129422255181142E-2</v>
      </c>
      <c r="E12" s="165">
        <f t="shared" si="1"/>
        <v>6.8090878870158064E-3</v>
      </c>
    </row>
    <row r="13" spans="2:5" x14ac:dyDescent="0.25">
      <c r="B13" s="118" t="s">
        <v>324</v>
      </c>
      <c r="C13" s="164">
        <f>'Прил.5 Расчет СМР и ОБ'!J32</f>
        <v>2198.0200000000004</v>
      </c>
      <c r="D13" s="165">
        <f t="shared" si="0"/>
        <v>2.6021685171728542E-3</v>
      </c>
      <c r="E13" s="165">
        <f t="shared" si="1"/>
        <v>4.7720629770324773E-4</v>
      </c>
    </row>
    <row r="14" spans="2:5" x14ac:dyDescent="0.25">
      <c r="B14" s="118" t="s">
        <v>325</v>
      </c>
      <c r="C14" s="164">
        <f>C13+C12</f>
        <v>33560.79</v>
      </c>
      <c r="D14" s="165">
        <f t="shared" si="0"/>
        <v>3.9731590772353997E-2</v>
      </c>
      <c r="E14" s="165">
        <f t="shared" si="1"/>
        <v>7.2862941847190539E-3</v>
      </c>
    </row>
    <row r="15" spans="2:5" x14ac:dyDescent="0.25">
      <c r="B15" s="118" t="s">
        <v>326</v>
      </c>
      <c r="C15" s="164">
        <f>'Прил.5 Расчет СМР и ОБ'!J16</f>
        <v>29605.06</v>
      </c>
      <c r="D15" s="165">
        <f t="shared" si="0"/>
        <v>3.504852325320669E-2</v>
      </c>
      <c r="E15" s="165">
        <f t="shared" si="1"/>
        <v>6.4274761266423907E-3</v>
      </c>
    </row>
    <row r="16" spans="2:5" x14ac:dyDescent="0.25">
      <c r="B16" s="118" t="s">
        <v>327</v>
      </c>
      <c r="C16" s="164">
        <f>'Прил.5 Расчет СМР и ОБ'!J65</f>
        <v>27576.57</v>
      </c>
      <c r="D16" s="165">
        <f t="shared" si="0"/>
        <v>3.264705610759383E-2</v>
      </c>
      <c r="E16" s="165">
        <f t="shared" si="1"/>
        <v>5.9870760380044069E-3</v>
      </c>
    </row>
    <row r="17" spans="2:6" x14ac:dyDescent="0.25">
      <c r="B17" s="118" t="s">
        <v>328</v>
      </c>
      <c r="C17" s="164">
        <f>'Прил.5 Расчет СМР и ОБ'!J115</f>
        <v>4476.58</v>
      </c>
      <c r="D17" s="165">
        <f t="shared" si="0"/>
        <v>5.2996858721056465E-3</v>
      </c>
      <c r="E17" s="165">
        <f t="shared" si="1"/>
        <v>9.7189842138488468E-4</v>
      </c>
      <c r="F17" s="166"/>
    </row>
    <row r="18" spans="2:6" x14ac:dyDescent="0.25">
      <c r="B18" s="118" t="s">
        <v>329</v>
      </c>
      <c r="C18" s="164">
        <f>C17+C16</f>
        <v>32053.15</v>
      </c>
      <c r="D18" s="165">
        <f t="shared" si="0"/>
        <v>3.794674197969948E-2</v>
      </c>
      <c r="E18" s="165">
        <f t="shared" si="1"/>
        <v>6.9589744593892919E-3</v>
      </c>
    </row>
    <row r="19" spans="2:6" x14ac:dyDescent="0.25">
      <c r="B19" s="118" t="s">
        <v>330</v>
      </c>
      <c r="C19" s="164">
        <f>C18+C14+C11</f>
        <v>362089.09</v>
      </c>
      <c r="D19" s="165"/>
      <c r="E19" s="118"/>
    </row>
    <row r="20" spans="2:6" x14ac:dyDescent="0.25">
      <c r="B20" s="118" t="s">
        <v>331</v>
      </c>
      <c r="C20" s="164">
        <f>ROUND(C21*(C11+C15),2)</f>
        <v>202169.73</v>
      </c>
      <c r="D20" s="165">
        <f>C20/$C$24</f>
        <v>0.23934254762528831</v>
      </c>
      <c r="E20" s="165">
        <f>C20/$C$40</f>
        <v>4.3892534354084675E-2</v>
      </c>
    </row>
    <row r="21" spans="2:6" x14ac:dyDescent="0.25">
      <c r="B21" s="118" t="s">
        <v>332</v>
      </c>
      <c r="C21" s="167">
        <v>0.62</v>
      </c>
      <c r="D21" s="165"/>
      <c r="E21" s="118"/>
    </row>
    <row r="22" spans="2:6" x14ac:dyDescent="0.25">
      <c r="B22" s="118" t="s">
        <v>333</v>
      </c>
      <c r="C22" s="164">
        <f>ROUND(C23*(C11+C15),2)</f>
        <v>280428.98</v>
      </c>
      <c r="D22" s="165">
        <f>C22/$C$24</f>
        <v>0.33199127535640977</v>
      </c>
      <c r="E22" s="165">
        <f>C22/$C$40</f>
        <v>6.0883192743695719E-2</v>
      </c>
    </row>
    <row r="23" spans="2:6" x14ac:dyDescent="0.25">
      <c r="B23" s="118" t="s">
        <v>334</v>
      </c>
      <c r="C23" s="167">
        <v>0.86</v>
      </c>
      <c r="D23" s="165"/>
      <c r="E23" s="118"/>
    </row>
    <row r="24" spans="2:6" x14ac:dyDescent="0.25">
      <c r="B24" s="118" t="s">
        <v>335</v>
      </c>
      <c r="C24" s="164">
        <f>C19+C20+C22</f>
        <v>844687.8</v>
      </c>
      <c r="D24" s="165">
        <f>C24/$C$24</f>
        <v>1</v>
      </c>
      <c r="E24" s="165">
        <f>C24/$C$40</f>
        <v>0.18338792993380465</v>
      </c>
    </row>
    <row r="25" spans="2:6" ht="25.5" customHeight="1" x14ac:dyDescent="0.25">
      <c r="B25" s="118" t="s">
        <v>336</v>
      </c>
      <c r="C25" s="164">
        <f>'Прил.5 Расчет СМР и ОБ'!J44</f>
        <v>3315000.7399999998</v>
      </c>
      <c r="D25" s="165"/>
      <c r="E25" s="165">
        <f>C25/$C$40</f>
        <v>0.71971102629590544</v>
      </c>
    </row>
    <row r="26" spans="2:6" ht="25.5" customHeight="1" x14ac:dyDescent="0.25">
      <c r="B26" s="118" t="s">
        <v>337</v>
      </c>
      <c r="C26" s="164">
        <f>'Прил.5 Расчет СМР и ОБ'!J45</f>
        <v>3315000.7399999998</v>
      </c>
      <c r="D26" s="165"/>
      <c r="E26" s="165">
        <f>C26/$C$40</f>
        <v>0.71971102629590544</v>
      </c>
    </row>
    <row r="27" spans="2:6" x14ac:dyDescent="0.25">
      <c r="B27" s="118" t="s">
        <v>338</v>
      </c>
      <c r="C27" s="111">
        <f>C24+C25</f>
        <v>4159688.54</v>
      </c>
      <c r="D27" s="165"/>
      <c r="E27" s="165">
        <f>C27/$C$40</f>
        <v>0.90309895622971015</v>
      </c>
    </row>
    <row r="28" spans="2:6" ht="33" customHeight="1" x14ac:dyDescent="0.25">
      <c r="B28" s="118" t="s">
        <v>339</v>
      </c>
      <c r="C28" s="118"/>
      <c r="D28" s="118"/>
      <c r="E28" s="118"/>
    </row>
    <row r="29" spans="2:6" ht="25.5" customHeight="1" x14ac:dyDescent="0.25">
      <c r="B29" s="118" t="s">
        <v>340</v>
      </c>
      <c r="C29" s="111">
        <f>ROUND(C24*3.9%,2)</f>
        <v>32942.82</v>
      </c>
      <c r="D29" s="118"/>
      <c r="E29" s="165">
        <f t="shared" ref="E29:E38" si="2">C29/$C$40</f>
        <v>7.1521283555675101E-3</v>
      </c>
    </row>
    <row r="30" spans="2:6" ht="38.25" customHeight="1" x14ac:dyDescent="0.25">
      <c r="B30" s="118" t="s">
        <v>341</v>
      </c>
      <c r="C30" s="111">
        <f>ROUND((C24+C29)*2.1%,2)</f>
        <v>18430.240000000002</v>
      </c>
      <c r="D30" s="118"/>
      <c r="E30" s="165">
        <f t="shared" si="2"/>
        <v>4.0013405684126181E-3</v>
      </c>
    </row>
    <row r="31" spans="2:6" x14ac:dyDescent="0.25">
      <c r="B31" s="118" t="s">
        <v>342</v>
      </c>
      <c r="C31" s="111">
        <v>158550</v>
      </c>
      <c r="D31" s="118"/>
      <c r="E31" s="165">
        <f t="shared" si="2"/>
        <v>3.4422370360983938E-2</v>
      </c>
    </row>
    <row r="32" spans="2:6" ht="25.5" customHeight="1" x14ac:dyDescent="0.25">
      <c r="B32" s="118" t="s">
        <v>343</v>
      </c>
      <c r="C32" s="111">
        <f>ROUND(C27*0%,2)</f>
        <v>0</v>
      </c>
      <c r="D32" s="118"/>
      <c r="E32" s="165">
        <f t="shared" si="2"/>
        <v>0</v>
      </c>
    </row>
    <row r="33" spans="2:11" ht="25.5" customHeight="1" x14ac:dyDescent="0.25">
      <c r="B33" s="118" t="s">
        <v>344</v>
      </c>
      <c r="C33" s="111">
        <f>ROUND(C28*0%,2)</f>
        <v>0</v>
      </c>
      <c r="D33" s="118"/>
      <c r="E33" s="165">
        <f t="shared" si="2"/>
        <v>0</v>
      </c>
    </row>
    <row r="34" spans="2:11" ht="51" customHeight="1" x14ac:dyDescent="0.25">
      <c r="B34" s="118" t="s">
        <v>345</v>
      </c>
      <c r="C34" s="111">
        <f>ROUND(C29*0%,2)</f>
        <v>0</v>
      </c>
      <c r="D34" s="118"/>
      <c r="E34" s="165">
        <f t="shared" si="2"/>
        <v>0</v>
      </c>
      <c r="G34" s="169"/>
    </row>
    <row r="35" spans="2:11" ht="76.5" customHeight="1" x14ac:dyDescent="0.25">
      <c r="B35" s="118" t="s">
        <v>346</v>
      </c>
      <c r="C35" s="111">
        <f>ROUND(C30*0%,2)</f>
        <v>0</v>
      </c>
      <c r="D35" s="118"/>
      <c r="E35" s="165">
        <f t="shared" si="2"/>
        <v>0</v>
      </c>
    </row>
    <row r="36" spans="2:11" ht="25.5" customHeight="1" x14ac:dyDescent="0.25">
      <c r="B36" s="118" t="s">
        <v>347</v>
      </c>
      <c r="C36" s="111">
        <f>ROUND((C27+C32+C33+C34+C35+C29+C31+C30)*2.14%,2)</f>
        <v>93509.69</v>
      </c>
      <c r="D36" s="118"/>
      <c r="E36" s="165">
        <f t="shared" si="2"/>
        <v>2.0301641006122962E-2</v>
      </c>
      <c r="K36" s="168"/>
    </row>
    <row r="37" spans="2:11" x14ac:dyDescent="0.25">
      <c r="B37" s="118" t="s">
        <v>348</v>
      </c>
      <c r="C37" s="111">
        <f>ROUND((C27+C32+C33+C34+C35+C29+C31+C30)*0.2%,2)</f>
        <v>8739.2199999999993</v>
      </c>
      <c r="D37" s="118"/>
      <c r="E37" s="165">
        <f t="shared" si="2"/>
        <v>1.8973488962858278E-3</v>
      </c>
      <c r="K37" s="168"/>
    </row>
    <row r="38" spans="2:11" ht="38.25" customHeight="1" x14ac:dyDescent="0.25">
      <c r="B38" s="118" t="s">
        <v>349</v>
      </c>
      <c r="C38" s="164">
        <f>C27+C32+C33+C34+C35+C29+C31+C30+C36+C37</f>
        <v>4471860.51</v>
      </c>
      <c r="D38" s="118"/>
      <c r="E38" s="165">
        <f t="shared" si="2"/>
        <v>0.97087378541708291</v>
      </c>
    </row>
    <row r="39" spans="2:11" ht="13.5" customHeight="1" x14ac:dyDescent="0.25">
      <c r="B39" s="118" t="s">
        <v>350</v>
      </c>
      <c r="C39" s="164">
        <f>ROUND(C38*3%,2)</f>
        <v>134155.82</v>
      </c>
      <c r="D39" s="118"/>
      <c r="E39" s="165">
        <f>C39/$C$38</f>
        <v>3.0000001051016686E-2</v>
      </c>
    </row>
    <row r="40" spans="2:11" x14ac:dyDescent="0.25">
      <c r="B40" s="118" t="s">
        <v>351</v>
      </c>
      <c r="C40" s="164">
        <f>C39+C38</f>
        <v>4606016.33</v>
      </c>
      <c r="D40" s="118"/>
      <c r="E40" s="165">
        <f>C40/$C$40</f>
        <v>1</v>
      </c>
    </row>
    <row r="41" spans="2:11" x14ac:dyDescent="0.25">
      <c r="B41" s="118" t="s">
        <v>352</v>
      </c>
      <c r="C41" s="164">
        <f>C40/'Прил.5 Расчет СМР и ОБ'!E122</f>
        <v>4606016.33</v>
      </c>
      <c r="D41" s="118"/>
      <c r="E41" s="118"/>
    </row>
    <row r="42" spans="2:11" x14ac:dyDescent="0.25">
      <c r="B42" s="117"/>
      <c r="C42" s="4"/>
      <c r="D42" s="4"/>
      <c r="E42" s="4"/>
    </row>
    <row r="43" spans="2:11" x14ac:dyDescent="0.25">
      <c r="B43" s="117" t="s">
        <v>353</v>
      </c>
      <c r="C43" s="4"/>
      <c r="D43" s="4"/>
      <c r="E43" s="4"/>
    </row>
    <row r="44" spans="2:11" x14ac:dyDescent="0.25">
      <c r="B44" s="117" t="s">
        <v>354</v>
      </c>
      <c r="C44" s="4"/>
      <c r="D44" s="4"/>
      <c r="E44" s="4"/>
    </row>
    <row r="45" spans="2:11" x14ac:dyDescent="0.25">
      <c r="B45" s="117"/>
      <c r="C45" s="4"/>
      <c r="D45" s="4"/>
      <c r="E45" s="4"/>
    </row>
    <row r="46" spans="2:11" x14ac:dyDescent="0.25">
      <c r="B46" s="117" t="s">
        <v>355</v>
      </c>
      <c r="C46" s="4"/>
      <c r="D46" s="4"/>
      <c r="E46" s="4"/>
    </row>
    <row r="47" spans="2:11" x14ac:dyDescent="0.25">
      <c r="B47" s="235" t="s">
        <v>356</v>
      </c>
      <c r="C47" s="235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28"/>
  <sheetViews>
    <sheetView tabSelected="1" view="pageBreakPreview" zoomScale="70" zoomScaleSheetLayoutView="70" workbookViewId="0">
      <selection activeCell="X45" sqref="X45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</cols>
  <sheetData>
    <row r="1" spans="1:12" x14ac:dyDescent="0.25">
      <c r="K1" s="12"/>
      <c r="L1" s="12"/>
    </row>
    <row r="2" spans="1:12" ht="15.75" customHeight="1" x14ac:dyDescent="0.25">
      <c r="H2" s="236" t="s">
        <v>357</v>
      </c>
      <c r="I2" s="236"/>
      <c r="J2" s="236"/>
      <c r="K2" s="12"/>
      <c r="L2" s="12"/>
    </row>
    <row r="3" spans="1:12" x14ac:dyDescent="0.25">
      <c r="K3" s="12"/>
      <c r="L3" s="12"/>
    </row>
    <row r="4" spans="1:12" s="4" customFormat="1" ht="12.75" customHeight="1" x14ac:dyDescent="0.2">
      <c r="A4" s="207" t="s">
        <v>358</v>
      </c>
      <c r="B4" s="207"/>
      <c r="C4" s="207"/>
      <c r="D4" s="207"/>
      <c r="E4" s="207"/>
      <c r="F4" s="207"/>
      <c r="G4" s="207"/>
      <c r="H4" s="207"/>
      <c r="I4" s="207"/>
      <c r="J4" s="207"/>
    </row>
    <row r="5" spans="1:12" s="4" customFormat="1" ht="12.75" customHeight="1" x14ac:dyDescent="0.2">
      <c r="A5" s="191"/>
      <c r="B5" s="191"/>
      <c r="C5" s="28"/>
      <c r="D5" s="191"/>
      <c r="E5" s="191"/>
      <c r="F5" s="191"/>
      <c r="G5" s="191"/>
      <c r="H5" s="191"/>
      <c r="I5" s="191"/>
      <c r="J5" s="191"/>
    </row>
    <row r="6" spans="1:12" s="4" customFormat="1" ht="27.75" customHeight="1" x14ac:dyDescent="0.2">
      <c r="A6" s="170" t="s">
        <v>359</v>
      </c>
      <c r="B6" s="171"/>
      <c r="C6" s="171"/>
      <c r="D6" s="242" t="s">
        <v>360</v>
      </c>
      <c r="E6" s="242"/>
      <c r="F6" s="242"/>
      <c r="G6" s="242"/>
      <c r="H6" s="242"/>
      <c r="I6" s="242"/>
      <c r="J6" s="242"/>
    </row>
    <row r="7" spans="1:12" s="4" customFormat="1" ht="12.75" customHeight="1" x14ac:dyDescent="0.2">
      <c r="A7" s="210" t="s">
        <v>50</v>
      </c>
      <c r="B7" s="234"/>
      <c r="C7" s="234"/>
      <c r="D7" s="234"/>
      <c r="E7" s="234"/>
      <c r="F7" s="234"/>
      <c r="G7" s="234"/>
      <c r="H7" s="234"/>
      <c r="I7" s="42"/>
      <c r="J7" s="42"/>
    </row>
    <row r="8" spans="1:12" s="4" customFormat="1" ht="13.5" customHeight="1" x14ac:dyDescent="0.2">
      <c r="A8" s="210"/>
      <c r="B8" s="234"/>
      <c r="C8" s="234"/>
      <c r="D8" s="234"/>
      <c r="E8" s="234"/>
      <c r="F8" s="234"/>
      <c r="G8" s="234"/>
      <c r="H8" s="234"/>
    </row>
    <row r="9" spans="1:12" ht="27" customHeight="1" x14ac:dyDescent="0.25">
      <c r="A9" s="239" t="s">
        <v>13</v>
      </c>
      <c r="B9" s="239" t="s">
        <v>101</v>
      </c>
      <c r="C9" s="239" t="s">
        <v>318</v>
      </c>
      <c r="D9" s="239" t="s">
        <v>103</v>
      </c>
      <c r="E9" s="240" t="s">
        <v>361</v>
      </c>
      <c r="F9" s="237" t="s">
        <v>105</v>
      </c>
      <c r="G9" s="238"/>
      <c r="H9" s="240" t="s">
        <v>362</v>
      </c>
      <c r="I9" s="237" t="s">
        <v>363</v>
      </c>
      <c r="J9" s="238"/>
      <c r="K9" s="12"/>
      <c r="L9" s="12"/>
    </row>
    <row r="10" spans="1:12" ht="28.5" customHeight="1" x14ac:dyDescent="0.25">
      <c r="A10" s="239"/>
      <c r="B10" s="239"/>
      <c r="C10" s="239"/>
      <c r="D10" s="239"/>
      <c r="E10" s="241"/>
      <c r="F10" s="2" t="s">
        <v>364</v>
      </c>
      <c r="G10" s="2" t="s">
        <v>107</v>
      </c>
      <c r="H10" s="241"/>
      <c r="I10" s="2" t="s">
        <v>364</v>
      </c>
      <c r="J10" s="2" t="s">
        <v>107</v>
      </c>
      <c r="K10" s="12"/>
      <c r="L10" s="12"/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90">
        <v>9</v>
      </c>
      <c r="J11" s="190">
        <v>10</v>
      </c>
      <c r="K11" s="12"/>
      <c r="L11" s="12"/>
    </row>
    <row r="12" spans="1:12" x14ac:dyDescent="0.25">
      <c r="A12" s="2"/>
      <c r="B12" s="228" t="s">
        <v>365</v>
      </c>
      <c r="C12" s="247"/>
      <c r="D12" s="239"/>
      <c r="E12" s="248"/>
      <c r="F12" s="249"/>
      <c r="G12" s="249"/>
      <c r="H12" s="250"/>
      <c r="I12" s="135"/>
      <c r="J12" s="135"/>
    </row>
    <row r="13" spans="1:12" ht="25.5" customHeight="1" x14ac:dyDescent="0.25">
      <c r="A13" s="2">
        <v>1</v>
      </c>
      <c r="B13" s="139" t="s">
        <v>366</v>
      </c>
      <c r="C13" s="8" t="s">
        <v>367</v>
      </c>
      <c r="D13" s="2" t="s">
        <v>368</v>
      </c>
      <c r="E13" s="128">
        <v>657.81059336204999</v>
      </c>
      <c r="F13" s="26">
        <v>9.76</v>
      </c>
      <c r="G13" s="26">
        <f>Прил.3!H12</f>
        <v>6591.94</v>
      </c>
      <c r="H13" s="172">
        <f>G13/G14</f>
        <v>1</v>
      </c>
      <c r="I13" s="26">
        <f>ФОТр.тек.!E13</f>
        <v>450.69987855412</v>
      </c>
      <c r="J13" s="26">
        <f>ROUND(I13*E13,2)</f>
        <v>296475.15000000002</v>
      </c>
    </row>
    <row r="14" spans="1:12" s="12" customFormat="1" ht="25.5" customHeight="1" x14ac:dyDescent="0.2">
      <c r="A14" s="2"/>
      <c r="B14" s="2"/>
      <c r="C14" s="119" t="s">
        <v>369</v>
      </c>
      <c r="D14" s="2" t="s">
        <v>368</v>
      </c>
      <c r="E14" s="128">
        <f>SUM(E13)</f>
        <v>657.81059336204999</v>
      </c>
      <c r="F14" s="26"/>
      <c r="G14" s="26">
        <f>SUM(G13:G13)</f>
        <v>6591.94</v>
      </c>
      <c r="H14" s="193">
        <v>1</v>
      </c>
      <c r="I14" s="135"/>
      <c r="J14" s="26">
        <f>SUM(J13:J13)</f>
        <v>296475.15000000002</v>
      </c>
    </row>
    <row r="15" spans="1:12" s="12" customFormat="1" ht="14.25" customHeight="1" x14ac:dyDescent="0.2">
      <c r="A15" s="2"/>
      <c r="B15" s="247" t="s">
        <v>133</v>
      </c>
      <c r="C15" s="247"/>
      <c r="D15" s="239"/>
      <c r="E15" s="248"/>
      <c r="F15" s="249"/>
      <c r="G15" s="249"/>
      <c r="H15" s="250"/>
      <c r="I15" s="135"/>
      <c r="J15" s="135"/>
    </row>
    <row r="16" spans="1:12" s="12" customFormat="1" ht="14.25" customHeight="1" x14ac:dyDescent="0.2">
      <c r="A16" s="2">
        <v>2</v>
      </c>
      <c r="B16" s="2">
        <v>2</v>
      </c>
      <c r="C16" s="8" t="s">
        <v>133</v>
      </c>
      <c r="D16" s="2" t="s">
        <v>368</v>
      </c>
      <c r="E16" s="128">
        <v>31.2</v>
      </c>
      <c r="F16" s="26">
        <f>G16/E16</f>
        <v>20.262179487179488</v>
      </c>
      <c r="G16" s="26">
        <f>Прил.3!H24</f>
        <v>632.17999999999995</v>
      </c>
      <c r="H16" s="193">
        <v>1</v>
      </c>
      <c r="I16" s="26">
        <f>ROUND(F16*Прил.10!D11,2)</f>
        <v>948.88</v>
      </c>
      <c r="J16" s="26">
        <f>ROUND(I16*E16,2)</f>
        <v>29605.06</v>
      </c>
    </row>
    <row r="17" spans="1:10" s="12" customFormat="1" ht="14.25" customHeight="1" x14ac:dyDescent="0.2">
      <c r="A17" s="2"/>
      <c r="B17" s="228" t="s">
        <v>135</v>
      </c>
      <c r="C17" s="247"/>
      <c r="D17" s="239"/>
      <c r="E17" s="248"/>
      <c r="F17" s="249"/>
      <c r="G17" s="249"/>
      <c r="H17" s="250"/>
      <c r="I17" s="135"/>
      <c r="J17" s="135"/>
    </row>
    <row r="18" spans="1:10" s="12" customFormat="1" ht="14.25" customHeight="1" x14ac:dyDescent="0.2">
      <c r="A18" s="2"/>
      <c r="B18" s="247" t="s">
        <v>370</v>
      </c>
      <c r="C18" s="247"/>
      <c r="D18" s="239"/>
      <c r="E18" s="248"/>
      <c r="F18" s="249"/>
      <c r="G18" s="249"/>
      <c r="H18" s="250"/>
      <c r="I18" s="135"/>
      <c r="J18" s="135"/>
    </row>
    <row r="19" spans="1:10" s="12" customFormat="1" ht="14.25" customHeight="1" x14ac:dyDescent="0.2">
      <c r="A19" s="2">
        <v>3</v>
      </c>
      <c r="B19" s="139" t="s">
        <v>136</v>
      </c>
      <c r="C19" s="8" t="s">
        <v>137</v>
      </c>
      <c r="D19" s="2" t="s">
        <v>138</v>
      </c>
      <c r="E19" s="128">
        <v>29.139975257462002</v>
      </c>
      <c r="F19" s="121">
        <v>89.99</v>
      </c>
      <c r="G19" s="26">
        <f>ROUND(E19*F19,2)</f>
        <v>2622.31</v>
      </c>
      <c r="H19" s="172">
        <f>G19/$G$33</f>
        <v>0.93451006386132973</v>
      </c>
      <c r="I19" s="26">
        <f>ROUND(F19*Прил.10!$D$12,2)</f>
        <v>1076.28</v>
      </c>
      <c r="J19" s="26">
        <f>ROUND(I19*E19,2)</f>
        <v>31362.77</v>
      </c>
    </row>
    <row r="20" spans="1:10" s="12" customFormat="1" ht="14.25" customHeight="1" x14ac:dyDescent="0.2">
      <c r="A20" s="2"/>
      <c r="B20" s="2"/>
      <c r="C20" s="8" t="s">
        <v>371</v>
      </c>
      <c r="D20" s="2"/>
      <c r="E20" s="128"/>
      <c r="F20" s="26"/>
      <c r="G20" s="26">
        <f>SUM(G19)</f>
        <v>2622.31</v>
      </c>
      <c r="H20" s="193">
        <f>G20/G33</f>
        <v>0.93451006386132973</v>
      </c>
      <c r="I20" s="137"/>
      <c r="J20" s="26">
        <f>SUM(J19)</f>
        <v>31362.77</v>
      </c>
    </row>
    <row r="21" spans="1:10" s="12" customFormat="1" ht="25.5" hidden="1" customHeight="1" outlineLevel="1" x14ac:dyDescent="0.2">
      <c r="A21" s="2">
        <v>4</v>
      </c>
      <c r="B21" s="139" t="s">
        <v>139</v>
      </c>
      <c r="C21" s="8" t="s">
        <v>140</v>
      </c>
      <c r="D21" s="2" t="s">
        <v>138</v>
      </c>
      <c r="E21" s="128">
        <v>0.42499268419127001</v>
      </c>
      <c r="F21" s="121">
        <v>111.99</v>
      </c>
      <c r="G21" s="26">
        <f t="shared" ref="G21:G31" si="0">ROUND(E21*F21,2)</f>
        <v>47.59</v>
      </c>
      <c r="H21" s="172">
        <f t="shared" ref="H21:H31" si="1">G21/$G$33</f>
        <v>1.6959602007070362E-2</v>
      </c>
      <c r="I21" s="26">
        <f>ROUND(F21*Прил.10!$D$12,2)</f>
        <v>1339.4</v>
      </c>
      <c r="J21" s="26">
        <f t="shared" ref="J21:J31" si="2">ROUND(I21*E21,2)</f>
        <v>569.24</v>
      </c>
    </row>
    <row r="22" spans="1:10" s="12" customFormat="1" ht="25.5" hidden="1" customHeight="1" outlineLevel="1" x14ac:dyDescent="0.2">
      <c r="A22" s="2">
        <v>5</v>
      </c>
      <c r="B22" s="139" t="s">
        <v>141</v>
      </c>
      <c r="C22" s="8" t="s">
        <v>142</v>
      </c>
      <c r="D22" s="2" t="s">
        <v>138</v>
      </c>
      <c r="E22" s="128">
        <v>0.55499902618493002</v>
      </c>
      <c r="F22" s="121">
        <v>70</v>
      </c>
      <c r="G22" s="26">
        <f t="shared" si="0"/>
        <v>38.85</v>
      </c>
      <c r="H22" s="172">
        <f t="shared" si="1"/>
        <v>1.384493670886076E-2</v>
      </c>
      <c r="I22" s="26">
        <f>ROUND(F22*Прил.10!$D$12,2)</f>
        <v>837.2</v>
      </c>
      <c r="J22" s="26">
        <f t="shared" si="2"/>
        <v>464.65</v>
      </c>
    </row>
    <row r="23" spans="1:10" s="12" customFormat="1" ht="25.5" hidden="1" customHeight="1" outlineLevel="1" x14ac:dyDescent="0.2">
      <c r="A23" s="2">
        <v>6</v>
      </c>
      <c r="B23" s="139" t="s">
        <v>143</v>
      </c>
      <c r="C23" s="8" t="s">
        <v>144</v>
      </c>
      <c r="D23" s="2" t="s">
        <v>138</v>
      </c>
      <c r="E23" s="128">
        <v>0.50000014064151999</v>
      </c>
      <c r="F23" s="121">
        <v>65.709999999999994</v>
      </c>
      <c r="G23" s="26">
        <f t="shared" si="0"/>
        <v>32.86</v>
      </c>
      <c r="H23" s="172">
        <f t="shared" si="1"/>
        <v>1.1710286235602692E-2</v>
      </c>
      <c r="I23" s="26">
        <f>ROUND(F23*Прил.10!$D$12,2)</f>
        <v>785.89</v>
      </c>
      <c r="J23" s="26">
        <f t="shared" si="2"/>
        <v>392.95</v>
      </c>
    </row>
    <row r="24" spans="1:10" s="12" customFormat="1" ht="25.5" hidden="1" customHeight="1" outlineLevel="1" x14ac:dyDescent="0.2">
      <c r="A24" s="2">
        <v>7</v>
      </c>
      <c r="B24" s="139" t="s">
        <v>145</v>
      </c>
      <c r="C24" s="8" t="s">
        <v>146</v>
      </c>
      <c r="D24" s="2" t="s">
        <v>138</v>
      </c>
      <c r="E24" s="128">
        <v>0.55503136188487001</v>
      </c>
      <c r="F24" s="121">
        <v>56.24</v>
      </c>
      <c r="G24" s="26">
        <f t="shared" si="0"/>
        <v>31.21</v>
      </c>
      <c r="H24" s="172">
        <f t="shared" si="1"/>
        <v>1.1122277340631771E-2</v>
      </c>
      <c r="I24" s="26">
        <f>ROUND(F24*Прил.10!$D$12,2)</f>
        <v>672.63</v>
      </c>
      <c r="J24" s="26">
        <f t="shared" si="2"/>
        <v>373.33</v>
      </c>
    </row>
    <row r="25" spans="1:10" s="12" customFormat="1" ht="25.5" hidden="1" customHeight="1" outlineLevel="1" x14ac:dyDescent="0.2">
      <c r="A25" s="2">
        <v>8</v>
      </c>
      <c r="B25" s="139" t="s">
        <v>147</v>
      </c>
      <c r="C25" s="8" t="s">
        <v>148</v>
      </c>
      <c r="D25" s="2" t="s">
        <v>138</v>
      </c>
      <c r="E25" s="128">
        <v>1.8851040416478</v>
      </c>
      <c r="F25" s="121">
        <v>8.1</v>
      </c>
      <c r="G25" s="26">
        <f t="shared" si="0"/>
        <v>15.27</v>
      </c>
      <c r="H25" s="172">
        <f t="shared" si="1"/>
        <v>5.4417550461854257E-3</v>
      </c>
      <c r="I25" s="26">
        <f>ROUND(F25*Прил.10!$D$12,2)</f>
        <v>96.88</v>
      </c>
      <c r="J25" s="26">
        <f t="shared" si="2"/>
        <v>182.63</v>
      </c>
    </row>
    <row r="26" spans="1:10" s="12" customFormat="1" ht="25.5" hidden="1" customHeight="1" outlineLevel="1" x14ac:dyDescent="0.2">
      <c r="A26" s="2">
        <v>9</v>
      </c>
      <c r="B26" s="139" t="s">
        <v>149</v>
      </c>
      <c r="C26" s="8" t="s">
        <v>150</v>
      </c>
      <c r="D26" s="2" t="s">
        <v>138</v>
      </c>
      <c r="E26" s="128">
        <v>0.55497234111612004</v>
      </c>
      <c r="F26" s="121">
        <v>16.920000000000002</v>
      </c>
      <c r="G26" s="26">
        <f t="shared" si="0"/>
        <v>9.39</v>
      </c>
      <c r="H26" s="172">
        <f t="shared" si="1"/>
        <v>3.3463051659254192E-3</v>
      </c>
      <c r="I26" s="26">
        <f>ROUND(F26*Прил.10!$D$12,2)</f>
        <v>202.36</v>
      </c>
      <c r="J26" s="26">
        <f t="shared" si="2"/>
        <v>112.3</v>
      </c>
    </row>
    <row r="27" spans="1:10" s="12" customFormat="1" ht="38.25" hidden="1" customHeight="1" outlineLevel="1" x14ac:dyDescent="0.2">
      <c r="A27" s="2">
        <v>10</v>
      </c>
      <c r="B27" s="139" t="s">
        <v>151</v>
      </c>
      <c r="C27" s="8" t="s">
        <v>152</v>
      </c>
      <c r="D27" s="2" t="s">
        <v>138</v>
      </c>
      <c r="E27" s="128">
        <v>0.56522887215595996</v>
      </c>
      <c r="F27" s="121">
        <v>6.82</v>
      </c>
      <c r="G27" s="26">
        <f t="shared" si="0"/>
        <v>3.85</v>
      </c>
      <c r="H27" s="172">
        <f t="shared" si="1"/>
        <v>1.3720207549321474E-3</v>
      </c>
      <c r="I27" s="26">
        <f>ROUND(F27*Прил.10!$D$12,2)</f>
        <v>81.569999999999993</v>
      </c>
      <c r="J27" s="26">
        <f t="shared" si="2"/>
        <v>46.11</v>
      </c>
    </row>
    <row r="28" spans="1:10" s="12" customFormat="1" ht="25.5" hidden="1" customHeight="1" outlineLevel="1" x14ac:dyDescent="0.2">
      <c r="A28" s="2">
        <v>11</v>
      </c>
      <c r="B28" s="139" t="s">
        <v>153</v>
      </c>
      <c r="C28" s="8" t="s">
        <v>154</v>
      </c>
      <c r="D28" s="2" t="s">
        <v>138</v>
      </c>
      <c r="E28" s="128">
        <v>1.9978925641896E-2</v>
      </c>
      <c r="F28" s="121">
        <v>85.84</v>
      </c>
      <c r="G28" s="26">
        <f t="shared" si="0"/>
        <v>1.71</v>
      </c>
      <c r="H28" s="172">
        <f t="shared" si="1"/>
        <v>6.0939103660622644E-4</v>
      </c>
      <c r="I28" s="26">
        <f>ROUND(F28*Прил.10!$D$12,2)</f>
        <v>1026.6500000000001</v>
      </c>
      <c r="J28" s="26">
        <f t="shared" si="2"/>
        <v>20.51</v>
      </c>
    </row>
    <row r="29" spans="1:10" s="12" customFormat="1" ht="14.25" hidden="1" customHeight="1" outlineLevel="1" x14ac:dyDescent="0.2">
      <c r="A29" s="2">
        <v>12</v>
      </c>
      <c r="B29" s="139" t="s">
        <v>155</v>
      </c>
      <c r="C29" s="8" t="s">
        <v>156</v>
      </c>
      <c r="D29" s="2" t="s">
        <v>138</v>
      </c>
      <c r="E29" s="128">
        <v>0.55499725502262998</v>
      </c>
      <c r="F29" s="121">
        <v>2.36</v>
      </c>
      <c r="G29" s="26">
        <f t="shared" si="0"/>
        <v>1.31</v>
      </c>
      <c r="H29" s="172">
        <f t="shared" si="1"/>
        <v>4.6684342570418522E-4</v>
      </c>
      <c r="I29" s="26">
        <f>ROUND(F29*Прил.10!$D$12,2)</f>
        <v>28.23</v>
      </c>
      <c r="J29" s="26">
        <f t="shared" si="2"/>
        <v>15.67</v>
      </c>
    </row>
    <row r="30" spans="1:10" s="12" customFormat="1" ht="25.5" hidden="1" customHeight="1" outlineLevel="1" x14ac:dyDescent="0.2">
      <c r="A30" s="2">
        <v>13</v>
      </c>
      <c r="B30" s="139" t="s">
        <v>157</v>
      </c>
      <c r="C30" s="8" t="s">
        <v>158</v>
      </c>
      <c r="D30" s="2" t="s">
        <v>138</v>
      </c>
      <c r="E30" s="128">
        <v>0.72654078126829003</v>
      </c>
      <c r="F30" s="121">
        <v>1.7</v>
      </c>
      <c r="G30" s="26">
        <f t="shared" si="0"/>
        <v>1.24</v>
      </c>
      <c r="H30" s="172">
        <f t="shared" si="1"/>
        <v>4.4189759379632799E-4</v>
      </c>
      <c r="I30" s="26">
        <f>ROUND(F30*Прил.10!$D$12,2)</f>
        <v>20.329999999999998</v>
      </c>
      <c r="J30" s="26">
        <f t="shared" si="2"/>
        <v>14.77</v>
      </c>
    </row>
    <row r="31" spans="1:10" s="12" customFormat="1" ht="25.5" hidden="1" customHeight="1" outlineLevel="1" x14ac:dyDescent="0.2">
      <c r="A31" s="2">
        <v>14</v>
      </c>
      <c r="B31" s="139" t="s">
        <v>159</v>
      </c>
      <c r="C31" s="8" t="s">
        <v>160</v>
      </c>
      <c r="D31" s="2" t="s">
        <v>138</v>
      </c>
      <c r="E31" s="128">
        <v>0.54464588449953</v>
      </c>
      <c r="F31" s="121">
        <v>0.9</v>
      </c>
      <c r="G31" s="26">
        <f t="shared" si="0"/>
        <v>0.49</v>
      </c>
      <c r="H31" s="172">
        <f t="shared" si="1"/>
        <v>1.7462082335500058E-4</v>
      </c>
      <c r="I31" s="26">
        <f>ROUND(F31*Прил.10!$D$12,2)</f>
        <v>10.76</v>
      </c>
      <c r="J31" s="26">
        <f t="shared" si="2"/>
        <v>5.86</v>
      </c>
    </row>
    <row r="32" spans="1:10" s="12" customFormat="1" ht="14.25" customHeight="1" collapsed="1" x14ac:dyDescent="0.2">
      <c r="A32" s="2"/>
      <c r="B32" s="2"/>
      <c r="C32" s="8" t="s">
        <v>372</v>
      </c>
      <c r="D32" s="2"/>
      <c r="E32" s="192"/>
      <c r="F32" s="26"/>
      <c r="G32" s="137">
        <f>SUM(G21:G31)</f>
        <v>183.77000000000004</v>
      </c>
      <c r="H32" s="172">
        <f>G32/G33</f>
        <v>6.5489936138670338E-2</v>
      </c>
      <c r="I32" s="26"/>
      <c r="J32" s="137">
        <f>SUM(J21:J31)</f>
        <v>2198.0200000000004</v>
      </c>
    </row>
    <row r="33" spans="1:10" s="12" customFormat="1" ht="25.5" customHeight="1" x14ac:dyDescent="0.2">
      <c r="A33" s="2"/>
      <c r="B33" s="2"/>
      <c r="C33" s="119" t="s">
        <v>373</v>
      </c>
      <c r="D33" s="2"/>
      <c r="E33" s="192"/>
      <c r="F33" s="26"/>
      <c r="G33" s="26">
        <f>G20+G32</f>
        <v>2806.08</v>
      </c>
      <c r="H33" s="133">
        <v>1</v>
      </c>
      <c r="I33" s="134"/>
      <c r="J33" s="26">
        <f>J20+J32</f>
        <v>33560.79</v>
      </c>
    </row>
    <row r="34" spans="1:10" s="12" customFormat="1" ht="14.25" customHeight="1" x14ac:dyDescent="0.2">
      <c r="A34" s="2"/>
      <c r="B34" s="228" t="s">
        <v>43</v>
      </c>
      <c r="C34" s="228"/>
      <c r="D34" s="251"/>
      <c r="E34" s="252"/>
      <c r="F34" s="253"/>
      <c r="G34" s="253"/>
      <c r="H34" s="254"/>
      <c r="I34" s="135"/>
      <c r="J34" s="135"/>
    </row>
    <row r="35" spans="1:10" x14ac:dyDescent="0.25">
      <c r="A35" s="2"/>
      <c r="B35" s="247" t="s">
        <v>374</v>
      </c>
      <c r="C35" s="247"/>
      <c r="D35" s="239"/>
      <c r="E35" s="248"/>
      <c r="F35" s="249"/>
      <c r="G35" s="249"/>
      <c r="H35" s="250"/>
      <c r="I35" s="135"/>
      <c r="J35" s="135"/>
    </row>
    <row r="36" spans="1:10" s="12" customFormat="1" ht="25.5" customHeight="1" x14ac:dyDescent="0.2">
      <c r="A36" s="2">
        <v>15</v>
      </c>
      <c r="B36" s="2" t="s">
        <v>375</v>
      </c>
      <c r="C36" s="8" t="s">
        <v>162</v>
      </c>
      <c r="D36" s="2" t="s">
        <v>163</v>
      </c>
      <c r="E36" s="136">
        <v>1.0000002148439</v>
      </c>
      <c r="F36" s="121">
        <f>ROUND(I36/Прил.10!$D$14,2)</f>
        <v>110223.64</v>
      </c>
      <c r="G36" s="26">
        <f t="shared" ref="G36:G41" si="3">ROUND(E36*F36,2)</f>
        <v>110223.66</v>
      </c>
      <c r="H36" s="172">
        <f t="shared" ref="H36:H43" si="4">G36/$G$44</f>
        <v>0.20814478903162109</v>
      </c>
      <c r="I36" s="26">
        <v>690000</v>
      </c>
      <c r="J36" s="26">
        <f t="shared" ref="J36:J41" si="5">ROUND(I36*E36,2)</f>
        <v>690000.15</v>
      </c>
    </row>
    <row r="37" spans="1:10" s="12" customFormat="1" ht="14.25" customHeight="1" x14ac:dyDescent="0.2">
      <c r="A37" s="2">
        <v>16</v>
      </c>
      <c r="B37" s="2" t="s">
        <v>376</v>
      </c>
      <c r="C37" s="8" t="s">
        <v>164</v>
      </c>
      <c r="D37" s="2" t="s">
        <v>163</v>
      </c>
      <c r="E37" s="136">
        <v>1.0000002262493</v>
      </c>
      <c r="F37" s="121">
        <f>ROUND(I37/Прил.10!$D$14,2)</f>
        <v>419329.07</v>
      </c>
      <c r="G37" s="26">
        <f t="shared" si="3"/>
        <v>419329.16</v>
      </c>
      <c r="H37" s="172">
        <f t="shared" si="4"/>
        <v>0.79185521096837896</v>
      </c>
      <c r="I37" s="26">
        <v>2625000</v>
      </c>
      <c r="J37" s="26">
        <f t="shared" si="5"/>
        <v>2625000.59</v>
      </c>
    </row>
    <row r="38" spans="1:10" s="12" customFormat="1" ht="25.5" customHeight="1" x14ac:dyDescent="0.2">
      <c r="A38" s="2">
        <v>18</v>
      </c>
      <c r="B38" s="2" t="s">
        <v>377</v>
      </c>
      <c r="C38" s="8" t="s">
        <v>165</v>
      </c>
      <c r="D38" s="2" t="s">
        <v>163</v>
      </c>
      <c r="E38" s="136">
        <v>1.0000001890071999</v>
      </c>
      <c r="F38" s="121">
        <f>ROUND(I38/Прил.10!$D$14,2)</f>
        <v>95397.36</v>
      </c>
      <c r="G38" s="26">
        <f t="shared" si="3"/>
        <v>95397.38</v>
      </c>
      <c r="H38" s="172">
        <f t="shared" si="4"/>
        <v>0.18014705313060181</v>
      </c>
      <c r="I38" s="26">
        <v>597187.5</v>
      </c>
      <c r="J38" s="26">
        <f t="shared" si="5"/>
        <v>597187.61</v>
      </c>
    </row>
    <row r="39" spans="1:10" s="12" customFormat="1" ht="25.5" customHeight="1" x14ac:dyDescent="0.2">
      <c r="A39" s="2">
        <v>22</v>
      </c>
      <c r="B39" s="2" t="s">
        <v>378</v>
      </c>
      <c r="C39" s="8" t="s">
        <v>166</v>
      </c>
      <c r="D39" s="2" t="s">
        <v>163</v>
      </c>
      <c r="E39" s="136">
        <v>1.0000004567762999</v>
      </c>
      <c r="F39" s="121">
        <f>ROUND(I39/Прил.10!$D$14,2)</f>
        <v>2875.4</v>
      </c>
      <c r="G39" s="26">
        <f t="shared" si="3"/>
        <v>2875.4</v>
      </c>
      <c r="H39" s="172">
        <f t="shared" si="4"/>
        <v>5.4298643901093766E-3</v>
      </c>
      <c r="I39" s="26">
        <v>18000</v>
      </c>
      <c r="J39" s="26">
        <f t="shared" si="5"/>
        <v>18000.009999999998</v>
      </c>
    </row>
    <row r="40" spans="1:10" s="12" customFormat="1" ht="25.5" customHeight="1" x14ac:dyDescent="0.2">
      <c r="A40" s="2">
        <v>23</v>
      </c>
      <c r="B40" s="2" t="s">
        <v>167</v>
      </c>
      <c r="C40" s="8" t="s">
        <v>168</v>
      </c>
      <c r="D40" s="2" t="s">
        <v>163</v>
      </c>
      <c r="E40" s="136">
        <v>0.50000007475900998</v>
      </c>
      <c r="F40" s="121">
        <v>9392.75</v>
      </c>
      <c r="G40" s="26">
        <f t="shared" si="3"/>
        <v>4696.38</v>
      </c>
      <c r="H40" s="172">
        <f t="shared" si="4"/>
        <v>8.8685770760318118E-3</v>
      </c>
      <c r="I40" s="26">
        <f>ROUND(F40*Прил.10!$D$14,2)</f>
        <v>58798.62</v>
      </c>
      <c r="J40" s="26">
        <f t="shared" si="5"/>
        <v>29399.31</v>
      </c>
    </row>
    <row r="41" spans="1:10" s="12" customFormat="1" ht="14.25" customHeight="1" x14ac:dyDescent="0.2">
      <c r="A41" s="2">
        <v>24</v>
      </c>
      <c r="B41" s="2" t="s">
        <v>379</v>
      </c>
      <c r="C41" s="8" t="s">
        <v>169</v>
      </c>
      <c r="D41" s="2" t="s">
        <v>163</v>
      </c>
      <c r="E41" s="136">
        <v>0.50000017379196005</v>
      </c>
      <c r="F41" s="121">
        <f>ROUND(I41/Прил.10!$D$14,2)</f>
        <v>22895.37</v>
      </c>
      <c r="G41" s="26">
        <f t="shared" si="3"/>
        <v>11447.69</v>
      </c>
      <c r="H41" s="172">
        <f t="shared" si="4"/>
        <v>2.1617654684569523E-2</v>
      </c>
      <c r="I41" s="26">
        <v>143325</v>
      </c>
      <c r="J41" s="26">
        <f t="shared" si="5"/>
        <v>71662.52</v>
      </c>
    </row>
    <row r="42" spans="1:10" x14ac:dyDescent="0.25">
      <c r="A42" s="2"/>
      <c r="B42" s="2"/>
      <c r="C42" s="8" t="s">
        <v>380</v>
      </c>
      <c r="D42" s="2"/>
      <c r="E42" s="136"/>
      <c r="F42" s="121"/>
      <c r="G42" s="26">
        <f>SUM(G36:G37)</f>
        <v>529552.81999999995</v>
      </c>
      <c r="H42" s="172">
        <f t="shared" si="4"/>
        <v>1</v>
      </c>
      <c r="I42" s="137"/>
      <c r="J42" s="26">
        <f>SUM(J36:J37)</f>
        <v>3315000.7399999998</v>
      </c>
    </row>
    <row r="43" spans="1:10" x14ac:dyDescent="0.25">
      <c r="A43" s="2"/>
      <c r="B43" s="2"/>
      <c r="C43" s="8" t="s">
        <v>381</v>
      </c>
      <c r="D43" s="2"/>
      <c r="E43" s="128"/>
      <c r="F43" s="121"/>
      <c r="G43" s="26">
        <v>0</v>
      </c>
      <c r="H43" s="172">
        <f t="shared" si="4"/>
        <v>0</v>
      </c>
      <c r="I43" s="137"/>
      <c r="J43" s="26">
        <v>0</v>
      </c>
    </row>
    <row r="44" spans="1:10" x14ac:dyDescent="0.25">
      <c r="A44" s="2"/>
      <c r="B44" s="2"/>
      <c r="C44" s="119" t="s">
        <v>382</v>
      </c>
      <c r="D44" s="2"/>
      <c r="E44" s="192"/>
      <c r="F44" s="121"/>
      <c r="G44" s="26">
        <f>G42+G43</f>
        <v>529552.81999999995</v>
      </c>
      <c r="H44" s="172">
        <f>H42+H43</f>
        <v>1</v>
      </c>
      <c r="I44" s="137"/>
      <c r="J44" s="26">
        <f>J43+J42</f>
        <v>3315000.7399999998</v>
      </c>
    </row>
    <row r="45" spans="1:10" ht="25.5" customHeight="1" x14ac:dyDescent="0.25">
      <c r="A45" s="2"/>
      <c r="B45" s="2"/>
      <c r="C45" s="8" t="s">
        <v>383</v>
      </c>
      <c r="D45" s="2"/>
      <c r="E45" s="136"/>
      <c r="F45" s="121"/>
      <c r="G45" s="26">
        <f>'Прил.6 Расчет ОБ'!G18</f>
        <v>643969.66999999993</v>
      </c>
      <c r="H45" s="193"/>
      <c r="I45" s="137"/>
      <c r="J45" s="26">
        <f>J44</f>
        <v>3315000.7399999998</v>
      </c>
    </row>
    <row r="46" spans="1:10" s="12" customFormat="1" ht="14.25" customHeight="1" x14ac:dyDescent="0.2">
      <c r="A46" s="2"/>
      <c r="B46" s="228" t="s">
        <v>170</v>
      </c>
      <c r="C46" s="228"/>
      <c r="D46" s="251"/>
      <c r="E46" s="252"/>
      <c r="F46" s="253"/>
      <c r="G46" s="253"/>
      <c r="H46" s="254"/>
      <c r="I46" s="135"/>
      <c r="J46" s="135"/>
    </row>
    <row r="47" spans="1:10" s="12" customFormat="1" ht="14.25" customHeight="1" x14ac:dyDescent="0.2">
      <c r="A47" s="190"/>
      <c r="B47" s="243" t="s">
        <v>384</v>
      </c>
      <c r="C47" s="243"/>
      <c r="D47" s="240"/>
      <c r="E47" s="244"/>
      <c r="F47" s="245"/>
      <c r="G47" s="245"/>
      <c r="H47" s="246"/>
      <c r="I47" s="173"/>
      <c r="J47" s="173"/>
    </row>
    <row r="48" spans="1:10" s="12" customFormat="1" ht="14.25" customHeight="1" x14ac:dyDescent="0.2">
      <c r="A48" s="2">
        <v>25</v>
      </c>
      <c r="B48" s="2" t="s">
        <v>171</v>
      </c>
      <c r="C48" s="8" t="s">
        <v>172</v>
      </c>
      <c r="D48" s="2" t="s">
        <v>173</v>
      </c>
      <c r="E48" s="136">
        <v>47.940127188026999</v>
      </c>
      <c r="F48" s="121">
        <v>30.6</v>
      </c>
      <c r="G48" s="26">
        <f t="shared" ref="G48:G64" si="6">ROUND(E48*F48,2)</f>
        <v>1466.97</v>
      </c>
      <c r="H48" s="172">
        <f t="shared" ref="H48:H79" si="7">G48/$G$116</f>
        <v>0.45035412004162878</v>
      </c>
      <c r="I48" s="26">
        <f>ROUND(F48*Прил.10!$D$13,2)</f>
        <v>301.10000000000002</v>
      </c>
      <c r="J48" s="26">
        <f t="shared" ref="J48:J64" si="8">ROUND(I48*E48,2)</f>
        <v>14434.77</v>
      </c>
    </row>
    <row r="49" spans="1:10" s="12" customFormat="1" ht="14.25" customHeight="1" x14ac:dyDescent="0.2">
      <c r="A49" s="2">
        <v>26</v>
      </c>
      <c r="B49" s="2" t="s">
        <v>174</v>
      </c>
      <c r="C49" s="8" t="s">
        <v>175</v>
      </c>
      <c r="D49" s="2" t="s">
        <v>176</v>
      </c>
      <c r="E49" s="136">
        <v>3.7199822079437998E-2</v>
      </c>
      <c r="F49" s="121">
        <v>5763</v>
      </c>
      <c r="G49" s="26">
        <f t="shared" si="6"/>
        <v>214.38</v>
      </c>
      <c r="H49" s="172">
        <f t="shared" si="7"/>
        <v>6.5813831403862641E-2</v>
      </c>
      <c r="I49" s="26">
        <f>ROUND(F49*Прил.10!$D$13,2)</f>
        <v>56707.92</v>
      </c>
      <c r="J49" s="26">
        <f t="shared" si="8"/>
        <v>2109.52</v>
      </c>
    </row>
    <row r="50" spans="1:10" s="12" customFormat="1" ht="14.25" customHeight="1" x14ac:dyDescent="0.2">
      <c r="A50" s="2">
        <v>27</v>
      </c>
      <c r="B50" s="2" t="s">
        <v>177</v>
      </c>
      <c r="C50" s="8" t="s">
        <v>178</v>
      </c>
      <c r="D50" s="2" t="s">
        <v>179</v>
      </c>
      <c r="E50" s="136">
        <v>0.25499711516277002</v>
      </c>
      <c r="F50" s="121">
        <v>580</v>
      </c>
      <c r="G50" s="26">
        <f t="shared" si="6"/>
        <v>147.9</v>
      </c>
      <c r="H50" s="172">
        <f t="shared" si="7"/>
        <v>4.5404728354470028E-2</v>
      </c>
      <c r="I50" s="26">
        <f>ROUND(F50*Прил.10!$D$13,2)</f>
        <v>5707.2</v>
      </c>
      <c r="J50" s="26">
        <f t="shared" si="8"/>
        <v>1455.32</v>
      </c>
    </row>
    <row r="51" spans="1:10" s="12" customFormat="1" ht="25.5" customHeight="1" x14ac:dyDescent="0.2">
      <c r="A51" s="2">
        <v>28</v>
      </c>
      <c r="B51" s="2" t="s">
        <v>180</v>
      </c>
      <c r="C51" s="8" t="s">
        <v>181</v>
      </c>
      <c r="D51" s="2" t="s">
        <v>182</v>
      </c>
      <c r="E51" s="136">
        <v>128.32354824808999</v>
      </c>
      <c r="F51" s="121">
        <v>1</v>
      </c>
      <c r="G51" s="26">
        <f t="shared" si="6"/>
        <v>128.32</v>
      </c>
      <c r="H51" s="172">
        <f t="shared" si="7"/>
        <v>3.9393744032762634E-2</v>
      </c>
      <c r="I51" s="26">
        <f>ROUND(F51*Прил.10!$D$13,2)</f>
        <v>9.84</v>
      </c>
      <c r="J51" s="26">
        <f t="shared" si="8"/>
        <v>1262.7</v>
      </c>
    </row>
    <row r="52" spans="1:10" s="12" customFormat="1" ht="14.25" customHeight="1" x14ac:dyDescent="0.2">
      <c r="A52" s="2">
        <v>29</v>
      </c>
      <c r="B52" s="2" t="s">
        <v>183</v>
      </c>
      <c r="C52" s="8" t="s">
        <v>184</v>
      </c>
      <c r="D52" s="2" t="s">
        <v>176</v>
      </c>
      <c r="E52" s="136">
        <v>1.4999830303692001E-2</v>
      </c>
      <c r="F52" s="121">
        <v>6800</v>
      </c>
      <c r="G52" s="26">
        <f t="shared" si="6"/>
        <v>102</v>
      </c>
      <c r="H52" s="172">
        <f t="shared" si="7"/>
        <v>3.1313605761703465E-2</v>
      </c>
      <c r="I52" s="26">
        <f>ROUND(F52*Прил.10!$D$13,2)</f>
        <v>66912</v>
      </c>
      <c r="J52" s="26">
        <f t="shared" si="8"/>
        <v>1003.67</v>
      </c>
    </row>
    <row r="53" spans="1:10" s="12" customFormat="1" ht="25.5" customHeight="1" x14ac:dyDescent="0.2">
      <c r="A53" s="2">
        <v>30</v>
      </c>
      <c r="B53" s="2" t="s">
        <v>185</v>
      </c>
      <c r="C53" s="8" t="s">
        <v>186</v>
      </c>
      <c r="D53" s="2" t="s">
        <v>176</v>
      </c>
      <c r="E53" s="136">
        <v>1.6999448511981E-2</v>
      </c>
      <c r="F53" s="121">
        <v>5941.89</v>
      </c>
      <c r="G53" s="26">
        <f t="shared" si="6"/>
        <v>101.01</v>
      </c>
      <c r="H53" s="172">
        <f t="shared" si="7"/>
        <v>3.1009679588133991E-2</v>
      </c>
      <c r="I53" s="26">
        <f>ROUND(F53*Прил.10!$D$13,2)</f>
        <v>58468.2</v>
      </c>
      <c r="J53" s="26">
        <f t="shared" si="8"/>
        <v>993.93</v>
      </c>
    </row>
    <row r="54" spans="1:10" s="12" customFormat="1" ht="25.5" customHeight="1" x14ac:dyDescent="0.2">
      <c r="A54" s="2">
        <v>31</v>
      </c>
      <c r="B54" s="2" t="s">
        <v>187</v>
      </c>
      <c r="C54" s="8" t="s">
        <v>188</v>
      </c>
      <c r="D54" s="2" t="s">
        <v>173</v>
      </c>
      <c r="E54" s="136">
        <v>3.7950973958884999</v>
      </c>
      <c r="F54" s="121">
        <v>23.79</v>
      </c>
      <c r="G54" s="26">
        <f t="shared" si="6"/>
        <v>90.29</v>
      </c>
      <c r="H54" s="172">
        <f t="shared" si="7"/>
        <v>2.7718681021805941E-2</v>
      </c>
      <c r="I54" s="26">
        <f>ROUND(F54*Прил.10!$D$13,2)</f>
        <v>234.09</v>
      </c>
      <c r="J54" s="26">
        <f t="shared" si="8"/>
        <v>888.39</v>
      </c>
    </row>
    <row r="55" spans="1:10" s="12" customFormat="1" ht="63.75" customHeight="1" x14ac:dyDescent="0.2">
      <c r="A55" s="2">
        <v>32</v>
      </c>
      <c r="B55" s="2" t="s">
        <v>189</v>
      </c>
      <c r="C55" s="8" t="s">
        <v>190</v>
      </c>
      <c r="D55" s="2" t="s">
        <v>191</v>
      </c>
      <c r="E55" s="136">
        <v>2.9999995322349999E-2</v>
      </c>
      <c r="F55" s="121">
        <v>3005.8</v>
      </c>
      <c r="G55" s="26">
        <f t="shared" si="6"/>
        <v>90.17</v>
      </c>
      <c r="H55" s="172">
        <f t="shared" si="7"/>
        <v>2.7681841485615703E-2</v>
      </c>
      <c r="I55" s="26">
        <f>ROUND(F55*Прил.10!$D$13,2)</f>
        <v>29577.07</v>
      </c>
      <c r="J55" s="26">
        <f t="shared" si="8"/>
        <v>887.31</v>
      </c>
    </row>
    <row r="56" spans="1:10" s="12" customFormat="1" ht="14.25" customHeight="1" x14ac:dyDescent="0.2">
      <c r="A56" s="2">
        <v>33</v>
      </c>
      <c r="B56" s="2" t="s">
        <v>192</v>
      </c>
      <c r="C56" s="8" t="s">
        <v>193</v>
      </c>
      <c r="D56" s="2" t="s">
        <v>194</v>
      </c>
      <c r="E56" s="136">
        <v>0.44260789590742999</v>
      </c>
      <c r="F56" s="121">
        <v>155</v>
      </c>
      <c r="G56" s="26">
        <f t="shared" si="6"/>
        <v>68.599999999999994</v>
      </c>
      <c r="H56" s="172">
        <f t="shared" si="7"/>
        <v>2.1059934855420171E-2</v>
      </c>
      <c r="I56" s="26">
        <f>ROUND(F56*Прил.10!$D$13,2)</f>
        <v>1525.2</v>
      </c>
      <c r="J56" s="26">
        <f t="shared" si="8"/>
        <v>675.07</v>
      </c>
    </row>
    <row r="57" spans="1:10" s="12" customFormat="1" ht="14.25" customHeight="1" x14ac:dyDescent="0.2">
      <c r="A57" s="2">
        <v>34</v>
      </c>
      <c r="B57" s="2" t="s">
        <v>195</v>
      </c>
      <c r="C57" s="8" t="s">
        <v>196</v>
      </c>
      <c r="D57" s="2" t="s">
        <v>176</v>
      </c>
      <c r="E57" s="136">
        <v>8.9998981822153005E-4</v>
      </c>
      <c r="F57" s="121">
        <v>75000</v>
      </c>
      <c r="G57" s="26">
        <f t="shared" si="6"/>
        <v>67.5</v>
      </c>
      <c r="H57" s="172">
        <f t="shared" si="7"/>
        <v>2.0722239107009648E-2</v>
      </c>
      <c r="I57" s="26">
        <f>ROUND(F57*Прил.10!$D$13,2)</f>
        <v>738000</v>
      </c>
      <c r="J57" s="26">
        <f t="shared" si="8"/>
        <v>664.19</v>
      </c>
    </row>
    <row r="58" spans="1:10" s="12" customFormat="1" ht="25.5" customHeight="1" x14ac:dyDescent="0.2">
      <c r="A58" s="2">
        <v>35</v>
      </c>
      <c r="B58" s="2" t="s">
        <v>197</v>
      </c>
      <c r="C58" s="8" t="s">
        <v>198</v>
      </c>
      <c r="D58" s="2" t="s">
        <v>173</v>
      </c>
      <c r="E58" s="136">
        <v>3.8000026841204999</v>
      </c>
      <c r="F58" s="121">
        <v>15.13</v>
      </c>
      <c r="G58" s="26">
        <f t="shared" si="6"/>
        <v>57.49</v>
      </c>
      <c r="H58" s="172">
        <f t="shared" si="7"/>
        <v>1.7649207796473845E-2</v>
      </c>
      <c r="I58" s="26">
        <f>ROUND(F58*Прил.10!$D$13,2)</f>
        <v>148.88</v>
      </c>
      <c r="J58" s="26">
        <f t="shared" si="8"/>
        <v>565.74</v>
      </c>
    </row>
    <row r="59" spans="1:10" s="12" customFormat="1" ht="25.5" customHeight="1" x14ac:dyDescent="0.2">
      <c r="A59" s="2">
        <v>36</v>
      </c>
      <c r="B59" s="2" t="s">
        <v>199</v>
      </c>
      <c r="C59" s="8" t="s">
        <v>200</v>
      </c>
      <c r="D59" s="2" t="s">
        <v>176</v>
      </c>
      <c r="E59" s="136">
        <v>4.4999490911074996E-3</v>
      </c>
      <c r="F59" s="121">
        <v>11500</v>
      </c>
      <c r="G59" s="26">
        <f t="shared" si="6"/>
        <v>51.75</v>
      </c>
      <c r="H59" s="172">
        <f t="shared" si="7"/>
        <v>1.588704998204073E-2</v>
      </c>
      <c r="I59" s="26">
        <f>ROUND(F59*Прил.10!$D$13,2)</f>
        <v>113160</v>
      </c>
      <c r="J59" s="26">
        <f t="shared" si="8"/>
        <v>509.21</v>
      </c>
    </row>
    <row r="60" spans="1:10" s="12" customFormat="1" ht="14.25" customHeight="1" x14ac:dyDescent="0.2">
      <c r="A60" s="2">
        <v>37</v>
      </c>
      <c r="B60" s="2" t="s">
        <v>201</v>
      </c>
      <c r="C60" s="8" t="s">
        <v>202</v>
      </c>
      <c r="D60" s="2" t="s">
        <v>179</v>
      </c>
      <c r="E60" s="136">
        <v>1.609944759107</v>
      </c>
      <c r="F60" s="121">
        <v>30.74</v>
      </c>
      <c r="G60" s="26">
        <f t="shared" si="6"/>
        <v>49.49</v>
      </c>
      <c r="H60" s="172">
        <f t="shared" si="7"/>
        <v>1.5193238717124555E-2</v>
      </c>
      <c r="I60" s="26">
        <f>ROUND(F60*Прил.10!$D$13,2)</f>
        <v>302.48</v>
      </c>
      <c r="J60" s="26">
        <f t="shared" si="8"/>
        <v>486.98</v>
      </c>
    </row>
    <row r="61" spans="1:10" s="12" customFormat="1" ht="25.5" customHeight="1" x14ac:dyDescent="0.2">
      <c r="A61" s="2">
        <v>38</v>
      </c>
      <c r="B61" s="2" t="s">
        <v>203</v>
      </c>
      <c r="C61" s="8" t="s">
        <v>204</v>
      </c>
      <c r="D61" s="2" t="s">
        <v>205</v>
      </c>
      <c r="E61" s="136">
        <v>8.9999782599914993E-3</v>
      </c>
      <c r="F61" s="121">
        <v>4949.3999999999996</v>
      </c>
      <c r="G61" s="26">
        <f t="shared" si="6"/>
        <v>44.54</v>
      </c>
      <c r="H61" s="172">
        <f t="shared" si="7"/>
        <v>1.3673607849277179E-2</v>
      </c>
      <c r="I61" s="26">
        <f>ROUND(F61*Прил.10!$D$13,2)</f>
        <v>48702.1</v>
      </c>
      <c r="J61" s="26">
        <f t="shared" si="8"/>
        <v>438.32</v>
      </c>
    </row>
    <row r="62" spans="1:10" s="12" customFormat="1" ht="25.5" customHeight="1" x14ac:dyDescent="0.2">
      <c r="A62" s="2">
        <v>39</v>
      </c>
      <c r="B62" s="2" t="s">
        <v>206</v>
      </c>
      <c r="C62" s="8" t="s">
        <v>207</v>
      </c>
      <c r="D62" s="2" t="s">
        <v>176</v>
      </c>
      <c r="E62" s="136">
        <v>1.6500373050742001E-3</v>
      </c>
      <c r="F62" s="121">
        <v>26932.42</v>
      </c>
      <c r="G62" s="26">
        <f t="shared" si="6"/>
        <v>44.44</v>
      </c>
      <c r="H62" s="172">
        <f t="shared" si="7"/>
        <v>1.3642908235785314E-2</v>
      </c>
      <c r="I62" s="26">
        <f>ROUND(F62*Прил.10!$D$13,2)</f>
        <v>265015.01</v>
      </c>
      <c r="J62" s="26">
        <f t="shared" si="8"/>
        <v>437.28</v>
      </c>
    </row>
    <row r="63" spans="1:10" s="12" customFormat="1" ht="25.5" customHeight="1" x14ac:dyDescent="0.2">
      <c r="A63" s="2">
        <v>40</v>
      </c>
      <c r="B63" s="2" t="s">
        <v>208</v>
      </c>
      <c r="C63" s="8" t="s">
        <v>209</v>
      </c>
      <c r="D63" s="2" t="s">
        <v>194</v>
      </c>
      <c r="E63" s="136">
        <v>0.64349081890922999</v>
      </c>
      <c r="F63" s="121">
        <v>65.75</v>
      </c>
      <c r="G63" s="26">
        <f t="shared" si="6"/>
        <v>42.31</v>
      </c>
      <c r="H63" s="172">
        <f t="shared" si="7"/>
        <v>1.2989006468408566E-2</v>
      </c>
      <c r="I63" s="26">
        <f>ROUND(F63*Прил.10!$D$13,2)</f>
        <v>646.98</v>
      </c>
      <c r="J63" s="26">
        <f t="shared" si="8"/>
        <v>416.33</v>
      </c>
    </row>
    <row r="64" spans="1:10" s="12" customFormat="1" ht="25.5" customHeight="1" x14ac:dyDescent="0.2">
      <c r="A64" s="2">
        <v>41</v>
      </c>
      <c r="B64" s="2" t="s">
        <v>210</v>
      </c>
      <c r="C64" s="8" t="s">
        <v>211</v>
      </c>
      <c r="D64" s="2" t="s">
        <v>176</v>
      </c>
      <c r="E64" s="136">
        <v>5.9999900783959999E-3</v>
      </c>
      <c r="F64" s="121">
        <v>5891.61</v>
      </c>
      <c r="G64" s="26">
        <f t="shared" si="6"/>
        <v>35.35</v>
      </c>
      <c r="H64" s="172">
        <f t="shared" si="7"/>
        <v>1.0852313369374682E-2</v>
      </c>
      <c r="I64" s="26">
        <f>ROUND(F64*Прил.10!$D$13,2)</f>
        <v>57973.440000000002</v>
      </c>
      <c r="J64" s="26">
        <f t="shared" si="8"/>
        <v>347.84</v>
      </c>
    </row>
    <row r="65" spans="1:10" s="12" customFormat="1" ht="14.25" customHeight="1" x14ac:dyDescent="0.2">
      <c r="A65" s="174"/>
      <c r="B65" s="175"/>
      <c r="C65" s="176" t="s">
        <v>385</v>
      </c>
      <c r="D65" s="174"/>
      <c r="E65" s="177"/>
      <c r="F65" s="178"/>
      <c r="G65" s="178">
        <f>SUM(G48:G64)</f>
        <v>2802.5099999999993</v>
      </c>
      <c r="H65" s="172">
        <f t="shared" si="7"/>
        <v>0.86035973807089761</v>
      </c>
      <c r="I65" s="26"/>
      <c r="J65" s="178">
        <f>SUM(J48:J64)</f>
        <v>27576.57</v>
      </c>
    </row>
    <row r="66" spans="1:10" s="12" customFormat="1" ht="51" hidden="1" customHeight="1" outlineLevel="1" x14ac:dyDescent="0.2">
      <c r="A66" s="2">
        <v>42</v>
      </c>
      <c r="B66" s="2" t="s">
        <v>212</v>
      </c>
      <c r="C66" s="8" t="s">
        <v>213</v>
      </c>
      <c r="D66" s="2" t="s">
        <v>176</v>
      </c>
      <c r="E66" s="136">
        <v>5.9998493204077999E-3</v>
      </c>
      <c r="F66" s="121">
        <v>5817.58</v>
      </c>
      <c r="G66" s="26">
        <f t="shared" ref="G66:G97" si="9">ROUND(E66*F66,2)</f>
        <v>34.9</v>
      </c>
      <c r="H66" s="172">
        <f t="shared" si="7"/>
        <v>1.0714165108661283E-2</v>
      </c>
      <c r="I66" s="26">
        <f>ROUND(F66*Прил.10!$D$13,2)</f>
        <v>57244.99</v>
      </c>
      <c r="J66" s="26">
        <f t="shared" ref="J66:J97" si="10">ROUND(I66*E66,2)</f>
        <v>343.46</v>
      </c>
    </row>
    <row r="67" spans="1:10" s="12" customFormat="1" ht="25.5" hidden="1" customHeight="1" outlineLevel="1" x14ac:dyDescent="0.2">
      <c r="A67" s="2">
        <v>43</v>
      </c>
      <c r="B67" s="2" t="s">
        <v>214</v>
      </c>
      <c r="C67" s="8" t="s">
        <v>215</v>
      </c>
      <c r="D67" s="2" t="s">
        <v>194</v>
      </c>
      <c r="E67" s="136">
        <v>0.51050272952342002</v>
      </c>
      <c r="F67" s="121">
        <v>68.05</v>
      </c>
      <c r="G67" s="26">
        <f t="shared" si="9"/>
        <v>34.74</v>
      </c>
      <c r="H67" s="172">
        <f t="shared" si="7"/>
        <v>1.0665045727074298E-2</v>
      </c>
      <c r="I67" s="26">
        <f>ROUND(F67*Прил.10!$D$13,2)</f>
        <v>669.61</v>
      </c>
      <c r="J67" s="26">
        <f t="shared" si="10"/>
        <v>341.84</v>
      </c>
    </row>
    <row r="68" spans="1:10" s="12" customFormat="1" ht="14.25" hidden="1" customHeight="1" outlineLevel="1" x14ac:dyDescent="0.2">
      <c r="A68" s="2">
        <v>44</v>
      </c>
      <c r="B68" s="2" t="s">
        <v>216</v>
      </c>
      <c r="C68" s="8" t="s">
        <v>217</v>
      </c>
      <c r="D68" s="2" t="s">
        <v>176</v>
      </c>
      <c r="E68" s="136">
        <v>1.0999719924967E-3</v>
      </c>
      <c r="F68" s="121">
        <v>28300.400000000001</v>
      </c>
      <c r="G68" s="26">
        <f t="shared" si="9"/>
        <v>31.13</v>
      </c>
      <c r="H68" s="172">
        <f t="shared" si="7"/>
        <v>9.5567896800179304E-3</v>
      </c>
      <c r="I68" s="26">
        <f>ROUND(F68*Прил.10!$D$13,2)</f>
        <v>278475.94</v>
      </c>
      <c r="J68" s="26">
        <f t="shared" si="10"/>
        <v>306.32</v>
      </c>
    </row>
    <row r="69" spans="1:10" s="12" customFormat="1" ht="25.5" hidden="1" customHeight="1" outlineLevel="1" x14ac:dyDescent="0.2">
      <c r="A69" s="2">
        <v>45</v>
      </c>
      <c r="B69" s="2" t="s">
        <v>218</v>
      </c>
      <c r="C69" s="8" t="s">
        <v>219</v>
      </c>
      <c r="D69" s="2" t="s">
        <v>179</v>
      </c>
      <c r="E69" s="136">
        <v>0.34499609698492001</v>
      </c>
      <c r="F69" s="121">
        <v>83</v>
      </c>
      <c r="G69" s="26">
        <f t="shared" si="9"/>
        <v>28.63</v>
      </c>
      <c r="H69" s="172">
        <f t="shared" si="7"/>
        <v>8.7892993427212771E-3</v>
      </c>
      <c r="I69" s="26">
        <f>ROUND(F69*Прил.10!$D$13,2)</f>
        <v>816.72</v>
      </c>
      <c r="J69" s="26">
        <f t="shared" si="10"/>
        <v>281.77</v>
      </c>
    </row>
    <row r="70" spans="1:10" s="12" customFormat="1" ht="14.25" hidden="1" customHeight="1" outlineLevel="1" x14ac:dyDescent="0.2">
      <c r="A70" s="2">
        <v>46</v>
      </c>
      <c r="B70" s="2" t="s">
        <v>220</v>
      </c>
      <c r="C70" s="8" t="s">
        <v>221</v>
      </c>
      <c r="D70" s="2" t="s">
        <v>194</v>
      </c>
      <c r="E70" s="136">
        <v>0.85000098292050996</v>
      </c>
      <c r="F70" s="121">
        <v>32.6</v>
      </c>
      <c r="G70" s="26">
        <f t="shared" si="9"/>
        <v>27.71</v>
      </c>
      <c r="H70" s="172">
        <f t="shared" si="7"/>
        <v>8.5068628985961077E-3</v>
      </c>
      <c r="I70" s="26">
        <f>ROUND(F70*Прил.10!$D$13,2)</f>
        <v>320.77999999999997</v>
      </c>
      <c r="J70" s="26">
        <f t="shared" si="10"/>
        <v>272.66000000000003</v>
      </c>
    </row>
    <row r="71" spans="1:10" s="12" customFormat="1" ht="14.25" hidden="1" customHeight="1" outlineLevel="1" x14ac:dyDescent="0.2">
      <c r="A71" s="2">
        <v>47</v>
      </c>
      <c r="B71" s="2" t="s">
        <v>222</v>
      </c>
      <c r="C71" s="8" t="s">
        <v>223</v>
      </c>
      <c r="D71" s="2" t="s">
        <v>176</v>
      </c>
      <c r="E71" s="136">
        <v>2.1998946615954E-3</v>
      </c>
      <c r="F71" s="121">
        <v>12430</v>
      </c>
      <c r="G71" s="26">
        <f t="shared" si="9"/>
        <v>27.34</v>
      </c>
      <c r="H71" s="172">
        <f t="shared" si="7"/>
        <v>8.3932743286762035E-3</v>
      </c>
      <c r="I71" s="26">
        <f>ROUND(F71*Прил.10!$D$13,2)</f>
        <v>122311.2</v>
      </c>
      <c r="J71" s="26">
        <f t="shared" si="10"/>
        <v>269.07</v>
      </c>
    </row>
    <row r="72" spans="1:10" s="12" customFormat="1" ht="51" hidden="1" customHeight="1" outlineLevel="1" x14ac:dyDescent="0.2">
      <c r="A72" s="2">
        <v>48</v>
      </c>
      <c r="B72" s="2" t="s">
        <v>224</v>
      </c>
      <c r="C72" s="8" t="s">
        <v>225</v>
      </c>
      <c r="D72" s="2" t="s">
        <v>194</v>
      </c>
      <c r="E72" s="136">
        <v>0.29247239503415001</v>
      </c>
      <c r="F72" s="121">
        <v>91.29</v>
      </c>
      <c r="G72" s="26">
        <f t="shared" si="9"/>
        <v>26.7</v>
      </c>
      <c r="H72" s="172">
        <f t="shared" si="7"/>
        <v>8.1967968023282604E-3</v>
      </c>
      <c r="I72" s="26">
        <f>ROUND(F72*Прил.10!$D$13,2)</f>
        <v>898.29</v>
      </c>
      <c r="J72" s="26">
        <f t="shared" si="10"/>
        <v>262.73</v>
      </c>
    </row>
    <row r="73" spans="1:10" s="12" customFormat="1" ht="14.25" hidden="1" customHeight="1" outlineLevel="1" x14ac:dyDescent="0.2">
      <c r="A73" s="2">
        <v>49</v>
      </c>
      <c r="B73" s="2" t="s">
        <v>226</v>
      </c>
      <c r="C73" s="8" t="s">
        <v>227</v>
      </c>
      <c r="D73" s="2" t="s">
        <v>176</v>
      </c>
      <c r="E73" s="136">
        <v>2.3000201864098002E-3</v>
      </c>
      <c r="F73" s="121">
        <v>10315.01</v>
      </c>
      <c r="G73" s="26">
        <f t="shared" si="9"/>
        <v>23.72</v>
      </c>
      <c r="H73" s="172">
        <f t="shared" si="7"/>
        <v>7.2819483202706484E-3</v>
      </c>
      <c r="I73" s="26">
        <f>ROUND(F73*Прил.10!$D$13,2)</f>
        <v>101499.7</v>
      </c>
      <c r="J73" s="26">
        <f t="shared" si="10"/>
        <v>233.45</v>
      </c>
    </row>
    <row r="74" spans="1:10" s="12" customFormat="1" ht="14.25" hidden="1" customHeight="1" outlineLevel="1" x14ac:dyDescent="0.2">
      <c r="A74" s="2">
        <v>50</v>
      </c>
      <c r="B74" s="2" t="s">
        <v>228</v>
      </c>
      <c r="C74" s="8" t="s">
        <v>229</v>
      </c>
      <c r="D74" s="2" t="s">
        <v>230</v>
      </c>
      <c r="E74" s="136">
        <v>0.44999490911076001</v>
      </c>
      <c r="F74" s="121">
        <v>39</v>
      </c>
      <c r="G74" s="26">
        <f t="shared" si="9"/>
        <v>17.55</v>
      </c>
      <c r="H74" s="172">
        <f t="shared" si="7"/>
        <v>5.3877821678225083E-3</v>
      </c>
      <c r="I74" s="26">
        <f>ROUND(F74*Прил.10!$D$13,2)</f>
        <v>383.76</v>
      </c>
      <c r="J74" s="26">
        <f t="shared" si="10"/>
        <v>172.69</v>
      </c>
    </row>
    <row r="75" spans="1:10" s="12" customFormat="1" ht="14.25" hidden="1" customHeight="1" outlineLevel="1" x14ac:dyDescent="0.2">
      <c r="A75" s="2">
        <v>51</v>
      </c>
      <c r="B75" s="2" t="s">
        <v>231</v>
      </c>
      <c r="C75" s="8" t="s">
        <v>232</v>
      </c>
      <c r="D75" s="2" t="s">
        <v>194</v>
      </c>
      <c r="E75" s="136">
        <v>0.35494567358556001</v>
      </c>
      <c r="F75" s="121">
        <v>47.57</v>
      </c>
      <c r="G75" s="26">
        <f t="shared" si="9"/>
        <v>16.88</v>
      </c>
      <c r="H75" s="172">
        <f t="shared" si="7"/>
        <v>5.1820947574270047E-3</v>
      </c>
      <c r="I75" s="26">
        <f>ROUND(F75*Прил.10!$D$13,2)</f>
        <v>468.09</v>
      </c>
      <c r="J75" s="26">
        <f t="shared" si="10"/>
        <v>166.15</v>
      </c>
    </row>
    <row r="76" spans="1:10" s="12" customFormat="1" ht="14.25" hidden="1" customHeight="1" outlineLevel="1" x14ac:dyDescent="0.2">
      <c r="A76" s="2">
        <v>52</v>
      </c>
      <c r="B76" s="2" t="s">
        <v>233</v>
      </c>
      <c r="C76" s="8" t="s">
        <v>234</v>
      </c>
      <c r="D76" s="2" t="s">
        <v>194</v>
      </c>
      <c r="E76" s="136">
        <v>0.44793104198625999</v>
      </c>
      <c r="F76" s="121">
        <v>35.630000000000003</v>
      </c>
      <c r="G76" s="26">
        <f t="shared" si="9"/>
        <v>15.96</v>
      </c>
      <c r="H76" s="172">
        <f t="shared" si="7"/>
        <v>4.899658313301837E-3</v>
      </c>
      <c r="I76" s="26">
        <f>ROUND(F76*Прил.10!$D$13,2)</f>
        <v>350.6</v>
      </c>
      <c r="J76" s="26">
        <f t="shared" si="10"/>
        <v>157.04</v>
      </c>
    </row>
    <row r="77" spans="1:10" s="12" customFormat="1" ht="14.25" hidden="1" customHeight="1" outlineLevel="1" x14ac:dyDescent="0.2">
      <c r="A77" s="2">
        <v>53</v>
      </c>
      <c r="B77" s="2" t="s">
        <v>235</v>
      </c>
      <c r="C77" s="8" t="s">
        <v>236</v>
      </c>
      <c r="D77" s="2" t="s">
        <v>163</v>
      </c>
      <c r="E77" s="136">
        <v>0.2350313329184</v>
      </c>
      <c r="F77" s="121">
        <v>66.819999999999993</v>
      </c>
      <c r="G77" s="26">
        <f t="shared" si="9"/>
        <v>15.7</v>
      </c>
      <c r="H77" s="172">
        <f t="shared" si="7"/>
        <v>4.8198393182229838E-3</v>
      </c>
      <c r="I77" s="26">
        <f>ROUND(F77*Прил.10!$D$13,2)</f>
        <v>657.51</v>
      </c>
      <c r="J77" s="26">
        <f t="shared" si="10"/>
        <v>154.54</v>
      </c>
    </row>
    <row r="78" spans="1:10" s="12" customFormat="1" ht="63.75" hidden="1" customHeight="1" outlineLevel="1" x14ac:dyDescent="0.2">
      <c r="A78" s="2">
        <v>54</v>
      </c>
      <c r="B78" s="2" t="s">
        <v>237</v>
      </c>
      <c r="C78" s="8" t="s">
        <v>238</v>
      </c>
      <c r="D78" s="2" t="s">
        <v>191</v>
      </c>
      <c r="E78" s="136">
        <v>1.4000804328831E-3</v>
      </c>
      <c r="F78" s="121">
        <v>10534.99</v>
      </c>
      <c r="G78" s="26">
        <f t="shared" si="9"/>
        <v>14.75</v>
      </c>
      <c r="H78" s="172">
        <f t="shared" si="7"/>
        <v>4.5281929900502556E-3</v>
      </c>
      <c r="I78" s="26">
        <f>ROUND(F78*Прил.10!$D$13,2)</f>
        <v>103664.3</v>
      </c>
      <c r="J78" s="26">
        <f t="shared" si="10"/>
        <v>145.13999999999999</v>
      </c>
    </row>
    <row r="79" spans="1:10" s="12" customFormat="1" ht="25.5" hidden="1" customHeight="1" outlineLevel="1" x14ac:dyDescent="0.2">
      <c r="A79" s="2">
        <v>55</v>
      </c>
      <c r="B79" s="2" t="s">
        <v>239</v>
      </c>
      <c r="C79" s="8" t="s">
        <v>240</v>
      </c>
      <c r="D79" s="2" t="s">
        <v>230</v>
      </c>
      <c r="E79" s="136">
        <v>0.49998743029575998</v>
      </c>
      <c r="F79" s="121">
        <v>29.4</v>
      </c>
      <c r="G79" s="26">
        <f t="shared" si="9"/>
        <v>14.7</v>
      </c>
      <c r="H79" s="172">
        <f t="shared" si="7"/>
        <v>4.512843183304323E-3</v>
      </c>
      <c r="I79" s="26">
        <f>ROUND(F79*Прил.10!$D$13,2)</f>
        <v>289.3</v>
      </c>
      <c r="J79" s="26">
        <f t="shared" si="10"/>
        <v>144.65</v>
      </c>
    </row>
    <row r="80" spans="1:10" s="12" customFormat="1" ht="14.25" hidden="1" customHeight="1" outlineLevel="1" x14ac:dyDescent="0.2">
      <c r="A80" s="2">
        <v>56</v>
      </c>
      <c r="B80" s="2" t="s">
        <v>241</v>
      </c>
      <c r="C80" s="8" t="s">
        <v>242</v>
      </c>
      <c r="D80" s="2" t="s">
        <v>194</v>
      </c>
      <c r="E80" s="136">
        <v>1.5957323687214999</v>
      </c>
      <c r="F80" s="121">
        <v>9.0399999999999991</v>
      </c>
      <c r="G80" s="26">
        <f t="shared" si="9"/>
        <v>14.43</v>
      </c>
      <c r="H80" s="172">
        <f t="shared" ref="H80:H111" si="11">G80/$G$116</f>
        <v>4.4299542268762841E-3</v>
      </c>
      <c r="I80" s="26">
        <f>ROUND(F80*Прил.10!$D$13,2)</f>
        <v>88.95</v>
      </c>
      <c r="J80" s="26">
        <f t="shared" si="10"/>
        <v>141.94</v>
      </c>
    </row>
    <row r="81" spans="1:10" s="12" customFormat="1" ht="14.25" hidden="1" customHeight="1" outlineLevel="1" x14ac:dyDescent="0.2">
      <c r="A81" s="2">
        <v>57</v>
      </c>
      <c r="B81" s="2" t="s">
        <v>243</v>
      </c>
      <c r="C81" s="8" t="s">
        <v>244</v>
      </c>
      <c r="D81" s="2" t="s">
        <v>176</v>
      </c>
      <c r="E81" s="136">
        <v>7.0005610060125997E-4</v>
      </c>
      <c r="F81" s="121">
        <v>15620</v>
      </c>
      <c r="G81" s="26">
        <f t="shared" si="9"/>
        <v>10.93</v>
      </c>
      <c r="H81" s="172">
        <f t="shared" si="11"/>
        <v>3.3554677546609691E-3</v>
      </c>
      <c r="I81" s="26">
        <f>ROUND(F81*Прил.10!$D$13,2)</f>
        <v>153700.79999999999</v>
      </c>
      <c r="J81" s="26">
        <f t="shared" si="10"/>
        <v>107.6</v>
      </c>
    </row>
    <row r="82" spans="1:10" s="12" customFormat="1" ht="14.25" hidden="1" customHeight="1" outlineLevel="1" x14ac:dyDescent="0.2">
      <c r="A82" s="2">
        <v>58</v>
      </c>
      <c r="B82" s="2" t="s">
        <v>245</v>
      </c>
      <c r="C82" s="8" t="s">
        <v>246</v>
      </c>
      <c r="D82" s="2" t="s">
        <v>179</v>
      </c>
      <c r="E82" s="136">
        <v>4.9999434345639998E-2</v>
      </c>
      <c r="F82" s="121">
        <v>203</v>
      </c>
      <c r="G82" s="26">
        <f t="shared" si="9"/>
        <v>10.15</v>
      </c>
      <c r="H82" s="172">
        <f t="shared" si="11"/>
        <v>3.1160107694244137E-3</v>
      </c>
      <c r="I82" s="26">
        <f>ROUND(F82*Прил.10!$D$13,2)</f>
        <v>1997.52</v>
      </c>
      <c r="J82" s="26">
        <f t="shared" si="10"/>
        <v>99.87</v>
      </c>
    </row>
    <row r="83" spans="1:10" s="12" customFormat="1" ht="38.25" hidden="1" customHeight="1" outlineLevel="1" x14ac:dyDescent="0.2">
      <c r="A83" s="2">
        <v>59</v>
      </c>
      <c r="B83" s="2" t="s">
        <v>247</v>
      </c>
      <c r="C83" s="8" t="s">
        <v>248</v>
      </c>
      <c r="D83" s="2" t="s">
        <v>173</v>
      </c>
      <c r="E83" s="136">
        <v>0.79506494544978001</v>
      </c>
      <c r="F83" s="121">
        <v>12.37</v>
      </c>
      <c r="G83" s="26">
        <f t="shared" si="9"/>
        <v>9.83</v>
      </c>
      <c r="H83" s="172">
        <f t="shared" si="11"/>
        <v>3.0177720062504417E-3</v>
      </c>
      <c r="I83" s="26">
        <f>ROUND(F83*Прил.10!$D$13,2)</f>
        <v>121.72</v>
      </c>
      <c r="J83" s="26">
        <f t="shared" si="10"/>
        <v>96.78</v>
      </c>
    </row>
    <row r="84" spans="1:10" s="12" customFormat="1" ht="14.25" hidden="1" customHeight="1" outlineLevel="1" x14ac:dyDescent="0.2">
      <c r="A84" s="2">
        <v>60</v>
      </c>
      <c r="B84" s="2" t="s">
        <v>249</v>
      </c>
      <c r="C84" s="8" t="s">
        <v>250</v>
      </c>
      <c r="D84" s="2" t="s">
        <v>230</v>
      </c>
      <c r="E84" s="136">
        <v>0.47008558162661002</v>
      </c>
      <c r="F84" s="121">
        <v>19.899999999999999</v>
      </c>
      <c r="G84" s="26">
        <f t="shared" si="9"/>
        <v>9.35</v>
      </c>
      <c r="H84" s="172">
        <f t="shared" si="11"/>
        <v>2.8704138614894844E-3</v>
      </c>
      <c r="I84" s="26">
        <f>ROUND(F84*Прил.10!$D$13,2)</f>
        <v>195.82</v>
      </c>
      <c r="J84" s="26">
        <f t="shared" si="10"/>
        <v>92.05</v>
      </c>
    </row>
    <row r="85" spans="1:10" s="12" customFormat="1" ht="14.25" hidden="1" customHeight="1" outlineLevel="1" x14ac:dyDescent="0.2">
      <c r="A85" s="2">
        <v>61</v>
      </c>
      <c r="B85" s="2" t="s">
        <v>251</v>
      </c>
      <c r="C85" s="8" t="s">
        <v>252</v>
      </c>
      <c r="D85" s="2" t="s">
        <v>179</v>
      </c>
      <c r="E85" s="136">
        <v>0.29003874516771999</v>
      </c>
      <c r="F85" s="121">
        <v>26.6</v>
      </c>
      <c r="G85" s="26">
        <f t="shared" si="9"/>
        <v>7.72</v>
      </c>
      <c r="H85" s="172">
        <f t="shared" si="11"/>
        <v>2.3700101615720661E-3</v>
      </c>
      <c r="I85" s="26">
        <f>ROUND(F85*Прил.10!$D$13,2)</f>
        <v>261.74</v>
      </c>
      <c r="J85" s="26">
        <f t="shared" si="10"/>
        <v>75.91</v>
      </c>
    </row>
    <row r="86" spans="1:10" s="12" customFormat="1" ht="25.5" hidden="1" customHeight="1" outlineLevel="1" x14ac:dyDescent="0.2">
      <c r="A86" s="2">
        <v>62</v>
      </c>
      <c r="B86" s="2" t="s">
        <v>253</v>
      </c>
      <c r="C86" s="8" t="s">
        <v>254</v>
      </c>
      <c r="D86" s="2" t="s">
        <v>194</v>
      </c>
      <c r="E86" s="136">
        <v>0.17500902016482001</v>
      </c>
      <c r="F86" s="121">
        <v>38.340000000000003</v>
      </c>
      <c r="G86" s="26">
        <f t="shared" si="9"/>
        <v>6.71</v>
      </c>
      <c r="H86" s="172">
        <f t="shared" si="11"/>
        <v>2.0599440653042184E-3</v>
      </c>
      <c r="I86" s="26">
        <f>ROUND(F86*Прил.10!$D$13,2)</f>
        <v>377.27</v>
      </c>
      <c r="J86" s="26">
        <f t="shared" si="10"/>
        <v>66.03</v>
      </c>
    </row>
    <row r="87" spans="1:10" s="12" customFormat="1" ht="25.5" hidden="1" customHeight="1" outlineLevel="1" x14ac:dyDescent="0.2">
      <c r="A87" s="2">
        <v>63</v>
      </c>
      <c r="B87" s="2" t="s">
        <v>255</v>
      </c>
      <c r="C87" s="8" t="s">
        <v>256</v>
      </c>
      <c r="D87" s="2" t="s">
        <v>205</v>
      </c>
      <c r="E87" s="136">
        <v>9.8498885660909998E-3</v>
      </c>
      <c r="F87" s="121">
        <v>600</v>
      </c>
      <c r="G87" s="26">
        <f t="shared" si="9"/>
        <v>5.91</v>
      </c>
      <c r="H87" s="172">
        <f t="shared" si="11"/>
        <v>1.814347157369289E-3</v>
      </c>
      <c r="I87" s="26">
        <f>ROUND(F87*Прил.10!$D$13,2)</f>
        <v>5904</v>
      </c>
      <c r="J87" s="26">
        <f t="shared" si="10"/>
        <v>58.15</v>
      </c>
    </row>
    <row r="88" spans="1:10" s="12" customFormat="1" ht="14.25" hidden="1" customHeight="1" outlineLevel="1" x14ac:dyDescent="0.2">
      <c r="A88" s="2">
        <v>64</v>
      </c>
      <c r="B88" s="2" t="s">
        <v>257</v>
      </c>
      <c r="C88" s="8" t="s">
        <v>258</v>
      </c>
      <c r="D88" s="2" t="s">
        <v>179</v>
      </c>
      <c r="E88" s="136">
        <v>6.3022542826364006E-2</v>
      </c>
      <c r="F88" s="121">
        <v>86</v>
      </c>
      <c r="G88" s="26">
        <f t="shared" si="9"/>
        <v>5.42</v>
      </c>
      <c r="H88" s="172">
        <f t="shared" si="11"/>
        <v>1.663919051259145E-3</v>
      </c>
      <c r="I88" s="26">
        <f>ROUND(F88*Прил.10!$D$13,2)</f>
        <v>846.24</v>
      </c>
      <c r="J88" s="26">
        <f t="shared" si="10"/>
        <v>53.33</v>
      </c>
    </row>
    <row r="89" spans="1:10" s="12" customFormat="1" ht="14.25" hidden="1" customHeight="1" outlineLevel="1" x14ac:dyDescent="0.2">
      <c r="A89" s="2">
        <v>65</v>
      </c>
      <c r="B89" s="2" t="s">
        <v>259</v>
      </c>
      <c r="C89" s="8" t="s">
        <v>260</v>
      </c>
      <c r="D89" s="2" t="s">
        <v>194</v>
      </c>
      <c r="E89" s="136">
        <v>0.16206340710750999</v>
      </c>
      <c r="F89" s="121">
        <v>28.6</v>
      </c>
      <c r="G89" s="26">
        <f t="shared" si="9"/>
        <v>4.6399999999999997</v>
      </c>
      <c r="H89" s="172">
        <f t="shared" si="11"/>
        <v>1.4244620660225889E-3</v>
      </c>
      <c r="I89" s="26">
        <f>ROUND(F89*Прил.10!$D$13,2)</f>
        <v>281.42</v>
      </c>
      <c r="J89" s="26">
        <f t="shared" si="10"/>
        <v>45.61</v>
      </c>
    </row>
    <row r="90" spans="1:10" s="12" customFormat="1" ht="14.25" hidden="1" customHeight="1" outlineLevel="1" x14ac:dyDescent="0.2">
      <c r="A90" s="2">
        <v>66</v>
      </c>
      <c r="B90" s="2" t="s">
        <v>261</v>
      </c>
      <c r="C90" s="8" t="s">
        <v>262</v>
      </c>
      <c r="D90" s="2" t="s">
        <v>176</v>
      </c>
      <c r="E90" s="136">
        <v>4.5010106502232997E-4</v>
      </c>
      <c r="F90" s="121">
        <v>9420</v>
      </c>
      <c r="G90" s="26">
        <f t="shared" si="9"/>
        <v>4.24</v>
      </c>
      <c r="H90" s="172">
        <f t="shared" si="11"/>
        <v>1.3016636120551245E-3</v>
      </c>
      <c r="I90" s="26">
        <f>ROUND(F90*Прил.10!$D$13,2)</f>
        <v>92692.800000000003</v>
      </c>
      <c r="J90" s="26">
        <f t="shared" si="10"/>
        <v>41.72</v>
      </c>
    </row>
    <row r="91" spans="1:10" s="12" customFormat="1" ht="14.25" hidden="1" customHeight="1" outlineLevel="1" x14ac:dyDescent="0.2">
      <c r="A91" s="2">
        <v>67</v>
      </c>
      <c r="B91" s="2" t="s">
        <v>263</v>
      </c>
      <c r="C91" s="8" t="s">
        <v>264</v>
      </c>
      <c r="D91" s="2" t="s">
        <v>265</v>
      </c>
      <c r="E91" s="136">
        <v>1.5055385230741999E-2</v>
      </c>
      <c r="F91" s="121">
        <v>270</v>
      </c>
      <c r="G91" s="26">
        <f t="shared" si="9"/>
        <v>4.0599999999999996</v>
      </c>
      <c r="H91" s="172">
        <f t="shared" si="11"/>
        <v>1.2464043077697652E-3</v>
      </c>
      <c r="I91" s="26">
        <f>ROUND(F91*Прил.10!$D$13,2)</f>
        <v>2656.8</v>
      </c>
      <c r="J91" s="26">
        <f t="shared" si="10"/>
        <v>40</v>
      </c>
    </row>
    <row r="92" spans="1:10" s="12" customFormat="1" ht="14.25" hidden="1" customHeight="1" outlineLevel="1" x14ac:dyDescent="0.2">
      <c r="A92" s="2">
        <v>68</v>
      </c>
      <c r="B92" s="2" t="s">
        <v>266</v>
      </c>
      <c r="C92" s="8" t="s">
        <v>267</v>
      </c>
      <c r="D92" s="2" t="s">
        <v>176</v>
      </c>
      <c r="E92" s="136">
        <v>3.5000779979084E-4</v>
      </c>
      <c r="F92" s="121">
        <v>10971.06</v>
      </c>
      <c r="G92" s="26">
        <f t="shared" si="9"/>
        <v>3.84</v>
      </c>
      <c r="H92" s="172">
        <f t="shared" si="11"/>
        <v>1.1788651580876598E-3</v>
      </c>
      <c r="I92" s="26">
        <f>ROUND(F92*Прил.10!$D$13,2)</f>
        <v>107955.23</v>
      </c>
      <c r="J92" s="26">
        <f t="shared" si="10"/>
        <v>37.79</v>
      </c>
    </row>
    <row r="93" spans="1:10" s="12" customFormat="1" ht="14.25" hidden="1" customHeight="1" outlineLevel="1" x14ac:dyDescent="0.2">
      <c r="A93" s="2">
        <v>69</v>
      </c>
      <c r="B93" s="2" t="s">
        <v>268</v>
      </c>
      <c r="C93" s="8" t="s">
        <v>269</v>
      </c>
      <c r="D93" s="2" t="s">
        <v>194</v>
      </c>
      <c r="E93" s="136">
        <v>0.31503537450063002</v>
      </c>
      <c r="F93" s="121">
        <v>10.57</v>
      </c>
      <c r="G93" s="26">
        <f t="shared" si="9"/>
        <v>3.33</v>
      </c>
      <c r="H93" s="172">
        <f t="shared" si="11"/>
        <v>1.0222971292791426E-3</v>
      </c>
      <c r="I93" s="26">
        <f>ROUND(F93*Прил.10!$D$13,2)</f>
        <v>104.01</v>
      </c>
      <c r="J93" s="26">
        <f t="shared" si="10"/>
        <v>32.770000000000003</v>
      </c>
    </row>
    <row r="94" spans="1:10" s="12" customFormat="1" ht="25.5" hidden="1" customHeight="1" outlineLevel="1" x14ac:dyDescent="0.2">
      <c r="A94" s="2">
        <v>70</v>
      </c>
      <c r="B94" s="2" t="s">
        <v>270</v>
      </c>
      <c r="C94" s="8" t="s">
        <v>271</v>
      </c>
      <c r="D94" s="2" t="s">
        <v>194</v>
      </c>
      <c r="E94" s="136">
        <v>9.9929725134709005E-2</v>
      </c>
      <c r="F94" s="121">
        <v>28.22</v>
      </c>
      <c r="G94" s="26">
        <f t="shared" si="9"/>
        <v>2.82</v>
      </c>
      <c r="H94" s="172">
        <f t="shared" si="11"/>
        <v>8.6572910047062518E-4</v>
      </c>
      <c r="I94" s="26">
        <f>ROUND(F94*Прил.10!$D$13,2)</f>
        <v>277.68</v>
      </c>
      <c r="J94" s="26">
        <f t="shared" si="10"/>
        <v>27.75</v>
      </c>
    </row>
    <row r="95" spans="1:10" s="12" customFormat="1" ht="25.5" hidden="1" customHeight="1" outlineLevel="1" x14ac:dyDescent="0.2">
      <c r="A95" s="2">
        <v>71</v>
      </c>
      <c r="B95" s="2" t="s">
        <v>272</v>
      </c>
      <c r="C95" s="8" t="s">
        <v>273</v>
      </c>
      <c r="D95" s="2" t="s">
        <v>176</v>
      </c>
      <c r="E95" s="196">
        <v>4.9961653625568998E-5</v>
      </c>
      <c r="F95" s="121">
        <v>52539.7</v>
      </c>
      <c r="G95" s="26">
        <f t="shared" si="9"/>
        <v>2.62</v>
      </c>
      <c r="H95" s="172">
        <f t="shared" si="11"/>
        <v>8.0432987348689295E-4</v>
      </c>
      <c r="I95" s="26">
        <f>ROUND(F95*Прил.10!$D$13,2)</f>
        <v>516990.65</v>
      </c>
      <c r="J95" s="26">
        <f t="shared" si="10"/>
        <v>25.83</v>
      </c>
    </row>
    <row r="96" spans="1:10" s="12" customFormat="1" ht="14.25" hidden="1" customHeight="1" outlineLevel="1" x14ac:dyDescent="0.2">
      <c r="A96" s="2">
        <v>72</v>
      </c>
      <c r="B96" s="2" t="s">
        <v>274</v>
      </c>
      <c r="C96" s="8" t="s">
        <v>275</v>
      </c>
      <c r="D96" s="2" t="s">
        <v>194</v>
      </c>
      <c r="E96" s="136">
        <v>9.3991925186565004E-2</v>
      </c>
      <c r="F96" s="121">
        <v>25.8</v>
      </c>
      <c r="G96" s="26">
        <f t="shared" si="9"/>
        <v>2.42</v>
      </c>
      <c r="H96" s="172">
        <f t="shared" si="11"/>
        <v>7.4293064650316062E-4</v>
      </c>
      <c r="I96" s="26">
        <f>ROUND(F96*Прил.10!$D$13,2)</f>
        <v>253.87</v>
      </c>
      <c r="J96" s="26">
        <f t="shared" si="10"/>
        <v>23.86</v>
      </c>
    </row>
    <row r="97" spans="1:10" s="12" customFormat="1" ht="25.5" hidden="1" customHeight="1" outlineLevel="1" x14ac:dyDescent="0.2">
      <c r="A97" s="2">
        <v>73</v>
      </c>
      <c r="B97" s="2" t="s">
        <v>276</v>
      </c>
      <c r="C97" s="8" t="s">
        <v>277</v>
      </c>
      <c r="D97" s="2" t="s">
        <v>194</v>
      </c>
      <c r="E97" s="136">
        <v>9.5926030652157004E-2</v>
      </c>
      <c r="F97" s="121">
        <v>23.09</v>
      </c>
      <c r="G97" s="26">
        <f t="shared" si="9"/>
        <v>2.21</v>
      </c>
      <c r="H97" s="172">
        <f t="shared" si="11"/>
        <v>6.7846145817024176E-4</v>
      </c>
      <c r="I97" s="26">
        <f>ROUND(F97*Прил.10!$D$13,2)</f>
        <v>227.21</v>
      </c>
      <c r="J97" s="26">
        <f t="shared" si="10"/>
        <v>21.8</v>
      </c>
    </row>
    <row r="98" spans="1:10" s="12" customFormat="1" ht="14.25" hidden="1" customHeight="1" outlineLevel="1" x14ac:dyDescent="0.2">
      <c r="A98" s="2">
        <v>74</v>
      </c>
      <c r="B98" s="2" t="s">
        <v>278</v>
      </c>
      <c r="C98" s="8" t="s">
        <v>279</v>
      </c>
      <c r="D98" s="2" t="s">
        <v>280</v>
      </c>
      <c r="E98" s="136">
        <v>0.22507980082397999</v>
      </c>
      <c r="F98" s="121">
        <v>8.33</v>
      </c>
      <c r="G98" s="26">
        <f t="shared" ref="G98:G129" si="12">ROUND(E98*F98,2)</f>
        <v>1.87</v>
      </c>
      <c r="H98" s="172">
        <f t="shared" si="11"/>
        <v>5.7408277229789692E-4</v>
      </c>
      <c r="I98" s="26">
        <f>ROUND(F98*Прил.10!$D$13,2)</f>
        <v>81.97</v>
      </c>
      <c r="J98" s="26">
        <f t="shared" ref="J98:J129" si="13">ROUND(I98*E98,2)</f>
        <v>18.45</v>
      </c>
    </row>
    <row r="99" spans="1:10" s="12" customFormat="1" ht="38.25" hidden="1" customHeight="1" outlineLevel="1" x14ac:dyDescent="0.2">
      <c r="A99" s="2">
        <v>75</v>
      </c>
      <c r="B99" s="2" t="s">
        <v>281</v>
      </c>
      <c r="C99" s="8" t="s">
        <v>282</v>
      </c>
      <c r="D99" s="2" t="s">
        <v>176</v>
      </c>
      <c r="E99" s="196">
        <v>4.9976778206187002E-5</v>
      </c>
      <c r="F99" s="121">
        <v>37517</v>
      </c>
      <c r="G99" s="26">
        <f t="shared" si="12"/>
        <v>1.87</v>
      </c>
      <c r="H99" s="172">
        <f t="shared" si="11"/>
        <v>5.7408277229789692E-4</v>
      </c>
      <c r="I99" s="26">
        <f>ROUND(F99*Прил.10!$D$13,2)</f>
        <v>369167.28</v>
      </c>
      <c r="J99" s="26">
        <f t="shared" si="13"/>
        <v>18.45</v>
      </c>
    </row>
    <row r="100" spans="1:10" s="12" customFormat="1" ht="38.25" hidden="1" customHeight="1" outlineLevel="1" x14ac:dyDescent="0.2">
      <c r="A100" s="2">
        <v>76</v>
      </c>
      <c r="B100" s="2" t="s">
        <v>283</v>
      </c>
      <c r="C100" s="8" t="s">
        <v>284</v>
      </c>
      <c r="D100" s="2" t="s">
        <v>194</v>
      </c>
      <c r="E100" s="136">
        <v>5.3946036751767998E-2</v>
      </c>
      <c r="F100" s="121">
        <v>30.4</v>
      </c>
      <c r="G100" s="26">
        <f t="shared" si="12"/>
        <v>1.64</v>
      </c>
      <c r="H100" s="172">
        <f t="shared" si="11"/>
        <v>5.0347366126660467E-4</v>
      </c>
      <c r="I100" s="26">
        <f>ROUND(F100*Прил.10!$D$13,2)</f>
        <v>299.14</v>
      </c>
      <c r="J100" s="26">
        <f t="shared" si="13"/>
        <v>16.14</v>
      </c>
    </row>
    <row r="101" spans="1:10" s="12" customFormat="1" ht="14.25" hidden="1" customHeight="1" outlineLevel="1" x14ac:dyDescent="0.2">
      <c r="A101" s="2">
        <v>77</v>
      </c>
      <c r="B101" s="2" t="s">
        <v>285</v>
      </c>
      <c r="C101" s="8" t="s">
        <v>286</v>
      </c>
      <c r="D101" s="2" t="s">
        <v>194</v>
      </c>
      <c r="E101" s="136">
        <v>3.2021332651027003E-2</v>
      </c>
      <c r="F101" s="121">
        <v>44.97</v>
      </c>
      <c r="G101" s="26">
        <f t="shared" si="12"/>
        <v>1.44</v>
      </c>
      <c r="H101" s="172">
        <f t="shared" si="11"/>
        <v>4.4207443428287245E-4</v>
      </c>
      <c r="I101" s="26">
        <f>ROUND(F101*Прил.10!$D$13,2)</f>
        <v>442.5</v>
      </c>
      <c r="J101" s="26">
        <f t="shared" si="13"/>
        <v>14.17</v>
      </c>
    </row>
    <row r="102" spans="1:10" s="12" customFormat="1" ht="14.25" hidden="1" customHeight="1" outlineLevel="1" x14ac:dyDescent="0.2">
      <c r="A102" s="2">
        <v>78</v>
      </c>
      <c r="B102" s="2" t="s">
        <v>287</v>
      </c>
      <c r="C102" s="8" t="s">
        <v>288</v>
      </c>
      <c r="D102" s="2" t="s">
        <v>289</v>
      </c>
      <c r="E102" s="136">
        <v>2.5066383085280999E-2</v>
      </c>
      <c r="F102" s="121">
        <v>37.5</v>
      </c>
      <c r="G102" s="26">
        <f t="shared" si="12"/>
        <v>0.94</v>
      </c>
      <c r="H102" s="172">
        <f t="shared" si="11"/>
        <v>2.8857636682354173E-4</v>
      </c>
      <c r="I102" s="26">
        <f>ROUND(F102*Прил.10!$D$13,2)</f>
        <v>369</v>
      </c>
      <c r="J102" s="26">
        <f t="shared" si="13"/>
        <v>9.25</v>
      </c>
    </row>
    <row r="103" spans="1:10" s="12" customFormat="1" ht="14.25" hidden="1" customHeight="1" outlineLevel="1" x14ac:dyDescent="0.2">
      <c r="A103" s="2">
        <v>79</v>
      </c>
      <c r="B103" s="2" t="s">
        <v>290</v>
      </c>
      <c r="C103" s="8" t="s">
        <v>291</v>
      </c>
      <c r="D103" s="2" t="s">
        <v>292</v>
      </c>
      <c r="E103" s="136">
        <v>2.3475876544337</v>
      </c>
      <c r="F103" s="121">
        <v>0.4</v>
      </c>
      <c r="G103" s="26">
        <f t="shared" si="12"/>
        <v>0.94</v>
      </c>
      <c r="H103" s="172">
        <f t="shared" si="11"/>
        <v>2.8857636682354173E-4</v>
      </c>
      <c r="I103" s="26">
        <f>ROUND(F103*Прил.10!$D$13,2)</f>
        <v>3.94</v>
      </c>
      <c r="J103" s="26">
        <f t="shared" si="13"/>
        <v>9.25</v>
      </c>
    </row>
    <row r="104" spans="1:10" s="12" customFormat="1" ht="14.25" hidden="1" customHeight="1" outlineLevel="1" x14ac:dyDescent="0.2">
      <c r="A104" s="2">
        <v>80</v>
      </c>
      <c r="B104" s="2" t="s">
        <v>293</v>
      </c>
      <c r="C104" s="8" t="s">
        <v>294</v>
      </c>
      <c r="D104" s="2" t="s">
        <v>176</v>
      </c>
      <c r="E104" s="136">
        <v>1.1027579544444E-3</v>
      </c>
      <c r="F104" s="121">
        <v>729.98</v>
      </c>
      <c r="G104" s="26">
        <f t="shared" si="12"/>
        <v>0.8</v>
      </c>
      <c r="H104" s="172">
        <f t="shared" si="11"/>
        <v>2.4559690793492917E-4</v>
      </c>
      <c r="I104" s="26">
        <f>ROUND(F104*Прил.10!$D$13,2)</f>
        <v>7183</v>
      </c>
      <c r="J104" s="26">
        <f t="shared" si="13"/>
        <v>7.92</v>
      </c>
    </row>
    <row r="105" spans="1:10" s="12" customFormat="1" ht="14.25" hidden="1" customHeight="1" outlineLevel="1" x14ac:dyDescent="0.2">
      <c r="A105" s="2">
        <v>81</v>
      </c>
      <c r="B105" s="2" t="s">
        <v>295</v>
      </c>
      <c r="C105" s="8" t="s">
        <v>296</v>
      </c>
      <c r="D105" s="2" t="s">
        <v>194</v>
      </c>
      <c r="E105" s="136">
        <v>2.5053936958013001E-2</v>
      </c>
      <c r="F105" s="121">
        <v>27.74</v>
      </c>
      <c r="G105" s="26">
        <f t="shared" si="12"/>
        <v>0.69</v>
      </c>
      <c r="H105" s="172">
        <f t="shared" si="11"/>
        <v>2.1182733309387636E-4</v>
      </c>
      <c r="I105" s="26">
        <f>ROUND(F105*Прил.10!$D$13,2)</f>
        <v>272.95999999999998</v>
      </c>
      <c r="J105" s="26">
        <f t="shared" si="13"/>
        <v>6.84</v>
      </c>
    </row>
    <row r="106" spans="1:10" s="12" customFormat="1" ht="14.25" hidden="1" customHeight="1" outlineLevel="1" x14ac:dyDescent="0.2">
      <c r="A106" s="2">
        <v>82</v>
      </c>
      <c r="B106" s="2" t="s">
        <v>297</v>
      </c>
      <c r="C106" s="8" t="s">
        <v>298</v>
      </c>
      <c r="D106" s="2" t="s">
        <v>194</v>
      </c>
      <c r="E106" s="136">
        <v>5.0085854929392002E-3</v>
      </c>
      <c r="F106" s="121">
        <v>138.76</v>
      </c>
      <c r="G106" s="26">
        <f t="shared" si="12"/>
        <v>0.69</v>
      </c>
      <c r="H106" s="172">
        <f t="shared" si="11"/>
        <v>2.1182733309387636E-4</v>
      </c>
      <c r="I106" s="26">
        <f>ROUND(F106*Прил.10!$D$13,2)</f>
        <v>1365.4</v>
      </c>
      <c r="J106" s="26">
        <f t="shared" si="13"/>
        <v>6.84</v>
      </c>
    </row>
    <row r="107" spans="1:10" s="12" customFormat="1" ht="14.25" hidden="1" customHeight="1" outlineLevel="1" x14ac:dyDescent="0.2">
      <c r="A107" s="2">
        <v>83</v>
      </c>
      <c r="B107" s="2" t="s">
        <v>299</v>
      </c>
      <c r="C107" s="8" t="s">
        <v>300</v>
      </c>
      <c r="D107" s="2" t="s">
        <v>176</v>
      </c>
      <c r="E107" s="136">
        <v>9.9743884325334E-5</v>
      </c>
      <c r="F107" s="121">
        <v>6667</v>
      </c>
      <c r="G107" s="26">
        <f t="shared" si="12"/>
        <v>0.66</v>
      </c>
      <c r="H107" s="172">
        <f t="shared" si="11"/>
        <v>2.0261744904631656E-4</v>
      </c>
      <c r="I107" s="26">
        <f>ROUND(F107*Прил.10!$D$13,2)</f>
        <v>65603.28</v>
      </c>
      <c r="J107" s="26">
        <f t="shared" si="13"/>
        <v>6.54</v>
      </c>
    </row>
    <row r="108" spans="1:10" s="12" customFormat="1" ht="14.25" hidden="1" customHeight="1" outlineLevel="1" x14ac:dyDescent="0.2">
      <c r="A108" s="2">
        <v>84</v>
      </c>
      <c r="B108" s="2" t="s">
        <v>301</v>
      </c>
      <c r="C108" s="8" t="s">
        <v>302</v>
      </c>
      <c r="D108" s="2" t="s">
        <v>194</v>
      </c>
      <c r="E108" s="136">
        <v>4.5095387352168002E-3</v>
      </c>
      <c r="F108" s="121">
        <v>133.05000000000001</v>
      </c>
      <c r="G108" s="26">
        <f t="shared" si="12"/>
        <v>0.6</v>
      </c>
      <c r="H108" s="172">
        <f t="shared" si="11"/>
        <v>1.8419768095119684E-4</v>
      </c>
      <c r="I108" s="26">
        <f>ROUND(F108*Прил.10!$D$13,2)</f>
        <v>1309.21</v>
      </c>
      <c r="J108" s="26">
        <f t="shared" si="13"/>
        <v>5.9</v>
      </c>
    </row>
    <row r="109" spans="1:10" s="12" customFormat="1" ht="25.5" hidden="1" customHeight="1" outlineLevel="1" x14ac:dyDescent="0.2">
      <c r="A109" s="2">
        <v>85</v>
      </c>
      <c r="B109" s="2" t="s">
        <v>303</v>
      </c>
      <c r="C109" s="8" t="s">
        <v>304</v>
      </c>
      <c r="D109" s="2" t="s">
        <v>194</v>
      </c>
      <c r="E109" s="136">
        <v>4.9903343184181E-3</v>
      </c>
      <c r="F109" s="121">
        <v>114.22</v>
      </c>
      <c r="G109" s="26">
        <f t="shared" si="12"/>
        <v>0.56999999999999995</v>
      </c>
      <c r="H109" s="172">
        <f t="shared" si="11"/>
        <v>1.74987796903637E-4</v>
      </c>
      <c r="I109" s="26">
        <f>ROUND(F109*Прил.10!$D$13,2)</f>
        <v>1123.92</v>
      </c>
      <c r="J109" s="26">
        <f t="shared" si="13"/>
        <v>5.61</v>
      </c>
    </row>
    <row r="110" spans="1:10" s="12" customFormat="1" ht="25.5" hidden="1" customHeight="1" outlineLevel="1" x14ac:dyDescent="0.2">
      <c r="A110" s="2">
        <v>86</v>
      </c>
      <c r="B110" s="2" t="s">
        <v>305</v>
      </c>
      <c r="C110" s="8" t="s">
        <v>306</v>
      </c>
      <c r="D110" s="2" t="s">
        <v>265</v>
      </c>
      <c r="E110" s="136">
        <v>2.0094351408483E-3</v>
      </c>
      <c r="F110" s="121">
        <v>253.8</v>
      </c>
      <c r="G110" s="26">
        <f t="shared" si="12"/>
        <v>0.51</v>
      </c>
      <c r="H110" s="172">
        <f t="shared" si="11"/>
        <v>1.5656802880851734E-4</v>
      </c>
      <c r="I110" s="26">
        <f>ROUND(F110*Прил.10!$D$13,2)</f>
        <v>2497.39</v>
      </c>
      <c r="J110" s="26">
        <f t="shared" si="13"/>
        <v>5.0199999999999996</v>
      </c>
    </row>
    <row r="111" spans="1:10" s="12" customFormat="1" ht="14.25" hidden="1" customHeight="1" outlineLevel="1" x14ac:dyDescent="0.2">
      <c r="A111" s="2">
        <v>87</v>
      </c>
      <c r="B111" s="2" t="s">
        <v>307</v>
      </c>
      <c r="C111" s="8" t="s">
        <v>308</v>
      </c>
      <c r="D111" s="2" t="s">
        <v>194</v>
      </c>
      <c r="E111" s="136">
        <v>1.4964125867635E-2</v>
      </c>
      <c r="F111" s="121">
        <v>15.37</v>
      </c>
      <c r="G111" s="26">
        <f t="shared" si="12"/>
        <v>0.23</v>
      </c>
      <c r="H111" s="172">
        <f t="shared" si="11"/>
        <v>7.0609111031292126E-5</v>
      </c>
      <c r="I111" s="26">
        <f>ROUND(F111*Прил.10!$D$13,2)</f>
        <v>151.24</v>
      </c>
      <c r="J111" s="26">
        <f t="shared" si="13"/>
        <v>2.2599999999999998</v>
      </c>
    </row>
    <row r="112" spans="1:10" s="12" customFormat="1" ht="14.25" hidden="1" customHeight="1" outlineLevel="1" x14ac:dyDescent="0.2">
      <c r="A112" s="2">
        <v>88</v>
      </c>
      <c r="B112" s="2" t="s">
        <v>309</v>
      </c>
      <c r="C112" s="8" t="s">
        <v>310</v>
      </c>
      <c r="D112" s="2" t="s">
        <v>194</v>
      </c>
      <c r="E112" s="136">
        <v>1.2389091807882001E-2</v>
      </c>
      <c r="F112" s="121">
        <v>16.95</v>
      </c>
      <c r="G112" s="26">
        <f t="shared" si="12"/>
        <v>0.21</v>
      </c>
      <c r="H112" s="172">
        <f t="shared" ref="H112:H143" si="14">G112/$G$116</f>
        <v>6.4469188332918903E-5</v>
      </c>
      <c r="I112" s="26">
        <f>ROUND(F112*Прил.10!$D$13,2)</f>
        <v>166.79</v>
      </c>
      <c r="J112" s="26">
        <f t="shared" si="13"/>
        <v>2.0699999999999998</v>
      </c>
    </row>
    <row r="113" spans="1:10" s="12" customFormat="1" ht="25.5" hidden="1" customHeight="1" outlineLevel="1" x14ac:dyDescent="0.2">
      <c r="A113" s="2">
        <v>89</v>
      </c>
      <c r="B113" s="2" t="s">
        <v>311</v>
      </c>
      <c r="C113" s="8" t="s">
        <v>312</v>
      </c>
      <c r="D113" s="2" t="s">
        <v>194</v>
      </c>
      <c r="E113" s="136">
        <v>2.8284408767493001E-3</v>
      </c>
      <c r="F113" s="121">
        <v>38.89</v>
      </c>
      <c r="G113" s="26">
        <f t="shared" si="12"/>
        <v>0.11</v>
      </c>
      <c r="H113" s="172">
        <f t="shared" si="14"/>
        <v>3.3769574841052757E-5</v>
      </c>
      <c r="I113" s="26">
        <f>ROUND(F113*Прил.10!$D$13,2)</f>
        <v>382.68</v>
      </c>
      <c r="J113" s="26">
        <f t="shared" si="13"/>
        <v>1.08</v>
      </c>
    </row>
    <row r="114" spans="1:10" s="12" customFormat="1" ht="14.25" hidden="1" customHeight="1" outlineLevel="1" x14ac:dyDescent="0.2">
      <c r="A114" s="2">
        <v>90</v>
      </c>
      <c r="B114" s="2" t="s">
        <v>313</v>
      </c>
      <c r="C114" s="8" t="s">
        <v>314</v>
      </c>
      <c r="D114" s="2" t="s">
        <v>194</v>
      </c>
      <c r="E114" s="136">
        <v>4.3477768996208997E-3</v>
      </c>
      <c r="F114" s="121">
        <v>11.5</v>
      </c>
      <c r="G114" s="26">
        <f t="shared" si="12"/>
        <v>0.05</v>
      </c>
      <c r="H114" s="172">
        <f t="shared" si="14"/>
        <v>1.5349806745933073E-5</v>
      </c>
      <c r="I114" s="26">
        <f>ROUND(F114*Прил.10!$D$13,2)</f>
        <v>113.16</v>
      </c>
      <c r="J114" s="26">
        <f t="shared" si="13"/>
        <v>0.49</v>
      </c>
    </row>
    <row r="115" spans="1:10" s="12" customFormat="1" ht="14.25" customHeight="1" collapsed="1" x14ac:dyDescent="0.2">
      <c r="A115" s="2"/>
      <c r="B115" s="2"/>
      <c r="C115" s="8" t="s">
        <v>386</v>
      </c>
      <c r="D115" s="2"/>
      <c r="E115" s="192"/>
      <c r="F115" s="121"/>
      <c r="G115" s="26">
        <f>SUM(G66:G114)</f>
        <v>454.86</v>
      </c>
      <c r="H115" s="172">
        <f t="shared" si="14"/>
        <v>0.13964026192910234</v>
      </c>
      <c r="I115" s="26"/>
      <c r="J115" s="26">
        <f>SUM(J66:J114)</f>
        <v>4476.58</v>
      </c>
    </row>
    <row r="116" spans="1:10" s="12" customFormat="1" ht="14.25" customHeight="1" x14ac:dyDescent="0.2">
      <c r="A116" s="2"/>
      <c r="B116" s="2"/>
      <c r="C116" s="119" t="s">
        <v>387</v>
      </c>
      <c r="D116" s="2"/>
      <c r="E116" s="192"/>
      <c r="F116" s="121"/>
      <c r="G116" s="26">
        <f>G65+G115</f>
        <v>3257.3699999999994</v>
      </c>
      <c r="H116" s="193">
        <f t="shared" si="14"/>
        <v>1</v>
      </c>
      <c r="I116" s="26"/>
      <c r="J116" s="26">
        <f>J65+J115</f>
        <v>32053.15</v>
      </c>
    </row>
    <row r="117" spans="1:10" s="12" customFormat="1" ht="14.25" customHeight="1" x14ac:dyDescent="0.2">
      <c r="A117" s="2"/>
      <c r="B117" s="2"/>
      <c r="C117" s="8" t="s">
        <v>388</v>
      </c>
      <c r="D117" s="2"/>
      <c r="E117" s="192"/>
      <c r="F117" s="121"/>
      <c r="G117" s="26">
        <f>G14+G33+G116</f>
        <v>12655.39</v>
      </c>
      <c r="H117" s="193"/>
      <c r="I117" s="26"/>
      <c r="J117" s="26">
        <f>J14+J33+J116</f>
        <v>362089.09</v>
      </c>
    </row>
    <row r="118" spans="1:10" s="12" customFormat="1" ht="14.25" customHeight="1" x14ac:dyDescent="0.2">
      <c r="A118" s="2"/>
      <c r="B118" s="2"/>
      <c r="C118" s="8" t="s">
        <v>389</v>
      </c>
      <c r="D118" s="123">
        <f>ROUND(G118/(G$16+$G$14),2)</f>
        <v>1.6</v>
      </c>
      <c r="E118" s="192"/>
      <c r="F118" s="121"/>
      <c r="G118" s="26">
        <v>11581.32</v>
      </c>
      <c r="H118" s="193"/>
      <c r="I118" s="26"/>
      <c r="J118" s="26">
        <f>ROUND(D118*(J14+J16),2)</f>
        <v>521728.34</v>
      </c>
    </row>
    <row r="119" spans="1:10" s="12" customFormat="1" ht="14.25" customHeight="1" x14ac:dyDescent="0.2">
      <c r="A119" s="2"/>
      <c r="B119" s="2"/>
      <c r="C119" s="8" t="s">
        <v>390</v>
      </c>
      <c r="D119" s="123">
        <f>ROUND(G119/(G$14+G$16),2)</f>
        <v>1.1599999999999999</v>
      </c>
      <c r="E119" s="192"/>
      <c r="F119" s="121"/>
      <c r="G119" s="26">
        <v>8412.65</v>
      </c>
      <c r="H119" s="193"/>
      <c r="I119" s="26"/>
      <c r="J119" s="26">
        <f>ROUND(D119*(J14+J16),2)</f>
        <v>378253.04</v>
      </c>
    </row>
    <row r="120" spans="1:10" s="12" customFormat="1" ht="14.25" customHeight="1" x14ac:dyDescent="0.2">
      <c r="A120" s="2"/>
      <c r="B120" s="2"/>
      <c r="C120" s="8" t="s">
        <v>391</v>
      </c>
      <c r="D120" s="2"/>
      <c r="E120" s="192"/>
      <c r="F120" s="121"/>
      <c r="G120" s="26">
        <f>G14+G33+G116+G118+G119</f>
        <v>32649.360000000001</v>
      </c>
      <c r="H120" s="193"/>
      <c r="I120" s="26"/>
      <c r="J120" s="26">
        <f>J14+J33+J116+J118+J119</f>
        <v>1262070.47</v>
      </c>
    </row>
    <row r="121" spans="1:10" s="12" customFormat="1" ht="14.25" customHeight="1" x14ac:dyDescent="0.2">
      <c r="A121" s="2"/>
      <c r="B121" s="2"/>
      <c r="C121" s="8" t="s">
        <v>392</v>
      </c>
      <c r="D121" s="2"/>
      <c r="E121" s="192"/>
      <c r="F121" s="121"/>
      <c r="G121" s="26">
        <f>G120+G44</f>
        <v>562202.17999999993</v>
      </c>
      <c r="H121" s="193"/>
      <c r="I121" s="26"/>
      <c r="J121" s="26">
        <f>J120+J44</f>
        <v>4577071.21</v>
      </c>
    </row>
    <row r="122" spans="1:10" s="12" customFormat="1" ht="34.5" customHeight="1" x14ac:dyDescent="0.2">
      <c r="A122" s="2"/>
      <c r="B122" s="2"/>
      <c r="C122" s="8" t="s">
        <v>352</v>
      </c>
      <c r="D122" s="2" t="s">
        <v>393</v>
      </c>
      <c r="E122" s="179">
        <v>1</v>
      </c>
      <c r="F122" s="121"/>
      <c r="G122" s="26">
        <f>G121/E122</f>
        <v>562202.17999999993</v>
      </c>
      <c r="H122" s="193"/>
      <c r="I122" s="26"/>
      <c r="J122" s="26">
        <f>J121/E122</f>
        <v>4577071.21</v>
      </c>
    </row>
    <row r="124" spans="1:10" s="12" customFormat="1" ht="14.25" customHeight="1" x14ac:dyDescent="0.2">
      <c r="A124" s="4" t="s">
        <v>394</v>
      </c>
    </row>
    <row r="125" spans="1:10" s="12" customFormat="1" ht="14.25" customHeight="1" x14ac:dyDescent="0.2">
      <c r="A125" s="115" t="s">
        <v>77</v>
      </c>
    </row>
    <row r="126" spans="1:10" s="12" customFormat="1" ht="14.25" customHeight="1" x14ac:dyDescent="0.2">
      <c r="A126" s="4"/>
    </row>
    <row r="127" spans="1:10" s="12" customFormat="1" ht="14.25" customHeight="1" x14ac:dyDescent="0.2">
      <c r="A127" s="4" t="s">
        <v>395</v>
      </c>
    </row>
    <row r="128" spans="1:10" s="12" customFormat="1" ht="14.25" customHeight="1" x14ac:dyDescent="0.2">
      <c r="A128" s="115" t="s">
        <v>79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47:H47"/>
    <mergeCell ref="B12:H12"/>
    <mergeCell ref="B15:H15"/>
    <mergeCell ref="B17:H17"/>
    <mergeCell ref="B18:H18"/>
    <mergeCell ref="B35:H35"/>
    <mergeCell ref="B34:H34"/>
    <mergeCell ref="B46:H46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5"/>
  <sheetViews>
    <sheetView view="pageBreakPreview" topLeftCell="A16" workbookViewId="0">
      <selection activeCell="E24" sqref="E24"/>
    </sheetView>
  </sheetViews>
  <sheetFormatPr defaultColWidth="9.140625"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5" t="s">
        <v>396</v>
      </c>
      <c r="B1" s="255"/>
      <c r="C1" s="255"/>
      <c r="D1" s="255"/>
      <c r="E1" s="255"/>
      <c r="F1" s="255"/>
      <c r="G1" s="255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207" t="s">
        <v>397</v>
      </c>
      <c r="B3" s="207"/>
      <c r="C3" s="207"/>
      <c r="D3" s="207"/>
      <c r="E3" s="207"/>
      <c r="F3" s="207"/>
      <c r="G3" s="207"/>
    </row>
    <row r="4" spans="1:7" ht="27" customHeight="1" x14ac:dyDescent="0.25">
      <c r="A4" s="210" t="s">
        <v>317</v>
      </c>
      <c r="B4" s="210"/>
      <c r="C4" s="210"/>
      <c r="D4" s="210"/>
      <c r="E4" s="210"/>
      <c r="F4" s="210"/>
      <c r="G4" s="210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60" t="s">
        <v>13</v>
      </c>
      <c r="B6" s="260" t="s">
        <v>101</v>
      </c>
      <c r="C6" s="260" t="s">
        <v>318</v>
      </c>
      <c r="D6" s="260" t="s">
        <v>103</v>
      </c>
      <c r="E6" s="240" t="s">
        <v>361</v>
      </c>
      <c r="F6" s="260" t="s">
        <v>105</v>
      </c>
      <c r="G6" s="260"/>
    </row>
    <row r="7" spans="1:7" x14ac:dyDescent="0.25">
      <c r="A7" s="260"/>
      <c r="B7" s="260"/>
      <c r="C7" s="260"/>
      <c r="D7" s="260"/>
      <c r="E7" s="241"/>
      <c r="F7" s="2" t="s">
        <v>364</v>
      </c>
      <c r="G7" s="2" t="s">
        <v>107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18"/>
      <c r="B9" s="256" t="s">
        <v>398</v>
      </c>
      <c r="C9" s="257"/>
      <c r="D9" s="257"/>
      <c r="E9" s="257"/>
      <c r="F9" s="257"/>
      <c r="G9" s="258"/>
    </row>
    <row r="10" spans="1:7" ht="27" customHeight="1" x14ac:dyDescent="0.25">
      <c r="A10" s="2"/>
      <c r="B10" s="119"/>
      <c r="C10" s="8" t="s">
        <v>399</v>
      </c>
      <c r="D10" s="119"/>
      <c r="E10" s="120"/>
      <c r="F10" s="121"/>
      <c r="G10" s="121">
        <v>0</v>
      </c>
    </row>
    <row r="11" spans="1:7" x14ac:dyDescent="0.25">
      <c r="A11" s="2"/>
      <c r="B11" s="247" t="s">
        <v>400</v>
      </c>
      <c r="C11" s="247"/>
      <c r="D11" s="247"/>
      <c r="E11" s="259"/>
      <c r="F11" s="249"/>
      <c r="G11" s="249"/>
    </row>
    <row r="12" spans="1:7" ht="25.5" customHeight="1" x14ac:dyDescent="0.25">
      <c r="A12" s="2">
        <v>1</v>
      </c>
      <c r="B12" s="8" t="str">
        <f>'Прил.5 Расчет СМР и ОБ'!B36</f>
        <v>БЦ.36.42</v>
      </c>
      <c r="C12" s="8" t="str">
        <f>'Прил.5 Расчет СМР и ОБ'!C36</f>
        <v>Межсетевой экран Cisco ASA5510 c DC блоком питания</v>
      </c>
      <c r="D12" s="8" t="str">
        <f>'Прил.5 Расчет СМР и ОБ'!D36</f>
        <v>шт</v>
      </c>
      <c r="E12" s="8">
        <f>'Прил.5 Расчет СМР и ОБ'!E36</f>
        <v>1.0000002148439</v>
      </c>
      <c r="F12" s="8">
        <f>'Прил.5 Расчет СМР и ОБ'!F36</f>
        <v>110223.64</v>
      </c>
      <c r="G12" s="26">
        <f t="shared" ref="G12:G17" si="0">ROUND(E12*F12,2)</f>
        <v>110223.66</v>
      </c>
    </row>
    <row r="13" spans="1:7" x14ac:dyDescent="0.25">
      <c r="A13" s="2">
        <v>2</v>
      </c>
      <c r="B13" s="8" t="str">
        <f>'Прил.5 Расчет СМР и ОБ'!B37</f>
        <v>БЦ.36.41</v>
      </c>
      <c r="C13" s="8" t="str">
        <f>'Прил.5 Расчет СМР и ОБ'!C37</f>
        <v xml:space="preserve">Маршрутизатор Ciscо 2921/K9 </v>
      </c>
      <c r="D13" s="8" t="str">
        <f>'Прил.5 Расчет СМР и ОБ'!D37</f>
        <v>шт</v>
      </c>
      <c r="E13" s="8">
        <f>'Прил.5 Расчет СМР и ОБ'!E37</f>
        <v>1.0000002262493</v>
      </c>
      <c r="F13" s="8">
        <f>'Прил.5 Расчет СМР и ОБ'!F37</f>
        <v>419329.07</v>
      </c>
      <c r="G13" s="26">
        <f t="shared" si="0"/>
        <v>419329.16</v>
      </c>
    </row>
    <row r="14" spans="1:7" ht="25.5" customHeight="1" x14ac:dyDescent="0.25">
      <c r="A14" s="2">
        <v>3</v>
      </c>
      <c r="B14" s="8" t="str">
        <f>'Прил.5 Расчет СМР и ОБ'!B38</f>
        <v>БЦ.36.39</v>
      </c>
      <c r="C14" s="8" t="str">
        <f>'Прил.5 Расчет СМР и ОБ'!C38</f>
        <v>Коммутатор, 24 порта Cisco ME-3400 (с 2 модулями GLC-T)</v>
      </c>
      <c r="D14" s="8" t="str">
        <f>'Прил.5 Расчет СМР и ОБ'!D38</f>
        <v>шт</v>
      </c>
      <c r="E14" s="8">
        <f>'Прил.5 Расчет СМР и ОБ'!E38</f>
        <v>1.0000001890071999</v>
      </c>
      <c r="F14" s="8">
        <f>'Прил.5 Расчет СМР и ОБ'!F38</f>
        <v>95397.36</v>
      </c>
      <c r="G14" s="26">
        <f t="shared" si="0"/>
        <v>95397.38</v>
      </c>
    </row>
    <row r="15" spans="1:7" ht="25.5" customHeight="1" x14ac:dyDescent="0.25">
      <c r="A15" s="2">
        <v>4</v>
      </c>
      <c r="B15" s="8" t="str">
        <f>'Прил.5 Расчет СМР и ОБ'!B39</f>
        <v>БЦ.36.43</v>
      </c>
      <c r="C15" s="8" t="str">
        <f>'Прил.5 Расчет СМР и ОБ'!C39</f>
        <v>Модуль SFP для Cisco Catalyst 2960 (с модулями GLC)</v>
      </c>
      <c r="D15" s="8" t="str">
        <f>'Прил.5 Расчет СМР и ОБ'!D39</f>
        <v>шт</v>
      </c>
      <c r="E15" s="8">
        <f>'Прил.5 Расчет СМР и ОБ'!E39</f>
        <v>1.0000004567762999</v>
      </c>
      <c r="F15" s="8">
        <f>'Прил.5 Расчет СМР и ОБ'!F39</f>
        <v>2875.4</v>
      </c>
      <c r="G15" s="26">
        <f t="shared" si="0"/>
        <v>2875.4</v>
      </c>
    </row>
    <row r="16" spans="1:7" ht="25.5" customHeight="1" x14ac:dyDescent="0.25">
      <c r="A16" s="2">
        <v>5</v>
      </c>
      <c r="B16" s="8" t="str">
        <f>'Прил.5 Расчет СМР и ОБ'!B40</f>
        <v>61.1.04.08-0002</v>
      </c>
      <c r="C16" s="8" t="str">
        <f>'Прил.5 Расчет СМР и ОБ'!C40</f>
        <v>Шкаф телекоммуникационный, размер 800х800х2080 мм</v>
      </c>
      <c r="D16" s="8" t="str">
        <f>'Прил.5 Расчет СМР и ОБ'!D40</f>
        <v>шт</v>
      </c>
      <c r="E16" s="8">
        <f>'Прил.5 Расчет СМР и ОБ'!E40</f>
        <v>0.50000007475900998</v>
      </c>
      <c r="F16" s="8">
        <f>'Прил.5 Расчет СМР и ОБ'!F40</f>
        <v>9392.75</v>
      </c>
      <c r="G16" s="26">
        <f t="shared" si="0"/>
        <v>4696.38</v>
      </c>
    </row>
    <row r="17" spans="1:7" x14ac:dyDescent="0.25">
      <c r="A17" s="2">
        <v>6</v>
      </c>
      <c r="B17" s="8" t="str">
        <f>'Прил.5 Расчет СМР и ОБ'!B41</f>
        <v>БЦ.36.40</v>
      </c>
      <c r="C17" s="8" t="str">
        <f>'Прил.5 Расчет СМР и ОБ'!C41</f>
        <v>Коммутатор, 8 портов Cisco Catalyst 2960</v>
      </c>
      <c r="D17" s="8" t="str">
        <f>'Прил.5 Расчет СМР и ОБ'!D41</f>
        <v>шт</v>
      </c>
      <c r="E17" s="8">
        <f>'Прил.5 Расчет СМР и ОБ'!E41</f>
        <v>0.50000017379196005</v>
      </c>
      <c r="F17" s="8">
        <f>'Прил.5 Расчет СМР и ОБ'!F41</f>
        <v>22895.37</v>
      </c>
      <c r="G17" s="26">
        <f t="shared" si="0"/>
        <v>11447.69</v>
      </c>
    </row>
    <row r="18" spans="1:7" ht="25.5" customHeight="1" x14ac:dyDescent="0.25">
      <c r="A18" s="2"/>
      <c r="B18" s="8"/>
      <c r="C18" s="8" t="s">
        <v>401</v>
      </c>
      <c r="D18" s="8"/>
      <c r="E18" s="40"/>
      <c r="F18" s="121"/>
      <c r="G18" s="26">
        <f>SUM(G12:G17)</f>
        <v>643969.66999999993</v>
      </c>
    </row>
    <row r="19" spans="1:7" ht="19.5" customHeight="1" x14ac:dyDescent="0.25">
      <c r="A19" s="2"/>
      <c r="B19" s="8"/>
      <c r="C19" s="8" t="s">
        <v>402</v>
      </c>
      <c r="D19" s="8"/>
      <c r="E19" s="40"/>
      <c r="F19" s="121"/>
      <c r="G19" s="26">
        <f>G10+G18</f>
        <v>643969.66999999993</v>
      </c>
    </row>
    <row r="20" spans="1:7" x14ac:dyDescent="0.25">
      <c r="A20" s="24"/>
      <c r="B20" s="122"/>
      <c r="C20" s="24"/>
      <c r="D20" s="24"/>
      <c r="E20" s="24"/>
      <c r="F20" s="24"/>
      <c r="G20" s="24"/>
    </row>
    <row r="21" spans="1:7" x14ac:dyDescent="0.25">
      <c r="A21" s="4" t="s">
        <v>394</v>
      </c>
      <c r="B21" s="12"/>
      <c r="C21" s="12"/>
      <c r="D21" s="24"/>
      <c r="E21" s="24"/>
      <c r="F21" s="24"/>
      <c r="G21" s="24"/>
    </row>
    <row r="22" spans="1:7" x14ac:dyDescent="0.25">
      <c r="A22" s="115" t="s">
        <v>77</v>
      </c>
      <c r="B22" s="12"/>
      <c r="C22" s="12"/>
      <c r="D22" s="24"/>
      <c r="E22" s="24"/>
      <c r="F22" s="24"/>
      <c r="G22" s="24"/>
    </row>
    <row r="23" spans="1:7" x14ac:dyDescent="0.25">
      <c r="A23" s="4"/>
      <c r="B23" s="12"/>
      <c r="C23" s="12"/>
      <c r="D23" s="24"/>
      <c r="E23" s="24"/>
      <c r="F23" s="24"/>
      <c r="G23" s="24"/>
    </row>
    <row r="24" spans="1:7" x14ac:dyDescent="0.25">
      <c r="A24" s="4" t="s">
        <v>395</v>
      </c>
      <c r="B24" s="12"/>
      <c r="C24" s="12"/>
      <c r="D24" s="24"/>
      <c r="E24" s="24"/>
      <c r="F24" s="24"/>
      <c r="G24" s="24"/>
    </row>
    <row r="25" spans="1:7" x14ac:dyDescent="0.25">
      <c r="A25" s="115" t="s">
        <v>79</v>
      </c>
      <c r="B25" s="12"/>
      <c r="C25" s="12"/>
      <c r="D25" s="24"/>
      <c r="E25" s="24"/>
      <c r="F25" s="24"/>
      <c r="G25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2023-11-27T01:54:09Z</cp:lastPrinted>
  <dcterms:created xsi:type="dcterms:W3CDTF">2020-09-30T08:50:27Z</dcterms:created>
  <dcterms:modified xsi:type="dcterms:W3CDTF">2023-11-27T01:54:17Z</dcterms:modified>
  <cp:category/>
</cp:coreProperties>
</file>