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1_{CD92CB81-F403-4D84-B720-8A97604D7A4D}" xr6:coauthVersionLast="40" xr6:coauthVersionMax="40" xr10:uidLastSave="{00000000-0000-0000-0000-000000000000}"/>
  <bookViews>
    <workbookView xWindow="0" yWindow="0" windowWidth="28800" windowHeight="12225" tabRatio="699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табл'!$A$1:$F$32</definedName>
    <definedName name="_xlnm.Print_Area" localSheetId="1">'Прил.2 Расч стоим'!$A$1:$J$21</definedName>
    <definedName name="_xlnm.Print_Area" localSheetId="2">Прил.3!$A$1:$H$109</definedName>
    <definedName name="_xlnm.Print_Area" localSheetId="4">'Прил.5 Расчет СМР и ОБ'!$A$1:$J$119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D5" i="7"/>
  <c r="C11" i="7" s="1"/>
  <c r="I101" i="5"/>
  <c r="J101" i="5" s="1"/>
  <c r="G101" i="5"/>
  <c r="I100" i="5"/>
  <c r="J100" i="5" s="1"/>
  <c r="G100" i="5"/>
  <c r="I99" i="5"/>
  <c r="J99" i="5" s="1"/>
  <c r="G99" i="5"/>
  <c r="I98" i="5"/>
  <c r="J98" i="5" s="1"/>
  <c r="G98" i="5"/>
  <c r="I97" i="5"/>
  <c r="J97" i="5" s="1"/>
  <c r="G97" i="5"/>
  <c r="I96" i="5"/>
  <c r="J96" i="5" s="1"/>
  <c r="G96" i="5"/>
  <c r="I95" i="5"/>
  <c r="J95" i="5" s="1"/>
  <c r="G95" i="5"/>
  <c r="I94" i="5"/>
  <c r="J94" i="5" s="1"/>
  <c r="G94" i="5"/>
  <c r="I93" i="5"/>
  <c r="J93" i="5" s="1"/>
  <c r="G93" i="5"/>
  <c r="I92" i="5"/>
  <c r="J92" i="5" s="1"/>
  <c r="G92" i="5"/>
  <c r="I91" i="5"/>
  <c r="J91" i="5" s="1"/>
  <c r="G91" i="5"/>
  <c r="I90" i="5"/>
  <c r="J90" i="5" s="1"/>
  <c r="G90" i="5"/>
  <c r="I89" i="5"/>
  <c r="J89" i="5" s="1"/>
  <c r="G89" i="5"/>
  <c r="I88" i="5"/>
  <c r="J88" i="5" s="1"/>
  <c r="G88" i="5"/>
  <c r="I87" i="5"/>
  <c r="J87" i="5" s="1"/>
  <c r="G87" i="5"/>
  <c r="I86" i="5"/>
  <c r="J86" i="5" s="1"/>
  <c r="G86" i="5"/>
  <c r="I85" i="5"/>
  <c r="J85" i="5" s="1"/>
  <c r="G85" i="5"/>
  <c r="I84" i="5"/>
  <c r="J84" i="5" s="1"/>
  <c r="G84" i="5"/>
  <c r="I83" i="5"/>
  <c r="J83" i="5" s="1"/>
  <c r="G83" i="5"/>
  <c r="I82" i="5"/>
  <c r="J82" i="5" s="1"/>
  <c r="G82" i="5"/>
  <c r="I81" i="5"/>
  <c r="J81" i="5" s="1"/>
  <c r="G81" i="5"/>
  <c r="I80" i="5"/>
  <c r="J80" i="5" s="1"/>
  <c r="G80" i="5"/>
  <c r="I79" i="5"/>
  <c r="J79" i="5" s="1"/>
  <c r="G79" i="5"/>
  <c r="I78" i="5"/>
  <c r="J78" i="5" s="1"/>
  <c r="G78" i="5"/>
  <c r="I77" i="5"/>
  <c r="J77" i="5" s="1"/>
  <c r="G77" i="5"/>
  <c r="I76" i="5"/>
  <c r="J76" i="5" s="1"/>
  <c r="G76" i="5"/>
  <c r="I75" i="5"/>
  <c r="J75" i="5" s="1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1" i="5"/>
  <c r="J61" i="5" s="1"/>
  <c r="G61" i="5"/>
  <c r="J60" i="5"/>
  <c r="I60" i="5"/>
  <c r="G60" i="5"/>
  <c r="J59" i="5"/>
  <c r="I59" i="5"/>
  <c r="G59" i="5"/>
  <c r="I58" i="5"/>
  <c r="J58" i="5" s="1"/>
  <c r="G58" i="5"/>
  <c r="J57" i="5"/>
  <c r="I57" i="5"/>
  <c r="G57" i="5"/>
  <c r="J56" i="5"/>
  <c r="I56" i="5"/>
  <c r="G56" i="5"/>
  <c r="I55" i="5"/>
  <c r="J55" i="5" s="1"/>
  <c r="G55" i="5"/>
  <c r="J54" i="5"/>
  <c r="J62" i="5" s="1"/>
  <c r="I54" i="5"/>
  <c r="G54" i="5"/>
  <c r="G62" i="5" s="1"/>
  <c r="J42" i="5"/>
  <c r="I42" i="5"/>
  <c r="G42" i="5"/>
  <c r="I41" i="5"/>
  <c r="J41" i="5" s="1"/>
  <c r="G41" i="5"/>
  <c r="J40" i="5"/>
  <c r="I40" i="5"/>
  <c r="G40" i="5"/>
  <c r="J39" i="5"/>
  <c r="I39" i="5"/>
  <c r="G39" i="5"/>
  <c r="I38" i="5"/>
  <c r="J38" i="5" s="1"/>
  <c r="G38" i="5"/>
  <c r="J37" i="5"/>
  <c r="I37" i="5"/>
  <c r="G37" i="5"/>
  <c r="J36" i="5"/>
  <c r="I36" i="5"/>
  <c r="G36" i="5"/>
  <c r="I35" i="5"/>
  <c r="J35" i="5" s="1"/>
  <c r="G35" i="5"/>
  <c r="J34" i="5"/>
  <c r="I34" i="5"/>
  <c r="G34" i="5"/>
  <c r="J33" i="5"/>
  <c r="I33" i="5"/>
  <c r="G33" i="5"/>
  <c r="I32" i="5"/>
  <c r="J32" i="5" s="1"/>
  <c r="G32" i="5"/>
  <c r="J31" i="5"/>
  <c r="I31" i="5"/>
  <c r="G31" i="5"/>
  <c r="J30" i="5"/>
  <c r="I30" i="5"/>
  <c r="G30" i="5"/>
  <c r="I29" i="5"/>
  <c r="J29" i="5" s="1"/>
  <c r="G29" i="5"/>
  <c r="J28" i="5"/>
  <c r="I28" i="5"/>
  <c r="G28" i="5"/>
  <c r="J27" i="5"/>
  <c r="I27" i="5"/>
  <c r="G27" i="5"/>
  <c r="I26" i="5"/>
  <c r="J26" i="5" s="1"/>
  <c r="G26" i="5"/>
  <c r="J25" i="5"/>
  <c r="I25" i="5"/>
  <c r="G25" i="5"/>
  <c r="J24" i="5"/>
  <c r="I24" i="5"/>
  <c r="G24" i="5"/>
  <c r="I22" i="5"/>
  <c r="J22" i="5" s="1"/>
  <c r="G22" i="5"/>
  <c r="I21" i="5"/>
  <c r="J21" i="5" s="1"/>
  <c r="G21" i="5"/>
  <c r="I20" i="5"/>
  <c r="J20" i="5" s="1"/>
  <c r="G20" i="5"/>
  <c r="I19" i="5"/>
  <c r="J19" i="5" s="1"/>
  <c r="J23" i="5" s="1"/>
  <c r="G19" i="5"/>
  <c r="I16" i="5"/>
  <c r="J16" i="5" s="1"/>
  <c r="C15" i="4" s="1"/>
  <c r="G16" i="5"/>
  <c r="E14" i="5"/>
  <c r="I13" i="5"/>
  <c r="J13" i="5" s="1"/>
  <c r="J14" i="5" s="1"/>
  <c r="G13" i="5"/>
  <c r="G14" i="5" s="1"/>
  <c r="C25" i="4"/>
  <c r="C26" i="4" s="1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4" i="2"/>
  <c r="F12" i="2"/>
  <c r="F14" i="2" s="1"/>
  <c r="K8" i="2"/>
  <c r="D19" i="1"/>
  <c r="J43" i="5" l="1"/>
  <c r="C13" i="4" s="1"/>
  <c r="G103" i="5"/>
  <c r="H73" i="5" s="1"/>
  <c r="C12" i="4"/>
  <c r="C16" i="4"/>
  <c r="G105" i="5"/>
  <c r="G106" i="5"/>
  <c r="J105" i="5"/>
  <c r="C11" i="4"/>
  <c r="J106" i="5"/>
  <c r="J102" i="5"/>
  <c r="C17" i="4" s="1"/>
  <c r="C31" i="4"/>
  <c r="H13" i="5"/>
  <c r="G23" i="5"/>
  <c r="G102" i="5"/>
  <c r="G43" i="5"/>
  <c r="D18" i="1"/>
  <c r="D17" i="1" s="1"/>
  <c r="J12" i="2"/>
  <c r="J14" i="2" s="1"/>
  <c r="H93" i="5" l="1"/>
  <c r="H75" i="5"/>
  <c r="C14" i="4"/>
  <c r="G44" i="5"/>
  <c r="H90" i="5"/>
  <c r="H72" i="5"/>
  <c r="H95" i="5"/>
  <c r="H77" i="5"/>
  <c r="H94" i="5"/>
  <c r="H76" i="5"/>
  <c r="H80" i="5"/>
  <c r="H87" i="5"/>
  <c r="H69" i="5"/>
  <c r="J44" i="5"/>
  <c r="H92" i="5"/>
  <c r="H74" i="5"/>
  <c r="H91" i="5"/>
  <c r="H59" i="5"/>
  <c r="H58" i="5"/>
  <c r="H56" i="5"/>
  <c r="H61" i="5"/>
  <c r="H55" i="5"/>
  <c r="C23" i="4"/>
  <c r="C21" i="4"/>
  <c r="H84" i="5"/>
  <c r="H66" i="5"/>
  <c r="H89" i="5"/>
  <c r="H71" i="5"/>
  <c r="H88" i="5"/>
  <c r="H70" i="5"/>
  <c r="H57" i="5"/>
  <c r="H97" i="5"/>
  <c r="H54" i="5"/>
  <c r="H62" i="5" s="1"/>
  <c r="C18" i="4"/>
  <c r="H99" i="5"/>
  <c r="H81" i="5"/>
  <c r="H63" i="5"/>
  <c r="H86" i="5"/>
  <c r="H68" i="5"/>
  <c r="H85" i="5"/>
  <c r="H67" i="5"/>
  <c r="H98" i="5"/>
  <c r="H79" i="5"/>
  <c r="H60" i="5"/>
  <c r="H96" i="5"/>
  <c r="H78" i="5"/>
  <c r="J103" i="5"/>
  <c r="H101" i="5"/>
  <c r="H83" i="5"/>
  <c r="H65" i="5"/>
  <c r="H100" i="5"/>
  <c r="H82" i="5"/>
  <c r="H64" i="5"/>
  <c r="D23" i="1"/>
  <c r="D24" i="1" s="1"/>
  <c r="D16" i="1"/>
  <c r="J104" i="5" l="1"/>
  <c r="J107" i="5" s="1"/>
  <c r="J108" i="5" s="1"/>
  <c r="J109" i="5" s="1"/>
  <c r="H41" i="5"/>
  <c r="H29" i="5"/>
  <c r="H26" i="5"/>
  <c r="H33" i="5"/>
  <c r="H35" i="5"/>
  <c r="H30" i="5"/>
  <c r="H38" i="5"/>
  <c r="H32" i="5"/>
  <c r="H36" i="5"/>
  <c r="H42" i="5"/>
  <c r="H39" i="5"/>
  <c r="H27" i="5"/>
  <c r="H24" i="5"/>
  <c r="H22" i="5"/>
  <c r="H37" i="5"/>
  <c r="H28" i="5"/>
  <c r="H40" i="5"/>
  <c r="H19" i="5"/>
  <c r="H23" i="5" s="1"/>
  <c r="H20" i="5"/>
  <c r="H25" i="5"/>
  <c r="H21" i="5"/>
  <c r="H34" i="5"/>
  <c r="G104" i="5"/>
  <c r="G107" i="5" s="1"/>
  <c r="G108" i="5" s="1"/>
  <c r="G109" i="5" s="1"/>
  <c r="H31" i="5"/>
  <c r="H102" i="5"/>
  <c r="H103" i="5" s="1"/>
  <c r="C19" i="4"/>
  <c r="C24" i="4" l="1"/>
  <c r="H43" i="5"/>
  <c r="H44" i="5" s="1"/>
  <c r="D22" i="4" l="1"/>
  <c r="C29" i="4"/>
  <c r="C27" i="4"/>
  <c r="D24" i="4"/>
  <c r="D20" i="4"/>
  <c r="D15" i="4"/>
  <c r="D16" i="4"/>
  <c r="D13" i="4"/>
  <c r="D12" i="4"/>
  <c r="D11" i="4"/>
  <c r="D17" i="4"/>
  <c r="D18" i="4"/>
  <c r="D14" i="4"/>
  <c r="D19" i="4"/>
  <c r="C30" i="4" l="1"/>
  <c r="C36" i="4" l="1"/>
  <c r="C37" i="4"/>
  <c r="C38" i="4" s="1"/>
  <c r="C39" i="4" l="1"/>
  <c r="C40" i="4" l="1"/>
  <c r="E39" i="4"/>
  <c r="C41" i="4" l="1"/>
  <c r="D11" i="7" s="1"/>
  <c r="E34" i="4"/>
  <c r="E40" i="4"/>
  <c r="E35" i="4"/>
  <c r="E33" i="4"/>
  <c r="E22" i="4"/>
  <c r="E32" i="4"/>
  <c r="E20" i="4"/>
  <c r="E15" i="4"/>
  <c r="E26" i="4"/>
  <c r="E25" i="4"/>
  <c r="E12" i="4"/>
  <c r="E31" i="4"/>
  <c r="E16" i="4"/>
  <c r="E13" i="4"/>
  <c r="E11" i="4"/>
  <c r="E17" i="4"/>
  <c r="E14" i="4"/>
  <c r="E18" i="4"/>
  <c r="E19" i="4"/>
  <c r="E24" i="4"/>
  <c r="E27" i="4"/>
  <c r="E29" i="4"/>
  <c r="E30" i="4"/>
  <c r="E36" i="4"/>
  <c r="E38" i="4"/>
  <c r="E37" i="4"/>
</calcChain>
</file>

<file path=xl/sharedStrings.xml><?xml version="1.0" encoding="utf-8"?>
<sst xmlns="http://schemas.openxmlformats.org/spreadsheetml/2006/main" count="731" uniqueCount="382">
  <si>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</si>
  <si>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</si>
  <si>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Постоянная часть ПС открытый склад ЗПС 110 кВ </t>
  </si>
  <si>
    <t>Сопоставимый уровень цен:  4 кв. 2019 г.</t>
  </si>
  <si>
    <t>Единица измерения  — 1 ПС</t>
  </si>
  <si>
    <t>Наименование объекта-представителя</t>
  </si>
  <si>
    <t>ПС 110 кВ Юнтолово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</si>
  <si>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</si>
  <si>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</si>
  <si>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</si>
  <si>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</si>
  <si>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 (площадь м2)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</si>
  <si>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</si>
  <si>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открытый склад - 300 м2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</si>
  <si>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</si>
  <si>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</si>
  <si>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</si>
  <si>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</si>
  <si>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</si>
  <si>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</si>
  <si>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</si>
  <si>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</si>
  <si>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</si>
  <si>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</si>
  <si>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</si>
  <si>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</si>
  <si>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</si>
  <si>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</si>
  <si>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</si>
  <si>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</si>
  <si>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</si>
  <si>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</si>
  <si>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-  Постоянная часть ПС открытый склад ЗПС 110 кВ </t>
  </si>
  <si>
    <t>№ п/п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</si>
  <si>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</si>
  <si>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</si>
  <si>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</si>
  <si>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</si>
  <si>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</si>
  <si>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</si>
  <si>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</si>
  <si>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</si>
  <si>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</si>
  <si>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</si>
  <si>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Открытй склад ЗПС 110 кВ</t>
  </si>
  <si>
    <t>Всего по объекту:</t>
  </si>
  <si>
    <t>Всего по объекту в сопоставимом уровне цен 4 кв. 2019 г.: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</si>
  <si>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</si>
  <si>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</si>
  <si>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</si>
  <si>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</si>
  <si>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</si>
  <si>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</si>
  <si>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</si>
  <si>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</si>
  <si>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</si>
  <si>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</si>
  <si>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</si>
  <si>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</si>
  <si>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</si>
  <si>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</si>
  <si>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1-100-38</t>
  </si>
  <si>
    <t>Затраты труда рабочих (ср 3,8)</t>
  </si>
  <si>
    <t>чел.-ч</t>
  </si>
  <si>
    <t>1-100-34</t>
  </si>
  <si>
    <t>Затраты труда рабочих (ср 3,4)</t>
  </si>
  <si>
    <t>1-100-22</t>
  </si>
  <si>
    <t>Затраты труда рабочих (ср 2,2)</t>
  </si>
  <si>
    <t>1-100-30</t>
  </si>
  <si>
    <t>Затраты труда рабочих (ср 3)</t>
  </si>
  <si>
    <t>1-100-28</t>
  </si>
  <si>
    <t>Затраты труда рабочих (ср 2,8)</t>
  </si>
  <si>
    <t>1-100-15</t>
  </si>
  <si>
    <t>Затраты труда рабочих (ср 1,5)</t>
  </si>
  <si>
    <t>1-100-32</t>
  </si>
  <si>
    <t>Затраты труда рабочих (ср 3,2)</t>
  </si>
  <si>
    <t>1-100-40</t>
  </si>
  <si>
    <t>Затраты труда рабочих (ср 4)</t>
  </si>
  <si>
    <t>1-100-29</t>
  </si>
  <si>
    <t>Затраты труда рабочих (ср 2,9)</t>
  </si>
  <si>
    <t>1-100-37</t>
  </si>
  <si>
    <t>Затраты труда рабочих (ср 3,7)</t>
  </si>
  <si>
    <t>1-100-20</t>
  </si>
  <si>
    <t>Затраты труда рабочих (ср 2)</t>
  </si>
  <si>
    <t>Затраты труда машинистов</t>
  </si>
  <si>
    <t>Машины и механизмы</t>
  </si>
  <si>
    <t>91.05.06-012</t>
  </si>
  <si>
    <t>Краны на гусеничном ходу, грузоподъемность до 16 т</t>
  </si>
  <si>
    <t>маш.час</t>
  </si>
  <si>
    <t>91.14.01-004</t>
  </si>
  <si>
    <t>Автобетоносмесители, объем барабана 7 м3</t>
  </si>
  <si>
    <t>маш.-ч</t>
  </si>
  <si>
    <t>91.04.01-031</t>
  </si>
  <si>
    <t>Машины бурильно-крановые на автомобиле, глубина бурения 3,5 м</t>
  </si>
  <si>
    <t>91.01.05-086</t>
  </si>
  <si>
    <t>Экскаваторы одноковшовые дизельные на гусеничном ходу, емкость ковша 0,65 м3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</si>
  <si>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</si>
  <si>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</si>
  <si>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91.14.02-001</t>
  </si>
  <si>
    <t>Автомобили бортовые, грузоподъемность до 5 т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</si>
  <si>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</si>
  <si>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</si>
  <si>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</si>
  <si>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</si>
  <si>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91.06.06-048</t>
  </si>
  <si>
    <t>Подъемники одномачтовые, грузоподъемность до 500 кг, высота подъема 45 м</t>
  </si>
  <si>
    <t>91.05.06-007</t>
  </si>
  <si>
    <t>Краны на гусеничном ходу, грузоподъемность 25 т</t>
  </si>
  <si>
    <t>91.05.02-005</t>
  </si>
  <si>
    <t>Краны козловые, грузоподъемность 32 т</t>
  </si>
  <si>
    <t>91.01.01-036</t>
  </si>
  <si>
    <t>Бульдозеры, мощность 96 кВт (130 л.с.)</t>
  </si>
  <si>
    <t>91.07.04-001</t>
  </si>
  <si>
    <t>Вибраторы глубинные</t>
  </si>
  <si>
    <t>91.05.01-017</t>
  </si>
  <si>
    <t>Краны башенные, грузоподъемность 8 т</t>
  </si>
  <si>
    <t>91.06.05-011</t>
  </si>
  <si>
    <t>Погрузчики, грузоподъемность 5 т</t>
  </si>
  <si>
    <t>91.07.04-002</t>
  </si>
  <si>
    <t>Вибраторы поверхностные</t>
  </si>
  <si>
    <t>91.08.09-023</t>
  </si>
  <si>
    <t>Трамбовки пневматические при работе от передвижных компрессорных станций</t>
  </si>
  <si>
    <t>91.06.05-057</t>
  </si>
  <si>
    <t>Погрузчики одноковшовые универсальные фронтальные пневмоколесные, грузоподъемность 3 т</t>
  </si>
  <si>
    <t>91.17.04-042</t>
  </si>
  <si>
    <t>Аппараты для газовой сварки и резки</t>
  </si>
  <si>
    <t>91.08.09-024</t>
  </si>
  <si>
    <t>Трамбовки пневматические при работе от стационарного компрессора</t>
  </si>
  <si>
    <t>91.17.04-171</t>
  </si>
  <si>
    <t>Преобразователи сварочные номинальным сварочным током 315-500 А</t>
  </si>
  <si>
    <t>91.06.03-062</t>
  </si>
  <si>
    <t>Лебедки электрические тяговым усилием до 31,39 кН (3,2 т)</t>
  </si>
  <si>
    <t>91.06.03-060</t>
  </si>
  <si>
    <t>Лебедки электрические тяговым усилием до 5,79 кН (0,59 т)</t>
  </si>
  <si>
    <t>Материалы</t>
  </si>
  <si>
    <t>04.1.02.05-0044</t>
  </si>
  <si>
    <t>Смеси бетонные тяжелого бетона (БСТ), крупность заполнителя 20 мм, класс В20 (М250)</t>
  </si>
  <si>
    <t>м3</t>
  </si>
  <si>
    <t>04.1.02.05-0007</t>
  </si>
  <si>
    <t>Смеси бетонные тяжелого бетона (БСТ), класс В20 (М250)</t>
  </si>
  <si>
    <t>08.4.03.03-0031</t>
  </si>
  <si>
    <t>Сталь арматурная, горячекатаная, периодического профиля, класс А-III, диаметр 10 мм</t>
  </si>
  <si>
    <t>т</t>
  </si>
  <si>
    <t>14.2.03.02-1006</t>
  </si>
  <si>
    <t>Покрытие эластичное двухкомпонентное на эпоксидно-полиуретановой основе для гидроизоляции и защиты бетона, компонент В</t>
  </si>
  <si>
    <t>кг</t>
  </si>
  <si>
    <t>07.2.07.04-0014</t>
  </si>
  <si>
    <t>Конструкции сварные индивидуальные прочие, масса сборочной единицы от 0,1 до 0,5 т</t>
  </si>
  <si>
    <t>14.2.03.02-1004</t>
  </si>
  <si>
    <t>Покрытие эластичное двухкомпонентное на эпоксидно-полиуретановой основе для гидроизоляции и защиты бетона, компонент А</t>
  </si>
  <si>
    <t>04.3.01.09-0018</t>
  </si>
  <si>
    <t>Раствор готовый кладочный, цементный, М300</t>
  </si>
  <si>
    <t>Прайс из СД ОП</t>
  </si>
  <si>
    <t>Оцинковка</t>
  </si>
  <si>
    <t>23.8.05.02-0006</t>
  </si>
  <si>
    <t>Колено раструб-гладкий конец из высокопрочного чугуна УРГ с внутренним цементно-песчаным покрытием и наружным лаковым покрытием, номинальный диаметр 400 мм</t>
  </si>
  <si>
    <t>шт</t>
  </si>
  <si>
    <t>05.2.02.01-0053</t>
  </si>
  <si>
    <t>Блоки бетонные для стен подвалов полнотелые ФБС24-4-6-Т, бетон B7,5 (М100, объем 0,543 м3, расход арматуры 1,46 кг</t>
  </si>
  <si>
    <t>05.2.02.01-0036</t>
  </si>
  <si>
    <t>Блоки бетонные для стен подвалов полнотелые ФБС9-4-6-Т, бетон B7,5 (М100, объем 0,195 м3, расход арматуры 0,76 кг</t>
  </si>
  <si>
    <t>11.2.13.04-0011</t>
  </si>
  <si>
    <t>Щиты из досок, толщина 25 мм</t>
  </si>
  <si>
    <t>м2</t>
  </si>
  <si>
    <t>11.1.03.06-0095</t>
  </si>
  <si>
    <t>Доска обрезная, хвойных пород, ширина 75-150 мм, толщина 44 мм и более, длина 4-6,5 м, сорт III</t>
  </si>
  <si>
    <t>04.1.02.05-0078</t>
  </si>
  <si>
    <t>Смеси бетонные тяжелого бетона (БСТ), крупность заполнителя более 40 мм, класс В20 (М250)</t>
  </si>
  <si>
    <t>01.7.15.06-0111</t>
  </si>
  <si>
    <t>Гвозди строительные</t>
  </si>
  <si>
    <t>08.4.01.01-0022</t>
  </si>
  <si>
    <t>Детали анкерные с резьбой из прямых или гнутых круглых стержней</t>
  </si>
  <si>
    <t>08.3.03.06-0002</t>
  </si>
  <si>
    <t>Проволока горячекатаная в мотках, диаметр 6,3-6,5 мм</t>
  </si>
  <si>
    <t>01.7.11.07-0054</t>
  </si>
  <si>
    <t>Электроды сварочные Э42, диаметр 6 мм</t>
  </si>
  <si>
    <t>04.1.02.05-0077</t>
  </si>
  <si>
    <t>Смеси бетонные тяжелого бетона (БСТ), крупность заполнителя более 40 мм, класс В15 (М200)</t>
  </si>
  <si>
    <t>04.3.01.09-0014</t>
  </si>
  <si>
    <t>Раствор готовый кладочный, цементный, М100</t>
  </si>
  <si>
    <t>01.7.11.07-0056</t>
  </si>
  <si>
    <t>Электроды сварочные Э46, диаметр 6 мм</t>
  </si>
  <si>
    <t>08.4.03.02-0002</t>
  </si>
  <si>
    <t>Сталь арматурная, горячекатаная, гладкая, класс А-I, диаметр 8 мм</t>
  </si>
  <si>
    <t>11.1.02.04-0031</t>
  </si>
  <si>
    <t>Лесоматериалы круглые, хвойных пород, для строительства, диаметр 14-24 см, длина 3-6,5 м</t>
  </si>
  <si>
    <t>02.3.01.02-1019</t>
  </si>
  <si>
    <t>Песок природный I класс, повышенной крупности, круглые сита</t>
  </si>
  <si>
    <t>03.1.02.03-0011</t>
  </si>
  <si>
    <t>Известь строительная негашеная комовая, сорт I</t>
  </si>
  <si>
    <t>19.2.03.09-0011</t>
  </si>
  <si>
    <t>Решетки для приямков стальные</t>
  </si>
  <si>
    <t>14.3.02.01-0218</t>
  </si>
  <si>
    <t>Краска водоэмульсионная белая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</si>
  <si>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</si>
  <si>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</si>
  <si>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01.7.15.03-0042</t>
  </si>
  <si>
    <t>Болты с гайками и шайбами строительные</t>
  </si>
  <si>
    <t>02.2.05.04-0085</t>
  </si>
  <si>
    <t>Щебень из природного камня для строительных работ марка: 600, фракция 5 (3)-40 мм</t>
  </si>
  <si>
    <t>01.7.03.01-0001</t>
  </si>
  <si>
    <t>Вода</t>
  </si>
  <si>
    <t>01.3.02.08-0001</t>
  </si>
  <si>
    <t>Кислород газообразный технический</t>
  </si>
  <si>
    <t>08.3.11.01-0091</t>
  </si>
  <si>
    <t>Швеллеры № 40, марка стали Ст0</t>
  </si>
  <si>
    <t>02.2.05.04-1813</t>
  </si>
  <si>
    <t>Щебень М 600, фракция 40-80(70) мм, группа 3</t>
  </si>
  <si>
    <t>14.5.09.07-0030</t>
  </si>
  <si>
    <t>Растворитель Р-4</t>
  </si>
  <si>
    <t>01.7.07.12-0024</t>
  </si>
  <si>
    <t>Пленка полиэтиленовая, толщина 0,15 мм</t>
  </si>
  <si>
    <t>14.4.01.01-0003</t>
  </si>
  <si>
    <t>Грунтовка ГФ-021</t>
  </si>
  <si>
    <t>01.7.11.07-0032</t>
  </si>
  <si>
    <t>Электроды сварочные Э42, диаметр 4 мм</t>
  </si>
  <si>
    <t>08.1.02.17-0040</t>
  </si>
  <si>
    <t>Сетка плетеная из проволоки, оцинкованная, диаметр проволоки 2,5 мм, размер ячейки 50х50 мм</t>
  </si>
  <si>
    <t>01.7.20.08-0071</t>
  </si>
  <si>
    <t>Канат пеньковый пропитанный</t>
  </si>
  <si>
    <t>01.3.02.09-0022</t>
  </si>
  <si>
    <t>Пропан-бутан смесь техническая</t>
  </si>
  <si>
    <t>11.1.03.06-0087</t>
  </si>
  <si>
    <t>Доска обрезная, хвойных пород, ширина 75-150 мм, толщина 25 мм, длина 4-6,5 м, сорт III</t>
  </si>
  <si>
    <t>11.1.03.01-0077</t>
  </si>
  <si>
    <t>Бруски обрезные, хвойных пород, длина 4-6,5 м, ширина 75-150 мм, толщина 40-75 мм, сорт I</t>
  </si>
  <si>
    <t>11.1.03.01-0079</t>
  </si>
  <si>
    <t>Бруски обрезные, хвойных пород, длина 4-6,5 м, ширина 75-150 мм, толщина 40-75 мм, сорт III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</si>
  <si>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</si>
  <si>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</si>
  <si>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10 м</t>
  </si>
  <si>
    <t>08.3.03.04-0012</t>
  </si>
  <si>
    <t>Проволока светлая, диаметр 1,1 мм</t>
  </si>
  <si>
    <t>01.7.11.07-0036</t>
  </si>
  <si>
    <t>Электроды сварочные Э46, диаметр 4 мм</t>
  </si>
  <si>
    <t>Составил ______________________ 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</si>
  <si>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</si>
  <si>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</si>
  <si>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 Постоянная часть ПС открытый склад ЗПС 110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</si>
  <si>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</si>
  <si>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</si>
  <si>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</si>
  <si>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</si>
  <si>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</si>
  <si>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</si>
  <si>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</si>
  <si>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</si>
  <si>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</si>
  <si>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</si>
  <si>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</si>
  <si>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</si>
  <si>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</si>
  <si>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</si>
  <si>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</si>
  <si>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</si>
  <si>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</si>
  <si>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</si>
  <si>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</si>
  <si>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</si>
  <si>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</si>
  <si>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</si>
  <si>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</si>
  <si>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</si>
  <si>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</si>
  <si>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</si>
  <si>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</si>
  <si>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</si>
  <si>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</si>
  <si>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</si>
  <si>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</si>
  <si>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</si>
  <si>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</si>
  <si>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</si>
  <si>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</si>
  <si>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</si>
  <si>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</si>
  <si>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</si>
  <si>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Постоянная часть ПС открытый склад ЗПС 110 кВ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</si>
  <si>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</si>
  <si>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</si>
  <si>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</si>
  <si>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</si>
  <si>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</si>
  <si>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</si>
  <si>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1-100-35</t>
  </si>
  <si>
    <t>Затраты труда рабочих (Средний разряд работы 3,5)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</si>
  <si>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</si>
  <si>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</si>
  <si>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</si>
  <si>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</si>
  <si>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</si>
  <si>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</si>
  <si>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</si>
  <si>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</si>
  <si>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</si>
  <si>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</si>
  <si>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</si>
  <si>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</si>
  <si>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</si>
  <si>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</si>
  <si>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</si>
  <si>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</si>
  <si>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</si>
  <si>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</si>
  <si>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</si>
  <si>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</si>
  <si>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</si>
  <si>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</si>
  <si>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</si>
  <si>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Постоянная часть ПС открытый склад ЗПС 110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</si>
  <si>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</si>
  <si>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</si>
  <si>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</si>
  <si>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</si>
  <si>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</si>
  <si>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</si>
  <si>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</si>
  <si>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</si>
  <si>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</si>
  <si>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</si>
  <si>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</si>
  <si>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</si>
  <si>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 xml:space="preserve">З2 ЗПС Открытый склад 110 кВ 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</si>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</sst>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00"/>
    <numFmt numFmtId="166" formatCode="0.0"/>
    <numFmt numFmtId="167" formatCode="#,##0.0"/>
    <numFmt numFmtId="168" formatCode="#,##0.000"/>
    <numFmt numFmtId="169" formatCode="0.0000"/>
  </numFmts>
  <fonts count="15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2"/>
      <color rgb="FF000000"/>
      <name val="Calibri"/>
    </font>
    <font>
      <sz val="11"/>
      <color rgb="FFFF0000"/>
      <name val="Calibri"/>
    </font>
    <font>
      <b/>
      <sz val="10"/>
      <color rgb="FF000000"/>
      <name val="Arial"/>
    </font>
    <font>
      <sz val="9"/>
      <color rgb="FF000000"/>
      <name val="Arial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8" fillId="0" borderId="0" xfId="0" applyFont="1"/>
    <xf numFmtId="165" fontId="8" fillId="0" borderId="0" xfId="0" applyNumberFormat="1" applyFont="1"/>
    <xf numFmtId="49" fontId="8" fillId="0" borderId="1" xfId="0" applyNumberFormat="1" applyFont="1" applyBorder="1" applyAlignment="1">
      <alignment horizontal="center" vertical="center"/>
    </xf>
    <xf numFmtId="16" fontId="8" fillId="0" borderId="0" xfId="0" applyNumberFormat="1" applyFont="1"/>
    <xf numFmtId="0" fontId="8" fillId="0" borderId="1" xfId="0" applyFont="1" applyBorder="1" applyAlignment="1">
      <alignment horizontal="center" vertical="center"/>
    </xf>
    <xf numFmtId="166" fontId="8" fillId="0" borderId="0" xfId="0" applyNumberFormat="1" applyFont="1"/>
    <xf numFmtId="0" fontId="9" fillId="0" borderId="0" xfId="0" applyFont="1"/>
    <xf numFmtId="0" fontId="0" fillId="2" borderId="0" xfId="0" applyFill="1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10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0" xfId="0" applyNumberFormat="1" applyFont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 wrapText="1"/>
    </xf>
    <xf numFmtId="2" fontId="5" fillId="0" borderId="1" xfId="0" applyNumberFormat="1" applyFont="1" applyBorder="1" applyAlignment="1">
      <alignment vertical="center" wrapText="1"/>
    </xf>
    <xf numFmtId="4" fontId="5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67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" fontId="1" fillId="0" borderId="1" xfId="0" applyNumberFormat="1" applyFont="1" applyBorder="1" applyAlignment="1">
      <alignment vertical="top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top" wrapText="1"/>
    </xf>
    <xf numFmtId="4" fontId="1" fillId="0" borderId="1" xfId="0" applyNumberFormat="1" applyFont="1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2">
    <dxf>
      <numFmt numFmtId="170" formatCode="#,##0.0000"/>
    </dxf>
    <dxf>
      <numFmt numFmtId="170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1244600</xdr:colOff>
      <xdr:row>27</xdr:row>
      <xdr:rowOff>66675</xdr:rowOff>
    </xdr:from>
    <xdr:to>
      <xdr:col>3</xdr:col>
      <xdr:colOff>357427</xdr:colOff>
      <xdr:row>30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6C5F722-0A72-42FE-BCCD-E8EA2EBAC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1100" y="14449425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2</xdr:col>
      <xdr:colOff>1403350</xdr:colOff>
      <xdr:row>25</xdr:row>
      <xdr:rowOff>31750</xdr:rowOff>
    </xdr:from>
    <xdr:to>
      <xdr:col>3</xdr:col>
      <xdr:colOff>420342</xdr:colOff>
      <xdr:row>27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E3CF79FF-05E0-4DA9-ABE7-6B19F6DC5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0" y="14001750"/>
          <a:ext cx="842617" cy="393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1126671</xdr:colOff>
      <xdr:row>17</xdr:row>
      <xdr:rowOff>107496</xdr:rowOff>
    </xdr:from>
    <xdr:to>
      <xdr:col>3</xdr:col>
      <xdr:colOff>188698</xdr:colOff>
      <xdr:row>20</xdr:row>
      <xdr:rowOff>50684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5ADAEEB-66A3-4B41-B6D9-420EB1CB7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6385" y="3971925"/>
          <a:ext cx="939813" cy="555509"/>
        </a:xfrm>
        <a:prstGeom prst="rect">
          <a:avLst/>
        </a:prstGeom>
      </xdr:spPr>
    </xdr:pic>
    <xdr:clientData/>
  </xdr:twoCellAnchor>
  <xdr:twoCellAnchor editAs="oneCell">
    <xdr:from>
      <xdr:col>2</xdr:col>
      <xdr:colOff>1285421</xdr:colOff>
      <xdr:row>15</xdr:row>
      <xdr:rowOff>72571</xdr:rowOff>
    </xdr:from>
    <xdr:to>
      <xdr:col>3</xdr:col>
      <xdr:colOff>251613</xdr:colOff>
      <xdr:row>17</xdr:row>
      <xdr:rowOff>53521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D94C60C3-63D7-431E-B2AF-677B2D4E3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135" y="3528785"/>
          <a:ext cx="843978" cy="3891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1126671</xdr:colOff>
      <xdr:row>102</xdr:row>
      <xdr:rowOff>107496</xdr:rowOff>
    </xdr:from>
    <xdr:to>
      <xdr:col>2</xdr:col>
      <xdr:colOff>941173</xdr:colOff>
      <xdr:row>105</xdr:row>
      <xdr:rowOff>50684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BB36FA1-53A0-4CCA-9EFB-CB4AFC17E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7746" y="3927021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1285421</xdr:colOff>
      <xdr:row>100</xdr:row>
      <xdr:rowOff>72571</xdr:rowOff>
    </xdr:from>
    <xdr:to>
      <xdr:col>2</xdr:col>
      <xdr:colOff>842163</xdr:colOff>
      <xdr:row>102</xdr:row>
      <xdr:rowOff>53521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0C00892-280B-4F24-A598-DA45F5495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6496" y="3492046"/>
          <a:ext cx="84261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1126671</xdr:colOff>
      <xdr:row>43</xdr:row>
      <xdr:rowOff>107496</xdr:rowOff>
    </xdr:from>
    <xdr:to>
      <xdr:col>1</xdr:col>
      <xdr:colOff>2065123</xdr:colOff>
      <xdr:row>46</xdr:row>
      <xdr:rowOff>50684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637D162-1EB4-460B-A4D9-A96DEB1CC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7746" y="3927021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1285421</xdr:colOff>
      <xdr:row>41</xdr:row>
      <xdr:rowOff>72571</xdr:rowOff>
    </xdr:from>
    <xdr:to>
      <xdr:col>1</xdr:col>
      <xdr:colOff>2128038</xdr:colOff>
      <xdr:row>43</xdr:row>
      <xdr:rowOff>53521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B160D1F-74AE-49F8-96FB-8D5FFCAA8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6496" y="3492046"/>
          <a:ext cx="842617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1126671</xdr:colOff>
      <xdr:row>113</xdr:row>
      <xdr:rowOff>107496</xdr:rowOff>
    </xdr:from>
    <xdr:to>
      <xdr:col>2</xdr:col>
      <xdr:colOff>560173</xdr:colOff>
      <xdr:row>116</xdr:row>
      <xdr:rowOff>50684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6944549-7E3B-486A-B58F-160E3F983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7746" y="3927021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1285421</xdr:colOff>
      <xdr:row>111</xdr:row>
      <xdr:rowOff>72571</xdr:rowOff>
    </xdr:from>
    <xdr:to>
      <xdr:col>2</xdr:col>
      <xdr:colOff>623088</xdr:colOff>
      <xdr:row>113</xdr:row>
      <xdr:rowOff>53521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E46255B-1B10-4DD7-9B58-16C4AD62F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6496" y="3492046"/>
          <a:ext cx="84261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748846</xdr:colOff>
      <xdr:row>15</xdr:row>
      <xdr:rowOff>107496</xdr:rowOff>
    </xdr:from>
    <xdr:to>
      <xdr:col>2</xdr:col>
      <xdr:colOff>703048</xdr:colOff>
      <xdr:row>18</xdr:row>
      <xdr:rowOff>50684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D85D941-7D89-409C-AC82-54B885446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9846" y="3933371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745671</xdr:colOff>
      <xdr:row>13</xdr:row>
      <xdr:rowOff>72571</xdr:rowOff>
    </xdr:from>
    <xdr:to>
      <xdr:col>2</xdr:col>
      <xdr:colOff>604038</xdr:colOff>
      <xdr:row>15</xdr:row>
      <xdr:rowOff>53521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9C46A529-014A-4793-B008-90F883C0D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671" y="3485696"/>
          <a:ext cx="842617" cy="393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1126671</xdr:colOff>
      <xdr:row>13</xdr:row>
      <xdr:rowOff>107496</xdr:rowOff>
    </xdr:from>
    <xdr:to>
      <xdr:col>1</xdr:col>
      <xdr:colOff>941173</xdr:colOff>
      <xdr:row>16</xdr:row>
      <xdr:rowOff>79259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4E4F01E-DD84-484C-B139-A5C5473CC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7746" y="3927021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0</xdr:col>
      <xdr:colOff>1285421</xdr:colOff>
      <xdr:row>11</xdr:row>
      <xdr:rowOff>72571</xdr:rowOff>
    </xdr:from>
    <xdr:to>
      <xdr:col>1</xdr:col>
      <xdr:colOff>842163</xdr:colOff>
      <xdr:row>13</xdr:row>
      <xdr:rowOff>72571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C9E0250E-988F-4F41-9C8C-6E1C55C5F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6496" y="3492046"/>
          <a:ext cx="84261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1126671</xdr:colOff>
      <xdr:row>26</xdr:row>
      <xdr:rowOff>107496</xdr:rowOff>
    </xdr:from>
    <xdr:to>
      <xdr:col>1</xdr:col>
      <xdr:colOff>2065123</xdr:colOff>
      <xdr:row>29</xdr:row>
      <xdr:rowOff>50684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D0616E2-CB40-4CDF-A4C0-E15E62704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7746" y="3927021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1285421</xdr:colOff>
      <xdr:row>24</xdr:row>
      <xdr:rowOff>72571</xdr:rowOff>
    </xdr:from>
    <xdr:to>
      <xdr:col>1</xdr:col>
      <xdr:colOff>2128038</xdr:colOff>
      <xdr:row>26</xdr:row>
      <xdr:rowOff>53521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B2D3A5EE-5E18-4615-A8CF-A1969D4A4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6496" y="3492046"/>
          <a:ext cx="84261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N31"/>
  <sheetViews>
    <sheetView view="pageBreakPreview" topLeftCell="A17" zoomScale="60" zoomScaleNormal="85" workbookViewId="0">
      <selection activeCell="D28" sqref="D28"/>
    </sheetView>
  </sheetViews>
  <sheetFormatPr defaultRowHeight="15.75" x14ac:dyDescent="0.25"/>
  <cols>
    <col min="2" max="2" width="9.140625" style="58" customWidth="1"/>
    <col min="3" max="3" width="27.28515625" style="58" customWidth="1"/>
    <col min="4" max="4" width="70.140625" style="58" customWidth="1"/>
    <col min="5" max="12" width="9.140625" style="58" customWidth="1"/>
    <col min="13" max="13" width="10.42578125" style="58" customWidth="1"/>
    <col min="14" max="14" width="9.140625" style="58" customWidth="1"/>
  </cols>
  <sheetData>
    <row r="2" spans="2:11" s="1" customFormat="1" x14ac:dyDescent="0.25">
      <c r="C2" s="103" t="s">
        <v>0</v>
      </c>
      <c r="D2" s="103"/>
      <c r="E2" s="103"/>
      <c r="F2" s="103"/>
    </row>
    <row r="3" spans="2:11" s="1" customFormat="1" x14ac:dyDescent="0.25">
      <c r="C3" s="104" t="s">
        <v>1</v>
      </c>
      <c r="D3" s="104"/>
      <c r="E3" s="104"/>
      <c r="F3" s="104"/>
    </row>
    <row r="4" spans="2:11" s="1" customFormat="1" ht="15.75" customHeight="1" x14ac:dyDescent="0.25">
      <c r="C4" s="57"/>
      <c r="D4" s="57"/>
      <c r="E4" s="57"/>
      <c r="F4" s="57"/>
    </row>
    <row r="5" spans="2:11" s="1" customFormat="1" x14ac:dyDescent="0.25">
      <c r="C5" s="57"/>
      <c r="D5" s="57"/>
      <c r="E5" s="57"/>
      <c r="F5" s="57"/>
    </row>
    <row r="6" spans="2:11" s="1" customFormat="1" ht="15.75" customHeight="1" x14ac:dyDescent="0.25">
      <c r="C6" s="105" t="s">
        <v>2</v>
      </c>
      <c r="D6" s="105"/>
      <c r="E6" s="105"/>
      <c r="F6" s="105"/>
      <c r="H6" s="3"/>
    </row>
    <row r="7" spans="2:11" s="1" customFormat="1" ht="31.7" customHeight="1" x14ac:dyDescent="0.25">
      <c r="C7" s="105" t="s">
        <v>3</v>
      </c>
      <c r="D7" s="105"/>
      <c r="E7" s="105"/>
      <c r="F7" s="105"/>
    </row>
    <row r="8" spans="2:11" s="1" customFormat="1" ht="15.75" customHeight="1" x14ac:dyDescent="0.25">
      <c r="C8" s="105" t="s">
        <v>4</v>
      </c>
      <c r="D8" s="105"/>
      <c r="E8" s="105"/>
      <c r="F8" s="105"/>
      <c r="H8" s="3"/>
    </row>
    <row r="9" spans="2:11" s="1" customFormat="1" x14ac:dyDescent="0.25">
      <c r="C9" s="2"/>
      <c r="D9" s="2"/>
      <c r="E9" s="2"/>
      <c r="F9" s="2"/>
      <c r="H9" s="3"/>
    </row>
    <row r="10" spans="2:11" s="1" customFormat="1" x14ac:dyDescent="0.25">
      <c r="C10" s="2"/>
      <c r="D10" s="2"/>
      <c r="E10" s="2"/>
      <c r="F10" s="2"/>
      <c r="H10" s="3"/>
    </row>
    <row r="11" spans="2:11" ht="114" customHeight="1" x14ac:dyDescent="0.25">
      <c r="B11" s="4">
        <v>1</v>
      </c>
      <c r="C11" s="8" t="s">
        <v>5</v>
      </c>
      <c r="D11" s="4" t="s">
        <v>6</v>
      </c>
    </row>
    <row r="12" spans="2:11" ht="31.7" customHeight="1" x14ac:dyDescent="0.25">
      <c r="B12" s="4">
        <v>2</v>
      </c>
      <c r="C12" s="8" t="s">
        <v>7</v>
      </c>
      <c r="D12" s="4" t="s">
        <v>8</v>
      </c>
    </row>
    <row r="13" spans="2:11" ht="31.7" customHeight="1" x14ac:dyDescent="0.25">
      <c r="B13" s="4">
        <v>3</v>
      </c>
      <c r="C13" s="8" t="s">
        <v>9</v>
      </c>
      <c r="D13" s="4" t="s">
        <v>10</v>
      </c>
    </row>
    <row r="14" spans="2:11" ht="31.7" customHeight="1" x14ac:dyDescent="0.25">
      <c r="B14" s="4">
        <v>4</v>
      </c>
      <c r="C14" s="8" t="s">
        <v>11</v>
      </c>
      <c r="D14" s="4">
        <v>1</v>
      </c>
    </row>
    <row r="15" spans="2:11" ht="141.75" customHeight="1" x14ac:dyDescent="0.25">
      <c r="B15" s="4">
        <v>5</v>
      </c>
      <c r="C15" s="8" t="s">
        <v>12</v>
      </c>
      <c r="D15" s="4" t="s">
        <v>13</v>
      </c>
      <c r="J15" s="59"/>
      <c r="K15" s="59"/>
    </row>
    <row r="16" spans="2:11" ht="141.75" customHeight="1" x14ac:dyDescent="0.25">
      <c r="B16" s="4">
        <v>6</v>
      </c>
      <c r="C16" s="8" t="s">
        <v>14</v>
      </c>
      <c r="D16" s="12">
        <f>D17+D18</f>
        <v>5065.8920359999993</v>
      </c>
    </row>
    <row r="17" spans="2:13" ht="31.7" customHeight="1" x14ac:dyDescent="0.25">
      <c r="B17" s="60" t="s">
        <v>15</v>
      </c>
      <c r="C17" s="8" t="s">
        <v>16</v>
      </c>
      <c r="D17" s="12">
        <f>D18+D19</f>
        <v>2532.9460179999996</v>
      </c>
    </row>
    <row r="18" spans="2:13" ht="31.7" customHeight="1" x14ac:dyDescent="0.25">
      <c r="B18" s="60" t="s">
        <v>17</v>
      </c>
      <c r="C18" s="8" t="s">
        <v>18</v>
      </c>
      <c r="D18" s="12">
        <f>'Прил.2 Расч стоим'!F12</f>
        <v>2532.9460179999996</v>
      </c>
    </row>
    <row r="19" spans="2:13" x14ac:dyDescent="0.25">
      <c r="B19" s="60" t="s">
        <v>19</v>
      </c>
      <c r="C19" s="8" t="s">
        <v>20</v>
      </c>
      <c r="D19" s="12">
        <f>'Прил.2 Расч стоим'!H14</f>
        <v>0</v>
      </c>
    </row>
    <row r="20" spans="2:13" ht="31.7" customHeight="1" x14ac:dyDescent="0.25">
      <c r="B20" s="60" t="s">
        <v>21</v>
      </c>
      <c r="C20" s="8" t="s">
        <v>22</v>
      </c>
      <c r="D20" s="12"/>
      <c r="F20" s="61"/>
    </row>
    <row r="21" spans="2:13" ht="22.7" customHeight="1" x14ac:dyDescent="0.25">
      <c r="B21" s="101">
        <v>7</v>
      </c>
      <c r="C21" s="102" t="s">
        <v>23</v>
      </c>
      <c r="D21" s="12"/>
    </row>
    <row r="22" spans="2:13" x14ac:dyDescent="0.25">
      <c r="B22" s="101"/>
      <c r="C22" s="102"/>
      <c r="D22" s="4" t="s">
        <v>24</v>
      </c>
    </row>
    <row r="23" spans="2:13" ht="173.25" customHeight="1" x14ac:dyDescent="0.25">
      <c r="B23" s="62">
        <v>8</v>
      </c>
      <c r="C23" s="8" t="s">
        <v>25</v>
      </c>
      <c r="D23" s="12">
        <f>D17</f>
        <v>2532.9460179999996</v>
      </c>
    </row>
    <row r="24" spans="2:13" ht="63" customHeight="1" x14ac:dyDescent="0.25">
      <c r="B24" s="62">
        <v>9</v>
      </c>
      <c r="C24" s="8" t="s">
        <v>26</v>
      </c>
      <c r="D24" s="12" t="e">
        <f>D23/D15</f>
        <v>#VALUE!</v>
      </c>
    </row>
    <row r="25" spans="2:13" ht="47.25" customHeight="1" x14ac:dyDescent="0.25">
      <c r="B25" s="62">
        <v>10</v>
      </c>
      <c r="C25" s="8" t="s">
        <v>27</v>
      </c>
      <c r="D25" s="26"/>
      <c r="M25" s="63"/>
    </row>
    <row r="26" spans="2:13" x14ac:dyDescent="0.25">
      <c r="C26" s="87"/>
      <c r="D26" s="87"/>
      <c r="E26" s="87"/>
    </row>
    <row r="27" spans="2:13" s="1" customFormat="1" x14ac:dyDescent="0.25">
      <c r="C27" s="87" t="s">
        <v>235</v>
      </c>
      <c r="D27" s="87"/>
      <c r="E27" s="87"/>
    </row>
    <row r="28" spans="2:13" s="1" customFormat="1" x14ac:dyDescent="0.25">
      <c r="C28" s="5" t="s">
        <v>28</v>
      </c>
      <c r="D28" s="87"/>
      <c r="E28" s="87"/>
    </row>
    <row r="29" spans="2:13" s="1" customFormat="1" x14ac:dyDescent="0.25">
      <c r="C29" s="87"/>
      <c r="D29" s="87"/>
      <c r="E29" s="87"/>
    </row>
    <row r="30" spans="2:13" x14ac:dyDescent="0.25">
      <c r="C30" s="87" t="s">
        <v>381</v>
      </c>
      <c r="D30" s="87"/>
      <c r="E30" s="87"/>
      <c r="F30" s="1"/>
      <c r="G30" s="1"/>
      <c r="H30" s="1"/>
      <c r="I30" s="1"/>
    </row>
    <row r="31" spans="2:13" x14ac:dyDescent="0.25">
      <c r="C31" s="5" t="s">
        <v>29</v>
      </c>
      <c r="D31" s="87"/>
      <c r="E31" s="87"/>
      <c r="F31" s="1"/>
      <c r="G31" s="1"/>
      <c r="H31" s="1"/>
      <c r="I31" s="1"/>
    </row>
  </sheetData>
  <mergeCells count="7">
    <mergeCell ref="B21:B22"/>
    <mergeCell ref="C21:C22"/>
    <mergeCell ref="C2:F2"/>
    <mergeCell ref="C3:F3"/>
    <mergeCell ref="C6:F6"/>
    <mergeCell ref="C7:F7"/>
    <mergeCell ref="C8:F8"/>
  </mergeCells>
  <pageMargins left="0.7" right="0.7" top="0.75" bottom="0.75" header="0.3" footer="0.3"/>
  <pageSetup paperSize="9" scale="63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3:L22"/>
  <sheetViews>
    <sheetView view="pageBreakPreview" zoomScale="70" zoomScaleNormal="85" workbookViewId="0">
      <selection activeCell="E52" sqref="E52"/>
    </sheetView>
  </sheetViews>
  <sheetFormatPr defaultColWidth="9.140625" defaultRowHeight="15" x14ac:dyDescent="0.25"/>
  <cols>
    <col min="1" max="1" width="5.5703125" customWidth="1"/>
    <col min="3" max="3" width="28.140625" customWidth="1"/>
    <col min="4" max="4" width="13.85546875" customWidth="1"/>
    <col min="5" max="5" width="39" customWidth="1"/>
    <col min="6" max="6" width="14.5703125" customWidth="1"/>
    <col min="7" max="7" width="21.42578125" customWidth="1"/>
    <col min="8" max="8" width="19.5703125" customWidth="1"/>
    <col min="9" max="9" width="13" customWidth="1"/>
    <col min="10" max="10" width="20.85546875" customWidth="1"/>
    <col min="11" max="11" width="18" customWidth="1"/>
  </cols>
  <sheetData>
    <row r="3" spans="2:12" ht="15.75" customHeight="1" x14ac:dyDescent="0.25">
      <c r="B3" s="103" t="s">
        <v>30</v>
      </c>
      <c r="C3" s="103"/>
      <c r="D3" s="103"/>
      <c r="E3" s="103"/>
      <c r="F3" s="103"/>
      <c r="G3" s="103"/>
      <c r="H3" s="103"/>
      <c r="I3" s="103"/>
      <c r="J3" s="103"/>
      <c r="K3" s="5"/>
    </row>
    <row r="4" spans="2:12" ht="15.75" customHeight="1" x14ac:dyDescent="0.25">
      <c r="B4" s="104" t="s">
        <v>31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2:12" ht="15.75" customHeight="1" x14ac:dyDescent="0.25">
      <c r="B5" s="57"/>
      <c r="C5" s="57"/>
      <c r="D5" s="57"/>
      <c r="E5" s="57"/>
      <c r="F5" s="57"/>
      <c r="G5" s="57"/>
      <c r="H5" s="57"/>
      <c r="I5" s="57"/>
      <c r="J5" s="57"/>
      <c r="K5" s="57"/>
    </row>
    <row r="6" spans="2:12" ht="15.75" customHeight="1" x14ac:dyDescent="0.25">
      <c r="B6" s="105" t="s">
        <v>32</v>
      </c>
      <c r="C6" s="105"/>
      <c r="D6" s="105"/>
      <c r="E6" s="105"/>
      <c r="F6" s="105"/>
      <c r="G6" s="105"/>
      <c r="H6" s="105"/>
      <c r="I6" s="105"/>
      <c r="J6" s="105"/>
      <c r="K6" s="105"/>
      <c r="L6" s="64"/>
    </row>
    <row r="7" spans="2:12" ht="15.75" customHeight="1" x14ac:dyDescent="0.25">
      <c r="B7" s="111" t="s">
        <v>4</v>
      </c>
      <c r="C7" s="111"/>
      <c r="D7" s="111"/>
      <c r="E7" s="111"/>
      <c r="F7" s="111"/>
      <c r="G7" s="105"/>
      <c r="H7" s="105"/>
      <c r="I7" s="105"/>
      <c r="J7" s="105"/>
      <c r="K7" s="105"/>
      <c r="L7" s="64"/>
    </row>
    <row r="8" spans="2:12" ht="18.75" customHeight="1" x14ac:dyDescent="0.25">
      <c r="B8" s="7"/>
      <c r="K8" s="65" t="str">
        <f>'Прил.1 Сравнит табл'!J15</f>
        <v/>
      </c>
    </row>
    <row r="9" spans="2:12" s="1" customFormat="1" ht="15.75" customHeight="1" x14ac:dyDescent="0.25">
      <c r="B9" s="112" t="s">
        <v>33</v>
      </c>
      <c r="C9" s="112" t="s">
        <v>34</v>
      </c>
      <c r="D9" s="112" t="s">
        <v>35</v>
      </c>
      <c r="E9" s="112"/>
      <c r="F9" s="112"/>
      <c r="G9" s="112"/>
      <c r="H9" s="112"/>
      <c r="I9" s="112"/>
      <c r="J9" s="112"/>
    </row>
    <row r="10" spans="2:12" s="1" customFormat="1" ht="15.75" customHeight="1" x14ac:dyDescent="0.25">
      <c r="B10" s="112"/>
      <c r="C10" s="112"/>
      <c r="D10" s="112" t="s">
        <v>36</v>
      </c>
      <c r="E10" s="112" t="s">
        <v>37</v>
      </c>
      <c r="F10" s="112" t="s">
        <v>38</v>
      </c>
      <c r="G10" s="112"/>
      <c r="H10" s="112"/>
      <c r="I10" s="112"/>
      <c r="J10" s="112"/>
    </row>
    <row r="11" spans="2:12" s="1" customFormat="1" ht="31.7" customHeight="1" x14ac:dyDescent="0.25">
      <c r="B11" s="112"/>
      <c r="C11" s="112"/>
      <c r="D11" s="112"/>
      <c r="E11" s="112"/>
      <c r="F11" s="4" t="s">
        <v>39</v>
      </c>
      <c r="G11" s="4" t="s">
        <v>40</v>
      </c>
      <c r="H11" s="4" t="s">
        <v>41</v>
      </c>
      <c r="I11" s="4" t="s">
        <v>42</v>
      </c>
      <c r="J11" s="4" t="s">
        <v>43</v>
      </c>
    </row>
    <row r="12" spans="2:12" s="1" customFormat="1" ht="31.7" customHeight="1" x14ac:dyDescent="0.25">
      <c r="B12" s="77"/>
      <c r="C12" s="48" t="s">
        <v>44</v>
      </c>
      <c r="D12" s="78"/>
      <c r="E12" s="4"/>
      <c r="F12" s="106">
        <f>(Прил.3!H12+Прил.3!H24+Прил.3!H26+Прил.3!H50)*8.11/1000</f>
        <v>2532.9460179999996</v>
      </c>
      <c r="G12" s="107"/>
      <c r="H12" s="79">
        <v>0</v>
      </c>
      <c r="I12" s="80"/>
      <c r="J12" s="81">
        <f>F12+H12</f>
        <v>2532.9460179999996</v>
      </c>
    </row>
    <row r="13" spans="2:12" s="1" customFormat="1" ht="15.75" customHeight="1" x14ac:dyDescent="0.25">
      <c r="B13" s="110" t="s">
        <v>45</v>
      </c>
      <c r="C13" s="110"/>
      <c r="D13" s="110"/>
      <c r="E13" s="110"/>
      <c r="F13" s="82"/>
      <c r="G13" s="82"/>
      <c r="H13" s="82"/>
      <c r="I13" s="83"/>
      <c r="J13" s="84"/>
    </row>
    <row r="14" spans="2:12" s="1" customFormat="1" ht="15.75" customHeight="1" x14ac:dyDescent="0.25">
      <c r="B14" s="110" t="s">
        <v>46</v>
      </c>
      <c r="C14" s="110"/>
      <c r="D14" s="110"/>
      <c r="E14" s="110"/>
      <c r="F14" s="108">
        <f>F12</f>
        <v>2532.9460179999996</v>
      </c>
      <c r="G14" s="109"/>
      <c r="H14" s="82">
        <f>H12</f>
        <v>0</v>
      </c>
      <c r="I14" s="83"/>
      <c r="J14" s="84">
        <f>J12</f>
        <v>2532.9460179999996</v>
      </c>
    </row>
    <row r="15" spans="2:12" s="1" customFormat="1" ht="15.75" customHeight="1" x14ac:dyDescent="0.25">
      <c r="B15" s="2"/>
    </row>
    <row r="16" spans="2:12" s="1" customFormat="1" ht="15.75" customHeight="1" x14ac:dyDescent="0.25">
      <c r="C16" s="87"/>
      <c r="D16" s="87"/>
      <c r="E16" s="87"/>
    </row>
    <row r="17" spans="2:10" s="1" customFormat="1" ht="15.75" customHeight="1" x14ac:dyDescent="0.25">
      <c r="C17" s="87" t="s">
        <v>235</v>
      </c>
      <c r="D17" s="87"/>
      <c r="E17" s="87"/>
    </row>
    <row r="18" spans="2:10" s="1" customFormat="1" ht="15.75" customHeight="1" x14ac:dyDescent="0.25">
      <c r="C18" s="5" t="s">
        <v>28</v>
      </c>
      <c r="D18" s="87"/>
      <c r="E18" s="87"/>
    </row>
    <row r="19" spans="2:10" s="1" customFormat="1" ht="15.75" customHeight="1" x14ac:dyDescent="0.25">
      <c r="C19" s="87"/>
      <c r="D19" s="87"/>
      <c r="E19" s="87"/>
    </row>
    <row r="20" spans="2:10" ht="15.75" customHeight="1" x14ac:dyDescent="0.25">
      <c r="B20" s="1"/>
      <c r="C20" s="87" t="s">
        <v>381</v>
      </c>
      <c r="D20" s="87"/>
      <c r="E20" s="87"/>
      <c r="F20" s="1"/>
      <c r="G20" s="1"/>
      <c r="H20" s="1"/>
      <c r="I20" s="1"/>
      <c r="J20" s="1"/>
    </row>
    <row r="21" spans="2:10" ht="15.75" customHeight="1" x14ac:dyDescent="0.25">
      <c r="B21" s="1"/>
      <c r="C21" s="5" t="s">
        <v>29</v>
      </c>
      <c r="D21" s="87"/>
      <c r="E21" s="87"/>
      <c r="F21" s="1"/>
      <c r="G21" s="1"/>
      <c r="H21" s="1"/>
      <c r="I21" s="1"/>
      <c r="J21" s="1"/>
    </row>
    <row r="22" spans="2:10" ht="15.75" customHeight="1" x14ac:dyDescent="0.25">
      <c r="B22" s="1"/>
      <c r="C22" s="1"/>
      <c r="D22" s="1"/>
      <c r="E22" s="1"/>
      <c r="F22" s="1"/>
      <c r="G22" s="1"/>
      <c r="H22" s="1"/>
      <c r="I22" s="1"/>
      <c r="J22" s="1"/>
    </row>
  </sheetData>
  <mergeCells count="14">
    <mergeCell ref="F12:G12"/>
    <mergeCell ref="F14:G14"/>
    <mergeCell ref="B13:E13"/>
    <mergeCell ref="B14:E14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B3:J3"/>
  </mergeCells>
  <pageMargins left="0.7" right="0.7" top="0.75" bottom="0.75" header="0.3" footer="0.3"/>
  <pageSetup paperSize="9" scale="47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107"/>
  <sheetViews>
    <sheetView view="pageBreakPreview" zoomScale="55" zoomScaleNormal="100" zoomScaleSheetLayoutView="55" workbookViewId="0">
      <selection activeCell="F104" sqref="F104"/>
    </sheetView>
  </sheetViews>
  <sheetFormatPr defaultColWidth="9.140625" defaultRowHeight="15" x14ac:dyDescent="0.25"/>
  <cols>
    <col min="2" max="2" width="12.570312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</cols>
  <sheetData>
    <row r="2" spans="1:12" s="85" customFormat="1" x14ac:dyDescent="0.25"/>
    <row r="3" spans="1:12" ht="15.75" customHeight="1" x14ac:dyDescent="0.25">
      <c r="A3" s="103" t="s">
        <v>47</v>
      </c>
      <c r="B3" s="103"/>
      <c r="C3" s="103"/>
      <c r="D3" s="103"/>
      <c r="E3" s="103"/>
      <c r="F3" s="103"/>
      <c r="G3" s="103"/>
      <c r="H3" s="103"/>
    </row>
    <row r="4" spans="1:12" ht="18.75" customHeight="1" x14ac:dyDescent="0.25">
      <c r="A4" s="116" t="s">
        <v>48</v>
      </c>
      <c r="B4" s="116"/>
      <c r="C4" s="116"/>
      <c r="D4" s="116"/>
      <c r="E4" s="116"/>
      <c r="F4" s="116"/>
      <c r="G4" s="116"/>
      <c r="H4" s="116"/>
    </row>
    <row r="5" spans="1:12" ht="18.75" customHeight="1" x14ac:dyDescent="0.25">
      <c r="A5" s="10"/>
      <c r="B5" s="10"/>
      <c r="C5" s="117" t="s">
        <v>49</v>
      </c>
      <c r="D5" s="117"/>
      <c r="E5" s="117"/>
      <c r="F5" s="117"/>
      <c r="G5" s="117"/>
      <c r="H5" s="117"/>
      <c r="I5" s="1"/>
      <c r="J5" s="1"/>
      <c r="K5" s="1"/>
      <c r="L5" s="1"/>
    </row>
    <row r="6" spans="1:12" ht="18.75" customHeight="1" x14ac:dyDescent="0.25">
      <c r="A6" s="7"/>
    </row>
    <row r="7" spans="1:12" ht="15.75" customHeight="1" x14ac:dyDescent="0.25">
      <c r="A7" s="111" t="s">
        <v>32</v>
      </c>
      <c r="B7" s="111"/>
      <c r="C7" s="111"/>
      <c r="D7" s="111"/>
      <c r="E7" s="111"/>
      <c r="F7" s="111"/>
      <c r="G7" s="111"/>
      <c r="H7" s="111"/>
    </row>
    <row r="8" spans="1:12" s="1" customFormat="1" ht="15.75" customHeight="1" x14ac:dyDescent="0.25">
      <c r="A8" s="13"/>
      <c r="B8" s="13"/>
      <c r="C8" s="13"/>
      <c r="D8" s="13"/>
      <c r="E8" s="13"/>
      <c r="F8" s="13"/>
      <c r="G8" s="13"/>
      <c r="H8" s="13"/>
    </row>
    <row r="9" spans="1:12" s="1" customFormat="1" ht="38.25" customHeight="1" x14ac:dyDescent="0.25">
      <c r="A9" s="112" t="s">
        <v>50</v>
      </c>
      <c r="B9" s="112" t="s">
        <v>51</v>
      </c>
      <c r="C9" s="112" t="s">
        <v>52</v>
      </c>
      <c r="D9" s="112" t="s">
        <v>53</v>
      </c>
      <c r="E9" s="112" t="s">
        <v>54</v>
      </c>
      <c r="F9" s="112" t="s">
        <v>55</v>
      </c>
      <c r="G9" s="112" t="s">
        <v>56</v>
      </c>
      <c r="H9" s="112"/>
    </row>
    <row r="10" spans="1:12" s="1" customFormat="1" ht="40.700000000000003" customHeight="1" x14ac:dyDescent="0.25">
      <c r="A10" s="112"/>
      <c r="B10" s="112"/>
      <c r="C10" s="112"/>
      <c r="D10" s="112"/>
      <c r="E10" s="112"/>
      <c r="F10" s="112"/>
      <c r="G10" s="4" t="s">
        <v>57</v>
      </c>
      <c r="H10" s="4" t="s">
        <v>58</v>
      </c>
    </row>
    <row r="11" spans="1:12" s="1" customFormat="1" ht="15.75" customHeight="1" x14ac:dyDescent="0.25">
      <c r="A11" s="4">
        <v>1</v>
      </c>
      <c r="B11" s="4"/>
      <c r="C11" s="4">
        <v>2</v>
      </c>
      <c r="D11" s="4" t="s">
        <v>59</v>
      </c>
      <c r="E11" s="4">
        <v>4</v>
      </c>
      <c r="F11" s="4">
        <v>5</v>
      </c>
      <c r="G11" s="12">
        <v>6</v>
      </c>
      <c r="H11" s="12">
        <v>7</v>
      </c>
    </row>
    <row r="12" spans="1:12" s="11" customFormat="1" ht="15.75" customHeight="1" x14ac:dyDescent="0.25">
      <c r="A12" s="113" t="s">
        <v>60</v>
      </c>
      <c r="B12" s="114"/>
      <c r="C12" s="115"/>
      <c r="D12" s="115"/>
      <c r="E12" s="114"/>
      <c r="F12" s="14">
        <v>1329.458396</v>
      </c>
      <c r="G12" s="15"/>
      <c r="H12" s="15">
        <f>SUM(H13:H23)</f>
        <v>12160.98</v>
      </c>
    </row>
    <row r="13" spans="1:12" s="1" customFormat="1" ht="15.75" customHeight="1" x14ac:dyDescent="0.25">
      <c r="A13" s="16">
        <v>1</v>
      </c>
      <c r="B13" s="16"/>
      <c r="C13" s="17" t="s">
        <v>61</v>
      </c>
      <c r="D13" s="17" t="s">
        <v>62</v>
      </c>
      <c r="E13" s="16" t="s">
        <v>63</v>
      </c>
      <c r="F13" s="16">
        <v>977.15099999999995</v>
      </c>
      <c r="G13" s="18">
        <v>9.4</v>
      </c>
      <c r="H13" s="18">
        <f t="shared" ref="H13:H23" si="0">ROUND(F13*G13,2)</f>
        <v>9185.2199999999993</v>
      </c>
    </row>
    <row r="14" spans="1:12" s="1" customFormat="1" ht="15.75" customHeight="1" x14ac:dyDescent="0.25">
      <c r="A14" s="16">
        <v>2</v>
      </c>
      <c r="B14" s="16"/>
      <c r="C14" s="17" t="s">
        <v>64</v>
      </c>
      <c r="D14" s="17" t="s">
        <v>65</v>
      </c>
      <c r="E14" s="16" t="s">
        <v>63</v>
      </c>
      <c r="F14" s="16">
        <v>116.861946</v>
      </c>
      <c r="G14" s="18">
        <v>8.9700000000000006</v>
      </c>
      <c r="H14" s="18">
        <f t="shared" si="0"/>
        <v>1048.25</v>
      </c>
    </row>
    <row r="15" spans="1:12" s="1" customFormat="1" ht="15.75" customHeight="1" x14ac:dyDescent="0.25">
      <c r="A15" s="16">
        <v>3</v>
      </c>
      <c r="B15" s="16"/>
      <c r="C15" s="17" t="s">
        <v>66</v>
      </c>
      <c r="D15" s="17" t="s">
        <v>67</v>
      </c>
      <c r="E15" s="16" t="s">
        <v>63</v>
      </c>
      <c r="F15" s="16">
        <v>131.72835000000001</v>
      </c>
      <c r="G15" s="18">
        <v>7.94</v>
      </c>
      <c r="H15" s="18">
        <f t="shared" si="0"/>
        <v>1045.92</v>
      </c>
    </row>
    <row r="16" spans="1:12" s="1" customFormat="1" ht="15.75" customHeight="1" x14ac:dyDescent="0.25">
      <c r="A16" s="16">
        <v>4</v>
      </c>
      <c r="B16" s="16"/>
      <c r="C16" s="17" t="s">
        <v>68</v>
      </c>
      <c r="D16" s="17" t="s">
        <v>69</v>
      </c>
      <c r="E16" s="16" t="s">
        <v>63</v>
      </c>
      <c r="F16" s="16">
        <v>41.782499999999999</v>
      </c>
      <c r="G16" s="18">
        <v>8.5299999999999994</v>
      </c>
      <c r="H16" s="18">
        <f t="shared" si="0"/>
        <v>356.4</v>
      </c>
    </row>
    <row r="17" spans="1:8" s="1" customFormat="1" ht="15.75" customHeight="1" x14ac:dyDescent="0.25">
      <c r="A17" s="16">
        <v>5</v>
      </c>
      <c r="B17" s="16"/>
      <c r="C17" s="17" t="s">
        <v>70</v>
      </c>
      <c r="D17" s="17" t="s">
        <v>71</v>
      </c>
      <c r="E17" s="16" t="s">
        <v>63</v>
      </c>
      <c r="F17" s="16">
        <v>21.408000000000001</v>
      </c>
      <c r="G17" s="18">
        <v>8.3800000000000008</v>
      </c>
      <c r="H17" s="18">
        <f t="shared" si="0"/>
        <v>179.4</v>
      </c>
    </row>
    <row r="18" spans="1:8" s="1" customFormat="1" ht="15.75" customHeight="1" x14ac:dyDescent="0.25">
      <c r="A18" s="16">
        <v>6</v>
      </c>
      <c r="B18" s="16"/>
      <c r="C18" s="17" t="s">
        <v>72</v>
      </c>
      <c r="D18" s="17" t="s">
        <v>73</v>
      </c>
      <c r="E18" s="16" t="s">
        <v>63</v>
      </c>
      <c r="F18" s="16">
        <v>11.505000000000001</v>
      </c>
      <c r="G18" s="18">
        <v>7.5</v>
      </c>
      <c r="H18" s="18">
        <f t="shared" si="0"/>
        <v>86.29</v>
      </c>
    </row>
    <row r="19" spans="1:8" s="1" customFormat="1" ht="15.75" customHeight="1" x14ac:dyDescent="0.25">
      <c r="A19" s="16">
        <v>7</v>
      </c>
      <c r="B19" s="16"/>
      <c r="C19" s="17" t="s">
        <v>74</v>
      </c>
      <c r="D19" s="17" t="s">
        <v>75</v>
      </c>
      <c r="E19" s="16" t="s">
        <v>63</v>
      </c>
      <c r="F19" s="16">
        <v>9.52</v>
      </c>
      <c r="G19" s="18">
        <v>8.74</v>
      </c>
      <c r="H19" s="18">
        <f t="shared" si="0"/>
        <v>83.2</v>
      </c>
    </row>
    <row r="20" spans="1:8" s="1" customFormat="1" ht="15.75" customHeight="1" x14ac:dyDescent="0.25">
      <c r="A20" s="16">
        <v>8</v>
      </c>
      <c r="B20" s="16"/>
      <c r="C20" s="17" t="s">
        <v>76</v>
      </c>
      <c r="D20" s="17" t="s">
        <v>77</v>
      </c>
      <c r="E20" s="16" t="s">
        <v>63</v>
      </c>
      <c r="F20" s="16">
        <v>8.24</v>
      </c>
      <c r="G20" s="18">
        <v>9.6199999999999992</v>
      </c>
      <c r="H20" s="18">
        <f t="shared" si="0"/>
        <v>79.27</v>
      </c>
    </row>
    <row r="21" spans="1:8" s="1" customFormat="1" ht="15.75" customHeight="1" x14ac:dyDescent="0.25">
      <c r="A21" s="16">
        <v>9</v>
      </c>
      <c r="B21" s="16"/>
      <c r="C21" s="17" t="s">
        <v>78</v>
      </c>
      <c r="D21" s="17" t="s">
        <v>79</v>
      </c>
      <c r="E21" s="16" t="s">
        <v>63</v>
      </c>
      <c r="F21" s="16">
        <v>8.6679999999999993</v>
      </c>
      <c r="G21" s="18">
        <v>8.4600000000000009</v>
      </c>
      <c r="H21" s="18">
        <f t="shared" si="0"/>
        <v>73.33</v>
      </c>
    </row>
    <row r="22" spans="1:8" s="1" customFormat="1" ht="15.75" customHeight="1" x14ac:dyDescent="0.25">
      <c r="A22" s="16">
        <v>10</v>
      </c>
      <c r="B22" s="16"/>
      <c r="C22" s="17" t="s">
        <v>80</v>
      </c>
      <c r="D22" s="17" t="s">
        <v>81</v>
      </c>
      <c r="E22" s="16" t="s">
        <v>63</v>
      </c>
      <c r="F22" s="16">
        <v>2.32368</v>
      </c>
      <c r="G22" s="18">
        <v>9.2899999999999991</v>
      </c>
      <c r="H22" s="18">
        <f t="shared" si="0"/>
        <v>21.59</v>
      </c>
    </row>
    <row r="23" spans="1:8" s="1" customFormat="1" ht="15.75" customHeight="1" x14ac:dyDescent="0.25">
      <c r="A23" s="16">
        <v>11</v>
      </c>
      <c r="B23" s="16"/>
      <c r="C23" s="17" t="s">
        <v>82</v>
      </c>
      <c r="D23" s="17" t="s">
        <v>83</v>
      </c>
      <c r="E23" s="16" t="s">
        <v>63</v>
      </c>
      <c r="F23" s="16">
        <v>0.26991999999999999</v>
      </c>
      <c r="G23" s="18">
        <v>7.8</v>
      </c>
      <c r="H23" s="18">
        <f t="shared" si="0"/>
        <v>2.11</v>
      </c>
    </row>
    <row r="24" spans="1:8" s="11" customFormat="1" ht="15.75" customHeight="1" x14ac:dyDescent="0.25">
      <c r="A24" s="113" t="s">
        <v>84</v>
      </c>
      <c r="B24" s="114"/>
      <c r="C24" s="115"/>
      <c r="D24" s="115"/>
      <c r="E24" s="114"/>
      <c r="F24" s="14">
        <v>171.7848664</v>
      </c>
      <c r="G24" s="15"/>
      <c r="H24" s="15">
        <f>SUM(H25:H25)</f>
        <v>2265.84</v>
      </c>
    </row>
    <row r="25" spans="1:8" s="1" customFormat="1" ht="15.75" customHeight="1" x14ac:dyDescent="0.25">
      <c r="A25" s="16">
        <v>12</v>
      </c>
      <c r="B25" s="16"/>
      <c r="C25" s="17">
        <v>2</v>
      </c>
      <c r="D25" s="17" t="s">
        <v>84</v>
      </c>
      <c r="E25" s="16" t="s">
        <v>63</v>
      </c>
      <c r="F25" s="16">
        <v>171.7848664</v>
      </c>
      <c r="G25" s="18">
        <v>13.19</v>
      </c>
      <c r="H25" s="18">
        <f>ROUND(F25*G25,2)</f>
        <v>2265.84</v>
      </c>
    </row>
    <row r="26" spans="1:8" s="11" customFormat="1" ht="15.75" customHeight="1" x14ac:dyDescent="0.25">
      <c r="A26" s="113" t="s">
        <v>85</v>
      </c>
      <c r="B26" s="114"/>
      <c r="C26" s="115"/>
      <c r="D26" s="115"/>
      <c r="E26" s="114"/>
      <c r="F26" s="14"/>
      <c r="G26" s="15"/>
      <c r="H26" s="15">
        <f>SUM(H27:H49)</f>
        <v>26201</v>
      </c>
    </row>
    <row r="27" spans="1:8" s="1" customFormat="1" ht="31.7" customHeight="1" x14ac:dyDescent="0.25">
      <c r="A27" s="16">
        <v>13</v>
      </c>
      <c r="B27" s="16"/>
      <c r="C27" s="19" t="s">
        <v>86</v>
      </c>
      <c r="D27" s="17" t="s">
        <v>87</v>
      </c>
      <c r="E27" s="16" t="s">
        <v>88</v>
      </c>
      <c r="F27" s="16">
        <v>120.42341999999999</v>
      </c>
      <c r="G27" s="18">
        <v>96.89</v>
      </c>
      <c r="H27" s="18">
        <f t="shared" ref="H27:H49" si="1">ROUND(F27*G27,2)</f>
        <v>11667.83</v>
      </c>
    </row>
    <row r="28" spans="1:8" s="1" customFormat="1" ht="15.75" customHeight="1" x14ac:dyDescent="0.25">
      <c r="A28" s="16">
        <v>14</v>
      </c>
      <c r="B28" s="16"/>
      <c r="C28" s="19" t="s">
        <v>89</v>
      </c>
      <c r="D28" s="17" t="s">
        <v>90</v>
      </c>
      <c r="E28" s="16" t="s">
        <v>91</v>
      </c>
      <c r="F28" s="16">
        <v>50.469900000000003</v>
      </c>
      <c r="G28" s="18">
        <v>184.39</v>
      </c>
      <c r="H28" s="18">
        <f t="shared" si="1"/>
        <v>9306.14</v>
      </c>
    </row>
    <row r="29" spans="1:8" s="1" customFormat="1" ht="31.7" customHeight="1" x14ac:dyDescent="0.25">
      <c r="A29" s="16">
        <v>15</v>
      </c>
      <c r="B29" s="16"/>
      <c r="C29" s="19" t="s">
        <v>92</v>
      </c>
      <c r="D29" s="17" t="s">
        <v>93</v>
      </c>
      <c r="E29" s="16" t="s">
        <v>88</v>
      </c>
      <c r="F29" s="16">
        <v>8.56</v>
      </c>
      <c r="G29" s="18">
        <v>138.54</v>
      </c>
      <c r="H29" s="18">
        <f t="shared" si="1"/>
        <v>1185.9000000000001</v>
      </c>
    </row>
    <row r="30" spans="1:8" s="1" customFormat="1" ht="31.7" customHeight="1" x14ac:dyDescent="0.25">
      <c r="A30" s="16">
        <v>16</v>
      </c>
      <c r="B30" s="16"/>
      <c r="C30" s="19" t="s">
        <v>94</v>
      </c>
      <c r="D30" s="17" t="s">
        <v>95</v>
      </c>
      <c r="E30" s="16" t="s">
        <v>88</v>
      </c>
      <c r="F30" s="16">
        <v>7.6130000000000004</v>
      </c>
      <c r="G30" s="18">
        <v>115.27</v>
      </c>
      <c r="H30" s="18">
        <f t="shared" si="1"/>
        <v>877.55</v>
      </c>
    </row>
    <row r="31" spans="1:8" s="1" customFormat="1" ht="47.25" customHeight="1" x14ac:dyDescent="0.25">
      <c r="A31" s="16">
        <v>17</v>
      </c>
      <c r="B31" s="16"/>
      <c r="C31" s="19" t="s">
        <v>96</v>
      </c>
      <c r="D31" s="17" t="s">
        <v>97</v>
      </c>
      <c r="E31" s="16" t="s">
        <v>88</v>
      </c>
      <c r="F31" s="16">
        <v>6.9168000000000003</v>
      </c>
      <c r="G31" s="18">
        <v>90</v>
      </c>
      <c r="H31" s="18">
        <f t="shared" si="1"/>
        <v>622.51</v>
      </c>
    </row>
    <row r="32" spans="1:8" s="1" customFormat="1" ht="15.75" customHeight="1" x14ac:dyDescent="0.25">
      <c r="A32" s="16">
        <v>18</v>
      </c>
      <c r="B32" s="16"/>
      <c r="C32" s="19" t="s">
        <v>98</v>
      </c>
      <c r="D32" s="17" t="s">
        <v>99</v>
      </c>
      <c r="E32" s="16" t="s">
        <v>88</v>
      </c>
      <c r="F32" s="16">
        <v>9.4272235999999996</v>
      </c>
      <c r="G32" s="18">
        <v>65.709999999999994</v>
      </c>
      <c r="H32" s="18">
        <f t="shared" si="1"/>
        <v>619.46</v>
      </c>
    </row>
    <row r="33" spans="1:8" s="1" customFormat="1" ht="31.7" customHeight="1" x14ac:dyDescent="0.25">
      <c r="A33" s="16">
        <v>19</v>
      </c>
      <c r="B33" s="16"/>
      <c r="C33" s="19" t="s">
        <v>100</v>
      </c>
      <c r="D33" s="17" t="s">
        <v>101</v>
      </c>
      <c r="E33" s="16" t="s">
        <v>88</v>
      </c>
      <c r="F33" s="16">
        <v>4.2075189999999996</v>
      </c>
      <c r="G33" s="18">
        <v>115.4</v>
      </c>
      <c r="H33" s="18">
        <f t="shared" si="1"/>
        <v>485.55</v>
      </c>
    </row>
    <row r="34" spans="1:8" s="1" customFormat="1" ht="31.7" customHeight="1" x14ac:dyDescent="0.25">
      <c r="A34" s="16">
        <v>20</v>
      </c>
      <c r="B34" s="16"/>
      <c r="C34" s="19" t="s">
        <v>102</v>
      </c>
      <c r="D34" s="17" t="s">
        <v>103</v>
      </c>
      <c r="E34" s="16" t="s">
        <v>88</v>
      </c>
      <c r="F34" s="16">
        <v>42.778500000000001</v>
      </c>
      <c r="G34" s="18">
        <v>8.1</v>
      </c>
      <c r="H34" s="18">
        <f t="shared" si="1"/>
        <v>346.51</v>
      </c>
    </row>
    <row r="35" spans="1:8" s="1" customFormat="1" ht="31.7" customHeight="1" x14ac:dyDescent="0.25">
      <c r="A35" s="16">
        <v>21</v>
      </c>
      <c r="B35" s="16"/>
      <c r="C35" s="19" t="s">
        <v>104</v>
      </c>
      <c r="D35" s="17" t="s">
        <v>105</v>
      </c>
      <c r="E35" s="16" t="s">
        <v>88</v>
      </c>
      <c r="F35" s="16">
        <v>8.6020000000000003</v>
      </c>
      <c r="G35" s="18">
        <v>31.26</v>
      </c>
      <c r="H35" s="18">
        <f t="shared" si="1"/>
        <v>268.89999999999998</v>
      </c>
    </row>
    <row r="36" spans="1:8" s="1" customFormat="1" ht="31.7" customHeight="1" x14ac:dyDescent="0.25">
      <c r="A36" s="16">
        <v>22</v>
      </c>
      <c r="B36" s="16"/>
      <c r="C36" s="19" t="s">
        <v>106</v>
      </c>
      <c r="D36" s="17" t="s">
        <v>107</v>
      </c>
      <c r="E36" s="16" t="s">
        <v>88</v>
      </c>
      <c r="F36" s="16">
        <v>1.9516042</v>
      </c>
      <c r="G36" s="18">
        <v>120.04</v>
      </c>
      <c r="H36" s="18">
        <f t="shared" si="1"/>
        <v>234.27</v>
      </c>
    </row>
    <row r="37" spans="1:8" s="1" customFormat="1" ht="15.75" customHeight="1" x14ac:dyDescent="0.25">
      <c r="A37" s="16">
        <v>23</v>
      </c>
      <c r="B37" s="16"/>
      <c r="C37" s="19" t="s">
        <v>108</v>
      </c>
      <c r="D37" s="17" t="s">
        <v>109</v>
      </c>
      <c r="E37" s="16" t="s">
        <v>88</v>
      </c>
      <c r="F37" s="16">
        <v>1.6201996000000001</v>
      </c>
      <c r="G37" s="18">
        <v>120.24</v>
      </c>
      <c r="H37" s="18">
        <f t="shared" si="1"/>
        <v>194.81</v>
      </c>
    </row>
    <row r="38" spans="1:8" s="1" customFormat="1" ht="15.75" customHeight="1" x14ac:dyDescent="0.25">
      <c r="A38" s="16">
        <v>24</v>
      </c>
      <c r="B38" s="16"/>
      <c r="C38" s="19" t="s">
        <v>110</v>
      </c>
      <c r="D38" s="17" t="s">
        <v>111</v>
      </c>
      <c r="E38" s="16" t="s">
        <v>88</v>
      </c>
      <c r="F38" s="16">
        <v>1.4176800000000001</v>
      </c>
      <c r="G38" s="18">
        <v>94.05</v>
      </c>
      <c r="H38" s="18">
        <f t="shared" si="1"/>
        <v>133.33000000000001</v>
      </c>
    </row>
    <row r="39" spans="1:8" s="1" customFormat="1" ht="15.75" customHeight="1" x14ac:dyDescent="0.25">
      <c r="A39" s="16">
        <v>25</v>
      </c>
      <c r="B39" s="16"/>
      <c r="C39" s="19" t="s">
        <v>112</v>
      </c>
      <c r="D39" s="17" t="s">
        <v>113</v>
      </c>
      <c r="E39" s="16" t="s">
        <v>88</v>
      </c>
      <c r="F39" s="16">
        <v>55.624870000000001</v>
      </c>
      <c r="G39" s="18">
        <v>1.9</v>
      </c>
      <c r="H39" s="18">
        <f t="shared" si="1"/>
        <v>105.69</v>
      </c>
    </row>
    <row r="40" spans="1:8" s="1" customFormat="1" ht="15.75" customHeight="1" x14ac:dyDescent="0.25">
      <c r="A40" s="16">
        <v>26</v>
      </c>
      <c r="B40" s="16"/>
      <c r="C40" s="19" t="s">
        <v>114</v>
      </c>
      <c r="D40" s="17" t="s">
        <v>115</v>
      </c>
      <c r="E40" s="16" t="s">
        <v>88</v>
      </c>
      <c r="F40" s="16">
        <v>0.46060000000000001</v>
      </c>
      <c r="G40" s="18">
        <v>86.4</v>
      </c>
      <c r="H40" s="18">
        <f t="shared" si="1"/>
        <v>39.799999999999997</v>
      </c>
    </row>
    <row r="41" spans="1:8" s="1" customFormat="1" ht="15.75" customHeight="1" x14ac:dyDescent="0.25">
      <c r="A41" s="16">
        <v>27</v>
      </c>
      <c r="B41" s="16"/>
      <c r="C41" s="19" t="s">
        <v>116</v>
      </c>
      <c r="D41" s="17" t="s">
        <v>117</v>
      </c>
      <c r="E41" s="16" t="s">
        <v>88</v>
      </c>
      <c r="F41" s="16">
        <v>0.43285000000000001</v>
      </c>
      <c r="G41" s="18">
        <v>89.99</v>
      </c>
      <c r="H41" s="18">
        <f t="shared" si="1"/>
        <v>38.950000000000003</v>
      </c>
    </row>
    <row r="42" spans="1:8" s="1" customFormat="1" ht="15.75" customHeight="1" x14ac:dyDescent="0.25">
      <c r="A42" s="16">
        <v>28</v>
      </c>
      <c r="B42" s="16"/>
      <c r="C42" s="19" t="s">
        <v>118</v>
      </c>
      <c r="D42" s="17" t="s">
        <v>119</v>
      </c>
      <c r="E42" s="16" t="s">
        <v>88</v>
      </c>
      <c r="F42" s="16">
        <v>67.388000000000005</v>
      </c>
      <c r="G42" s="18">
        <v>0.5</v>
      </c>
      <c r="H42" s="18">
        <f t="shared" si="1"/>
        <v>33.69</v>
      </c>
    </row>
    <row r="43" spans="1:8" s="1" customFormat="1" ht="31.7" customHeight="1" x14ac:dyDescent="0.25">
      <c r="A43" s="16">
        <v>29</v>
      </c>
      <c r="B43" s="16"/>
      <c r="C43" s="19" t="s">
        <v>120</v>
      </c>
      <c r="D43" s="17" t="s">
        <v>121</v>
      </c>
      <c r="E43" s="16" t="s">
        <v>88</v>
      </c>
      <c r="F43" s="16">
        <v>27.72</v>
      </c>
      <c r="G43" s="18">
        <v>0.55000000000000004</v>
      </c>
      <c r="H43" s="18">
        <f t="shared" si="1"/>
        <v>15.25</v>
      </c>
    </row>
    <row r="44" spans="1:8" s="1" customFormat="1" ht="47.25" customHeight="1" x14ac:dyDescent="0.25">
      <c r="A44" s="16">
        <v>30</v>
      </c>
      <c r="B44" s="16"/>
      <c r="C44" s="19" t="s">
        <v>122</v>
      </c>
      <c r="D44" s="17" t="s">
        <v>123</v>
      </c>
      <c r="E44" s="16" t="s">
        <v>88</v>
      </c>
      <c r="F44" s="16">
        <v>0.15196999999999999</v>
      </c>
      <c r="G44" s="18">
        <v>90.4</v>
      </c>
      <c r="H44" s="18">
        <f t="shared" si="1"/>
        <v>13.74</v>
      </c>
    </row>
    <row r="45" spans="1:8" s="1" customFormat="1" ht="15.75" customHeight="1" x14ac:dyDescent="0.25">
      <c r="A45" s="16">
        <v>31</v>
      </c>
      <c r="B45" s="16"/>
      <c r="C45" s="19" t="s">
        <v>124</v>
      </c>
      <c r="D45" s="17" t="s">
        <v>125</v>
      </c>
      <c r="E45" s="16" t="s">
        <v>88</v>
      </c>
      <c r="F45" s="16">
        <v>3.7018019999999998</v>
      </c>
      <c r="G45" s="18">
        <v>1.2</v>
      </c>
      <c r="H45" s="18">
        <f t="shared" si="1"/>
        <v>4.4400000000000004</v>
      </c>
    </row>
    <row r="46" spans="1:8" s="1" customFormat="1" ht="31.7" customHeight="1" x14ac:dyDescent="0.25">
      <c r="A46" s="16">
        <v>32</v>
      </c>
      <c r="B46" s="16"/>
      <c r="C46" s="19" t="s">
        <v>126</v>
      </c>
      <c r="D46" s="17" t="s">
        <v>127</v>
      </c>
      <c r="E46" s="16" t="s">
        <v>88</v>
      </c>
      <c r="F46" s="16">
        <v>0.79239999999999999</v>
      </c>
      <c r="G46" s="18">
        <v>4.91</v>
      </c>
      <c r="H46" s="18">
        <f t="shared" si="1"/>
        <v>3.89</v>
      </c>
    </row>
    <row r="47" spans="1:8" s="1" customFormat="1" ht="31.7" customHeight="1" x14ac:dyDescent="0.25">
      <c r="A47" s="16">
        <v>33</v>
      </c>
      <c r="B47" s="16"/>
      <c r="C47" s="19" t="s">
        <v>128</v>
      </c>
      <c r="D47" s="17" t="s">
        <v>129</v>
      </c>
      <c r="E47" s="16" t="s">
        <v>88</v>
      </c>
      <c r="F47" s="16">
        <v>0.1656658</v>
      </c>
      <c r="G47" s="18">
        <v>12.31</v>
      </c>
      <c r="H47" s="18">
        <f t="shared" si="1"/>
        <v>2.04</v>
      </c>
    </row>
    <row r="48" spans="1:8" s="1" customFormat="1" ht="31.7" customHeight="1" x14ac:dyDescent="0.25">
      <c r="A48" s="16">
        <v>34</v>
      </c>
      <c r="B48" s="16"/>
      <c r="C48" s="19" t="s">
        <v>130</v>
      </c>
      <c r="D48" s="17" t="s">
        <v>131</v>
      </c>
      <c r="E48" s="16" t="s">
        <v>88</v>
      </c>
      <c r="F48" s="16">
        <v>9.5339999999999994E-2</v>
      </c>
      <c r="G48" s="18">
        <v>6.9</v>
      </c>
      <c r="H48" s="18">
        <f t="shared" si="1"/>
        <v>0.66</v>
      </c>
    </row>
    <row r="49" spans="1:8" s="1" customFormat="1" ht="31.7" customHeight="1" x14ac:dyDescent="0.25">
      <c r="A49" s="16">
        <v>35</v>
      </c>
      <c r="B49" s="16"/>
      <c r="C49" s="19" t="s">
        <v>132</v>
      </c>
      <c r="D49" s="17" t="s">
        <v>133</v>
      </c>
      <c r="E49" s="16" t="s">
        <v>88</v>
      </c>
      <c r="F49" s="16">
        <v>5.2639999999999999E-2</v>
      </c>
      <c r="G49" s="18">
        <v>1.7</v>
      </c>
      <c r="H49" s="18">
        <f t="shared" si="1"/>
        <v>0.09</v>
      </c>
    </row>
    <row r="50" spans="1:8" s="11" customFormat="1" ht="15.75" customHeight="1" x14ac:dyDescent="0.25">
      <c r="A50" s="113" t="s">
        <v>134</v>
      </c>
      <c r="B50" s="114"/>
      <c r="C50" s="115"/>
      <c r="D50" s="115"/>
      <c r="E50" s="114"/>
      <c r="F50" s="14"/>
      <c r="G50" s="15"/>
      <c r="H50" s="15">
        <f>SUM(H51:H97)</f>
        <v>271695.98</v>
      </c>
    </row>
    <row r="51" spans="1:8" s="1" customFormat="1" ht="31.7" customHeight="1" x14ac:dyDescent="0.25">
      <c r="A51" s="16">
        <v>36</v>
      </c>
      <c r="B51" s="16"/>
      <c r="C51" s="19" t="s">
        <v>135</v>
      </c>
      <c r="D51" s="17" t="s">
        <v>136</v>
      </c>
      <c r="E51" s="16" t="s">
        <v>137</v>
      </c>
      <c r="F51" s="16">
        <v>78</v>
      </c>
      <c r="G51" s="18">
        <v>667.83</v>
      </c>
      <c r="H51" s="18">
        <f t="shared" ref="H51:H97" si="2">ROUND(F51*G51,2)</f>
        <v>52090.74</v>
      </c>
    </row>
    <row r="52" spans="1:8" s="1" customFormat="1" ht="31.7" customHeight="1" x14ac:dyDescent="0.25">
      <c r="A52" s="16">
        <v>37</v>
      </c>
      <c r="B52" s="16"/>
      <c r="C52" s="19" t="s">
        <v>138</v>
      </c>
      <c r="D52" s="17" t="s">
        <v>139</v>
      </c>
      <c r="E52" s="16" t="s">
        <v>137</v>
      </c>
      <c r="F52" s="16">
        <v>76</v>
      </c>
      <c r="G52" s="18">
        <v>665</v>
      </c>
      <c r="H52" s="18">
        <f t="shared" si="2"/>
        <v>50540</v>
      </c>
    </row>
    <row r="53" spans="1:8" s="1" customFormat="1" ht="47.25" customHeight="1" x14ac:dyDescent="0.25">
      <c r="A53" s="16">
        <v>38</v>
      </c>
      <c r="B53" s="16"/>
      <c r="C53" s="19" t="s">
        <v>140</v>
      </c>
      <c r="D53" s="17" t="s">
        <v>141</v>
      </c>
      <c r="E53" s="16" t="s">
        <v>142</v>
      </c>
      <c r="F53" s="16">
        <v>5</v>
      </c>
      <c r="G53" s="18">
        <v>8014.15</v>
      </c>
      <c r="H53" s="18">
        <f t="shared" si="2"/>
        <v>40070.75</v>
      </c>
    </row>
    <row r="54" spans="1:8" s="1" customFormat="1" ht="47.25" customHeight="1" x14ac:dyDescent="0.25">
      <c r="A54" s="16">
        <v>39</v>
      </c>
      <c r="B54" s="16"/>
      <c r="C54" s="19" t="s">
        <v>143</v>
      </c>
      <c r="D54" s="17" t="s">
        <v>144</v>
      </c>
      <c r="E54" s="16" t="s">
        <v>145</v>
      </c>
      <c r="F54" s="16">
        <v>127</v>
      </c>
      <c r="G54" s="18">
        <v>295.39999999999998</v>
      </c>
      <c r="H54" s="18">
        <f t="shared" si="2"/>
        <v>37515.800000000003</v>
      </c>
    </row>
    <row r="55" spans="1:8" s="1" customFormat="1" ht="31.7" customHeight="1" x14ac:dyDescent="0.25">
      <c r="A55" s="16">
        <v>40</v>
      </c>
      <c r="B55" s="16"/>
      <c r="C55" s="19" t="s">
        <v>146</v>
      </c>
      <c r="D55" s="17" t="s">
        <v>147</v>
      </c>
      <c r="E55" s="16" t="s">
        <v>142</v>
      </c>
      <c r="F55" s="16">
        <v>2</v>
      </c>
      <c r="G55" s="18">
        <v>10046</v>
      </c>
      <c r="H55" s="18">
        <f t="shared" si="2"/>
        <v>20092</v>
      </c>
    </row>
    <row r="56" spans="1:8" s="1" customFormat="1" ht="47.25" customHeight="1" x14ac:dyDescent="0.25">
      <c r="A56" s="16">
        <v>41</v>
      </c>
      <c r="B56" s="16"/>
      <c r="C56" s="19" t="s">
        <v>148</v>
      </c>
      <c r="D56" s="17" t="s">
        <v>149</v>
      </c>
      <c r="E56" s="16" t="s">
        <v>145</v>
      </c>
      <c r="F56" s="16">
        <v>130</v>
      </c>
      <c r="G56" s="18">
        <v>122.89</v>
      </c>
      <c r="H56" s="18">
        <f t="shared" si="2"/>
        <v>15975.7</v>
      </c>
    </row>
    <row r="57" spans="1:8" s="1" customFormat="1" ht="15.75" customHeight="1" x14ac:dyDescent="0.25">
      <c r="A57" s="16">
        <v>42</v>
      </c>
      <c r="B57" s="16"/>
      <c r="C57" s="19" t="s">
        <v>150</v>
      </c>
      <c r="D57" s="17" t="s">
        <v>151</v>
      </c>
      <c r="E57" s="16" t="s">
        <v>137</v>
      </c>
      <c r="F57" s="16">
        <v>18</v>
      </c>
      <c r="G57" s="18">
        <v>711.5</v>
      </c>
      <c r="H57" s="18">
        <f t="shared" si="2"/>
        <v>12807</v>
      </c>
    </row>
    <row r="58" spans="1:8" s="1" customFormat="1" ht="47.25" customHeight="1" x14ac:dyDescent="0.25">
      <c r="A58" s="16">
        <v>43</v>
      </c>
      <c r="B58" s="16"/>
      <c r="C58" s="19" t="s">
        <v>152</v>
      </c>
      <c r="D58" s="17" t="s">
        <v>153</v>
      </c>
      <c r="E58" s="16" t="s">
        <v>142</v>
      </c>
      <c r="F58" s="16">
        <v>1.87</v>
      </c>
      <c r="G58" s="18">
        <v>6932.64</v>
      </c>
      <c r="H58" s="18">
        <f t="shared" si="2"/>
        <v>12964.04</v>
      </c>
    </row>
    <row r="59" spans="1:8" s="1" customFormat="1" ht="78.75" customHeight="1" x14ac:dyDescent="0.25">
      <c r="A59" s="16">
        <v>44</v>
      </c>
      <c r="B59" s="16"/>
      <c r="C59" s="19" t="s">
        <v>154</v>
      </c>
      <c r="D59" s="17" t="s">
        <v>155</v>
      </c>
      <c r="E59" s="16" t="s">
        <v>156</v>
      </c>
      <c r="F59" s="16">
        <v>1</v>
      </c>
      <c r="G59" s="18">
        <v>9144.26</v>
      </c>
      <c r="H59" s="18">
        <f t="shared" si="2"/>
        <v>9144.26</v>
      </c>
    </row>
    <row r="60" spans="1:8" s="1" customFormat="1" ht="47.25" customHeight="1" x14ac:dyDescent="0.25">
      <c r="A60" s="16">
        <v>45</v>
      </c>
      <c r="B60" s="16"/>
      <c r="C60" s="19" t="s">
        <v>157</v>
      </c>
      <c r="D60" s="17" t="s">
        <v>158</v>
      </c>
      <c r="E60" s="16" t="s">
        <v>156</v>
      </c>
      <c r="F60" s="16">
        <v>24</v>
      </c>
      <c r="G60" s="18">
        <v>314.94</v>
      </c>
      <c r="H60" s="18">
        <f t="shared" si="2"/>
        <v>7558.56</v>
      </c>
    </row>
    <row r="61" spans="1:8" s="1" customFormat="1" ht="47.25" customHeight="1" x14ac:dyDescent="0.25">
      <c r="A61" s="16">
        <v>46</v>
      </c>
      <c r="B61" s="16"/>
      <c r="C61" s="19" t="s">
        <v>159</v>
      </c>
      <c r="D61" s="17" t="s">
        <v>160</v>
      </c>
      <c r="E61" s="16" t="s">
        <v>156</v>
      </c>
      <c r="F61" s="16">
        <v>20</v>
      </c>
      <c r="G61" s="18">
        <v>120.9</v>
      </c>
      <c r="H61" s="18">
        <f t="shared" si="2"/>
        <v>2418</v>
      </c>
    </row>
    <row r="62" spans="1:8" s="1" customFormat="1" ht="15.75" customHeight="1" x14ac:dyDescent="0.25">
      <c r="A62" s="16">
        <v>47</v>
      </c>
      <c r="B62" s="16"/>
      <c r="C62" s="19" t="s">
        <v>161</v>
      </c>
      <c r="D62" s="17" t="s">
        <v>162</v>
      </c>
      <c r="E62" s="16" t="s">
        <v>163</v>
      </c>
      <c r="F62" s="16">
        <v>50</v>
      </c>
      <c r="G62" s="18">
        <v>35.53</v>
      </c>
      <c r="H62" s="18">
        <f t="shared" si="2"/>
        <v>1776.5</v>
      </c>
    </row>
    <row r="63" spans="1:8" s="1" customFormat="1" ht="47.25" customHeight="1" x14ac:dyDescent="0.25">
      <c r="A63" s="16">
        <v>48</v>
      </c>
      <c r="B63" s="16"/>
      <c r="C63" s="19" t="s">
        <v>164</v>
      </c>
      <c r="D63" s="17" t="s">
        <v>165</v>
      </c>
      <c r="E63" s="16" t="s">
        <v>137</v>
      </c>
      <c r="F63" s="16">
        <v>1.5</v>
      </c>
      <c r="G63" s="18">
        <v>1056</v>
      </c>
      <c r="H63" s="18">
        <f t="shared" si="2"/>
        <v>1584</v>
      </c>
    </row>
    <row r="64" spans="1:8" s="1" customFormat="1" ht="47.25" customHeight="1" x14ac:dyDescent="0.25">
      <c r="A64" s="16">
        <v>49</v>
      </c>
      <c r="B64" s="16"/>
      <c r="C64" s="19" t="s">
        <v>166</v>
      </c>
      <c r="D64" s="17" t="s">
        <v>167</v>
      </c>
      <c r="E64" s="16" t="s">
        <v>137</v>
      </c>
      <c r="F64" s="16">
        <v>2.2999999999999998</v>
      </c>
      <c r="G64" s="18">
        <v>636.19000000000005</v>
      </c>
      <c r="H64" s="18">
        <f t="shared" si="2"/>
        <v>1463.24</v>
      </c>
    </row>
    <row r="65" spans="1:8" s="1" customFormat="1" ht="15.75" customHeight="1" x14ac:dyDescent="0.25">
      <c r="A65" s="16">
        <v>50</v>
      </c>
      <c r="B65" s="16"/>
      <c r="C65" s="19" t="s">
        <v>168</v>
      </c>
      <c r="D65" s="17" t="s">
        <v>169</v>
      </c>
      <c r="E65" s="16" t="s">
        <v>142</v>
      </c>
      <c r="F65" s="16">
        <v>0.08</v>
      </c>
      <c r="G65" s="18">
        <v>11978</v>
      </c>
      <c r="H65" s="18">
        <f t="shared" si="2"/>
        <v>958.24</v>
      </c>
    </row>
    <row r="66" spans="1:8" s="1" customFormat="1" ht="31.7" customHeight="1" x14ac:dyDescent="0.25">
      <c r="A66" s="16">
        <v>51</v>
      </c>
      <c r="B66" s="16"/>
      <c r="C66" s="19" t="s">
        <v>170</v>
      </c>
      <c r="D66" s="17" t="s">
        <v>171</v>
      </c>
      <c r="E66" s="16" t="s">
        <v>142</v>
      </c>
      <c r="F66" s="16">
        <v>7.0000000000000007E-2</v>
      </c>
      <c r="G66" s="18">
        <v>10100</v>
      </c>
      <c r="H66" s="18">
        <f t="shared" si="2"/>
        <v>707</v>
      </c>
    </row>
    <row r="67" spans="1:8" s="1" customFormat="1" ht="31.7" customHeight="1" x14ac:dyDescent="0.25">
      <c r="A67" s="16">
        <v>52</v>
      </c>
      <c r="B67" s="16"/>
      <c r="C67" s="19" t="s">
        <v>172</v>
      </c>
      <c r="D67" s="17" t="s">
        <v>173</v>
      </c>
      <c r="E67" s="16" t="s">
        <v>142</v>
      </c>
      <c r="F67" s="16">
        <v>0.15163550000000001</v>
      </c>
      <c r="G67" s="18">
        <v>4455.2</v>
      </c>
      <c r="H67" s="18">
        <f t="shared" si="2"/>
        <v>675.57</v>
      </c>
    </row>
    <row r="68" spans="1:8" s="1" customFormat="1" ht="15.75" customHeight="1" x14ac:dyDescent="0.25">
      <c r="A68" s="16">
        <v>53</v>
      </c>
      <c r="B68" s="16"/>
      <c r="C68" s="19" t="s">
        <v>174</v>
      </c>
      <c r="D68" s="17" t="s">
        <v>175</v>
      </c>
      <c r="E68" s="16" t="s">
        <v>142</v>
      </c>
      <c r="F68" s="16">
        <v>7.0546999999999999E-2</v>
      </c>
      <c r="G68" s="18">
        <v>9424</v>
      </c>
      <c r="H68" s="18">
        <f t="shared" si="2"/>
        <v>664.83</v>
      </c>
    </row>
    <row r="69" spans="1:8" s="1" customFormat="1" ht="47.25" customHeight="1" x14ac:dyDescent="0.25">
      <c r="A69" s="16">
        <v>54</v>
      </c>
      <c r="B69" s="16"/>
      <c r="C69" s="19" t="s">
        <v>176</v>
      </c>
      <c r="D69" s="17" t="s">
        <v>177</v>
      </c>
      <c r="E69" s="16" t="s">
        <v>137</v>
      </c>
      <c r="F69" s="16">
        <v>1.02</v>
      </c>
      <c r="G69" s="18">
        <v>600</v>
      </c>
      <c r="H69" s="18">
        <f t="shared" si="2"/>
        <v>612</v>
      </c>
    </row>
    <row r="70" spans="1:8" s="1" customFormat="1" ht="15.75" customHeight="1" x14ac:dyDescent="0.25">
      <c r="A70" s="16">
        <v>55</v>
      </c>
      <c r="B70" s="16"/>
      <c r="C70" s="19" t="s">
        <v>178</v>
      </c>
      <c r="D70" s="17" t="s">
        <v>179</v>
      </c>
      <c r="E70" s="16" t="s">
        <v>137</v>
      </c>
      <c r="F70" s="16">
        <v>0.94799999999999995</v>
      </c>
      <c r="G70" s="18">
        <v>519.79999999999995</v>
      </c>
      <c r="H70" s="18">
        <f t="shared" si="2"/>
        <v>492.77</v>
      </c>
    </row>
    <row r="71" spans="1:8" s="1" customFormat="1" ht="15.75" customHeight="1" x14ac:dyDescent="0.25">
      <c r="A71" s="16">
        <v>56</v>
      </c>
      <c r="B71" s="16"/>
      <c r="C71" s="19" t="s">
        <v>180</v>
      </c>
      <c r="D71" s="17" t="s">
        <v>181</v>
      </c>
      <c r="E71" s="16" t="s">
        <v>142</v>
      </c>
      <c r="F71" s="16">
        <v>3.1521E-2</v>
      </c>
      <c r="G71" s="18">
        <v>9793</v>
      </c>
      <c r="H71" s="18">
        <f t="shared" si="2"/>
        <v>308.69</v>
      </c>
    </row>
    <row r="72" spans="1:8" s="1" customFormat="1" ht="31.7" customHeight="1" x14ac:dyDescent="0.25">
      <c r="A72" s="16">
        <v>57</v>
      </c>
      <c r="B72" s="16"/>
      <c r="C72" s="19" t="s">
        <v>182</v>
      </c>
      <c r="D72" s="17" t="s">
        <v>183</v>
      </c>
      <c r="E72" s="16" t="s">
        <v>142</v>
      </c>
      <c r="F72" s="16">
        <v>4.0500000000000001E-2</v>
      </c>
      <c r="G72" s="18">
        <v>6780</v>
      </c>
      <c r="H72" s="18">
        <f t="shared" si="2"/>
        <v>274.58999999999997</v>
      </c>
    </row>
    <row r="73" spans="1:8" s="1" customFormat="1" ht="31.7" customHeight="1" x14ac:dyDescent="0.25">
      <c r="A73" s="16">
        <v>58</v>
      </c>
      <c r="B73" s="16"/>
      <c r="C73" s="19" t="s">
        <v>184</v>
      </c>
      <c r="D73" s="17" t="s">
        <v>185</v>
      </c>
      <c r="E73" s="16" t="s">
        <v>137</v>
      </c>
      <c r="F73" s="16">
        <v>0.46548</v>
      </c>
      <c r="G73" s="18">
        <v>558.33000000000004</v>
      </c>
      <c r="H73" s="18">
        <f t="shared" si="2"/>
        <v>259.89</v>
      </c>
    </row>
    <row r="74" spans="1:8" s="1" customFormat="1" ht="31.7" customHeight="1" x14ac:dyDescent="0.25">
      <c r="A74" s="16">
        <v>59</v>
      </c>
      <c r="B74" s="16"/>
      <c r="C74" s="19" t="s">
        <v>186</v>
      </c>
      <c r="D74" s="17" t="s">
        <v>187</v>
      </c>
      <c r="E74" s="16" t="s">
        <v>137</v>
      </c>
      <c r="F74" s="16">
        <v>2.09</v>
      </c>
      <c r="G74" s="18">
        <v>70</v>
      </c>
      <c r="H74" s="18">
        <f t="shared" si="2"/>
        <v>146.30000000000001</v>
      </c>
    </row>
    <row r="75" spans="1:8" s="1" customFormat="1" ht="15.75" customHeight="1" x14ac:dyDescent="0.25">
      <c r="A75" s="16">
        <v>60</v>
      </c>
      <c r="B75" s="16"/>
      <c r="C75" s="19" t="s">
        <v>188</v>
      </c>
      <c r="D75" s="17" t="s">
        <v>189</v>
      </c>
      <c r="E75" s="16" t="s">
        <v>142</v>
      </c>
      <c r="F75" s="16">
        <v>0.156135</v>
      </c>
      <c r="G75" s="18">
        <v>734.5</v>
      </c>
      <c r="H75" s="18">
        <f t="shared" si="2"/>
        <v>114.68</v>
      </c>
    </row>
    <row r="76" spans="1:8" s="1" customFormat="1" ht="15.75" customHeight="1" x14ac:dyDescent="0.25">
      <c r="A76" s="16">
        <v>61</v>
      </c>
      <c r="B76" s="16"/>
      <c r="C76" s="19" t="s">
        <v>190</v>
      </c>
      <c r="D76" s="17" t="s">
        <v>191</v>
      </c>
      <c r="E76" s="16" t="s">
        <v>142</v>
      </c>
      <c r="F76" s="16">
        <v>0.01</v>
      </c>
      <c r="G76" s="18">
        <v>7932.6</v>
      </c>
      <c r="H76" s="18">
        <f t="shared" si="2"/>
        <v>79.33</v>
      </c>
    </row>
    <row r="77" spans="1:8" s="1" customFormat="1" ht="15.75" customHeight="1" x14ac:dyDescent="0.25">
      <c r="A77" s="16">
        <v>62</v>
      </c>
      <c r="B77" s="16"/>
      <c r="C77" s="19" t="s">
        <v>192</v>
      </c>
      <c r="D77" s="17" t="s">
        <v>193</v>
      </c>
      <c r="E77" s="16" t="s">
        <v>142</v>
      </c>
      <c r="F77" s="16">
        <v>1.4288E-2</v>
      </c>
      <c r="G77" s="18">
        <v>5019.7</v>
      </c>
      <c r="H77" s="18">
        <f t="shared" si="2"/>
        <v>71.72</v>
      </c>
    </row>
    <row r="78" spans="1:8" s="1" customFormat="1" ht="63" customHeight="1" x14ac:dyDescent="0.25">
      <c r="A78" s="16">
        <v>63</v>
      </c>
      <c r="B78" s="16"/>
      <c r="C78" s="19" t="s">
        <v>194</v>
      </c>
      <c r="D78" s="17" t="s">
        <v>195</v>
      </c>
      <c r="E78" s="16" t="s">
        <v>142</v>
      </c>
      <c r="F78" s="16">
        <v>9.2055999999999995E-3</v>
      </c>
      <c r="G78" s="18">
        <v>7712</v>
      </c>
      <c r="H78" s="18">
        <f t="shared" si="2"/>
        <v>70.989999999999995</v>
      </c>
    </row>
    <row r="79" spans="1:8" s="1" customFormat="1" ht="15.75" customHeight="1" x14ac:dyDescent="0.25">
      <c r="A79" s="16">
        <v>64</v>
      </c>
      <c r="B79" s="16"/>
      <c r="C79" s="19" t="s">
        <v>196</v>
      </c>
      <c r="D79" s="17" t="s">
        <v>197</v>
      </c>
      <c r="E79" s="16" t="s">
        <v>145</v>
      </c>
      <c r="F79" s="16">
        <v>7.3991939999999996</v>
      </c>
      <c r="G79" s="18">
        <v>9.0399999999999991</v>
      </c>
      <c r="H79" s="18">
        <f t="shared" si="2"/>
        <v>66.89</v>
      </c>
    </row>
    <row r="80" spans="1:8" s="1" customFormat="1" ht="31.7" customHeight="1" x14ac:dyDescent="0.25">
      <c r="A80" s="16">
        <v>65</v>
      </c>
      <c r="B80" s="16"/>
      <c r="C80" s="19" t="s">
        <v>198</v>
      </c>
      <c r="D80" s="17" t="s">
        <v>199</v>
      </c>
      <c r="E80" s="16" t="s">
        <v>137</v>
      </c>
      <c r="F80" s="16">
        <v>0.32229999999999998</v>
      </c>
      <c r="G80" s="18">
        <v>106.14</v>
      </c>
      <c r="H80" s="18">
        <f t="shared" si="2"/>
        <v>34.21</v>
      </c>
    </row>
    <row r="81" spans="1:8" s="1" customFormat="1" ht="15.75" customHeight="1" x14ac:dyDescent="0.25">
      <c r="A81" s="16">
        <v>66</v>
      </c>
      <c r="B81" s="16"/>
      <c r="C81" s="19" t="s">
        <v>200</v>
      </c>
      <c r="D81" s="17" t="s">
        <v>201</v>
      </c>
      <c r="E81" s="16" t="s">
        <v>137</v>
      </c>
      <c r="F81" s="16">
        <v>12.735015000000001</v>
      </c>
      <c r="G81" s="18">
        <v>2.44</v>
      </c>
      <c r="H81" s="18">
        <f t="shared" si="2"/>
        <v>31.07</v>
      </c>
    </row>
    <row r="82" spans="1:8" s="1" customFormat="1" ht="15.75" customHeight="1" x14ac:dyDescent="0.25">
      <c r="A82" s="16">
        <v>67</v>
      </c>
      <c r="B82" s="16"/>
      <c r="C82" s="19" t="s">
        <v>202</v>
      </c>
      <c r="D82" s="17" t="s">
        <v>203</v>
      </c>
      <c r="E82" s="16" t="s">
        <v>137</v>
      </c>
      <c r="F82" s="16">
        <v>3.6059652</v>
      </c>
      <c r="G82" s="18">
        <v>6.22</v>
      </c>
      <c r="H82" s="18">
        <f t="shared" si="2"/>
        <v>22.43</v>
      </c>
    </row>
    <row r="83" spans="1:8" s="1" customFormat="1" ht="15.75" customHeight="1" x14ac:dyDescent="0.25">
      <c r="A83" s="16">
        <v>68</v>
      </c>
      <c r="B83" s="16"/>
      <c r="C83" s="19" t="s">
        <v>204</v>
      </c>
      <c r="D83" s="17" t="s">
        <v>205</v>
      </c>
      <c r="E83" s="16" t="s">
        <v>142</v>
      </c>
      <c r="F83" s="16">
        <v>3.5921999999999998E-3</v>
      </c>
      <c r="G83" s="18">
        <v>4920</v>
      </c>
      <c r="H83" s="18">
        <f t="shared" si="2"/>
        <v>17.670000000000002</v>
      </c>
    </row>
    <row r="84" spans="1:8" s="1" customFormat="1" ht="15.75" customHeight="1" x14ac:dyDescent="0.25">
      <c r="A84" s="16">
        <v>69</v>
      </c>
      <c r="B84" s="16"/>
      <c r="C84" s="19" t="s">
        <v>206</v>
      </c>
      <c r="D84" s="17" t="s">
        <v>207</v>
      </c>
      <c r="E84" s="16" t="s">
        <v>137</v>
      </c>
      <c r="F84" s="16">
        <v>0.1648</v>
      </c>
      <c r="G84" s="18">
        <v>98.6</v>
      </c>
      <c r="H84" s="18">
        <f t="shared" si="2"/>
        <v>16.25</v>
      </c>
    </row>
    <row r="85" spans="1:8" s="1" customFormat="1" ht="15.75" customHeight="1" x14ac:dyDescent="0.25">
      <c r="A85" s="16">
        <v>70</v>
      </c>
      <c r="B85" s="16"/>
      <c r="C85" s="19" t="s">
        <v>208</v>
      </c>
      <c r="D85" s="17" t="s">
        <v>209</v>
      </c>
      <c r="E85" s="16" t="s">
        <v>145</v>
      </c>
      <c r="F85" s="16">
        <v>1.1109815999999999</v>
      </c>
      <c r="G85" s="18">
        <v>9.42</v>
      </c>
      <c r="H85" s="18">
        <f t="shared" si="2"/>
        <v>10.47</v>
      </c>
    </row>
    <row r="86" spans="1:8" s="1" customFormat="1" ht="15.75" customHeight="1" x14ac:dyDescent="0.25">
      <c r="A86" s="16">
        <v>71</v>
      </c>
      <c r="B86" s="16"/>
      <c r="C86" s="19" t="s">
        <v>210</v>
      </c>
      <c r="D86" s="17" t="s">
        <v>211</v>
      </c>
      <c r="E86" s="16" t="s">
        <v>163</v>
      </c>
      <c r="F86" s="16">
        <v>2.5712000000000002</v>
      </c>
      <c r="G86" s="18">
        <v>3.62</v>
      </c>
      <c r="H86" s="18">
        <f t="shared" si="2"/>
        <v>9.31</v>
      </c>
    </row>
    <row r="87" spans="1:8" s="1" customFormat="1" ht="15.75" customHeight="1" x14ac:dyDescent="0.25">
      <c r="A87" s="16">
        <v>72</v>
      </c>
      <c r="B87" s="16"/>
      <c r="C87" s="19" t="s">
        <v>212</v>
      </c>
      <c r="D87" s="17" t="s">
        <v>213</v>
      </c>
      <c r="E87" s="16" t="s">
        <v>142</v>
      </c>
      <c r="F87" s="16">
        <v>5.7410000000000002E-4</v>
      </c>
      <c r="G87" s="18">
        <v>15620</v>
      </c>
      <c r="H87" s="18">
        <f t="shared" si="2"/>
        <v>8.9700000000000006</v>
      </c>
    </row>
    <row r="88" spans="1:8" s="1" customFormat="1" ht="15.75" customHeight="1" x14ac:dyDescent="0.25">
      <c r="A88" s="16">
        <v>73</v>
      </c>
      <c r="B88" s="16"/>
      <c r="C88" s="19" t="s">
        <v>214</v>
      </c>
      <c r="D88" s="17" t="s">
        <v>215</v>
      </c>
      <c r="E88" s="16" t="s">
        <v>142</v>
      </c>
      <c r="F88" s="16">
        <v>7.3640000000000001E-4</v>
      </c>
      <c r="G88" s="18">
        <v>10315.01</v>
      </c>
      <c r="H88" s="18">
        <f t="shared" si="2"/>
        <v>7.6</v>
      </c>
    </row>
    <row r="89" spans="1:8" s="1" customFormat="1" ht="47.25" customHeight="1" x14ac:dyDescent="0.25">
      <c r="A89" s="16">
        <v>74</v>
      </c>
      <c r="B89" s="16"/>
      <c r="C89" s="19" t="s">
        <v>216</v>
      </c>
      <c r="D89" s="17" t="s">
        <v>217</v>
      </c>
      <c r="E89" s="16" t="s">
        <v>163</v>
      </c>
      <c r="F89" s="16">
        <v>0.49</v>
      </c>
      <c r="G89" s="18">
        <v>15.46</v>
      </c>
      <c r="H89" s="18">
        <f t="shared" si="2"/>
        <v>7.58</v>
      </c>
    </row>
    <row r="90" spans="1:8" s="1" customFormat="1" ht="15.75" customHeight="1" x14ac:dyDescent="0.25">
      <c r="A90" s="16">
        <v>75</v>
      </c>
      <c r="B90" s="16"/>
      <c r="C90" s="19" t="s">
        <v>218</v>
      </c>
      <c r="D90" s="17" t="s">
        <v>219</v>
      </c>
      <c r="E90" s="16" t="s">
        <v>142</v>
      </c>
      <c r="F90" s="16">
        <v>1.853E-4</v>
      </c>
      <c r="G90" s="18">
        <v>37900</v>
      </c>
      <c r="H90" s="18">
        <f t="shared" si="2"/>
        <v>7.02</v>
      </c>
    </row>
    <row r="91" spans="1:8" s="1" customFormat="1" ht="15.75" customHeight="1" x14ac:dyDescent="0.25">
      <c r="A91" s="16">
        <v>76</v>
      </c>
      <c r="B91" s="16"/>
      <c r="C91" s="19" t="s">
        <v>220</v>
      </c>
      <c r="D91" s="17" t="s">
        <v>221</v>
      </c>
      <c r="E91" s="16" t="s">
        <v>145</v>
      </c>
      <c r="F91" s="16">
        <v>1.0909952000000001</v>
      </c>
      <c r="G91" s="18">
        <v>6.09</v>
      </c>
      <c r="H91" s="18">
        <f t="shared" si="2"/>
        <v>6.64</v>
      </c>
    </row>
    <row r="92" spans="1:8" s="1" customFormat="1" ht="31.7" customHeight="1" x14ac:dyDescent="0.25">
      <c r="A92" s="16">
        <v>77</v>
      </c>
      <c r="B92" s="16"/>
      <c r="C92" s="19" t="s">
        <v>222</v>
      </c>
      <c r="D92" s="17" t="s">
        <v>223</v>
      </c>
      <c r="E92" s="16" t="s">
        <v>137</v>
      </c>
      <c r="F92" s="16">
        <v>4.4000000000000003E-3</v>
      </c>
      <c r="G92" s="18">
        <v>1100</v>
      </c>
      <c r="H92" s="18">
        <f t="shared" si="2"/>
        <v>4.84</v>
      </c>
    </row>
    <row r="93" spans="1:8" s="1" customFormat="1" ht="31.7" customHeight="1" x14ac:dyDescent="0.25">
      <c r="A93" s="16">
        <v>78</v>
      </c>
      <c r="B93" s="16"/>
      <c r="C93" s="19" t="s">
        <v>224</v>
      </c>
      <c r="D93" s="17" t="s">
        <v>225</v>
      </c>
      <c r="E93" s="16" t="s">
        <v>137</v>
      </c>
      <c r="F93" s="16">
        <v>1.8963999999999999E-3</v>
      </c>
      <c r="G93" s="18">
        <v>1700</v>
      </c>
      <c r="H93" s="18">
        <f t="shared" si="2"/>
        <v>3.22</v>
      </c>
    </row>
    <row r="94" spans="1:8" s="1" customFormat="1" ht="31.7" customHeight="1" x14ac:dyDescent="0.25">
      <c r="A94" s="16">
        <v>79</v>
      </c>
      <c r="B94" s="16"/>
      <c r="C94" s="19" t="s">
        <v>226</v>
      </c>
      <c r="D94" s="17" t="s">
        <v>227</v>
      </c>
      <c r="E94" s="16" t="s">
        <v>137</v>
      </c>
      <c r="F94" s="16">
        <v>1.8240000000000001E-3</v>
      </c>
      <c r="G94" s="18">
        <v>1287</v>
      </c>
      <c r="H94" s="18">
        <f t="shared" si="2"/>
        <v>2.35</v>
      </c>
    </row>
    <row r="95" spans="1:8" s="1" customFormat="1" ht="63" customHeight="1" x14ac:dyDescent="0.25">
      <c r="A95" s="16">
        <v>80</v>
      </c>
      <c r="B95" s="16"/>
      <c r="C95" s="19" t="s">
        <v>228</v>
      </c>
      <c r="D95" s="17" t="s">
        <v>229</v>
      </c>
      <c r="E95" s="16" t="s">
        <v>230</v>
      </c>
      <c r="F95" s="16">
        <v>3.4625599999999999E-2</v>
      </c>
      <c r="G95" s="18">
        <v>50.24</v>
      </c>
      <c r="H95" s="18">
        <f t="shared" si="2"/>
        <v>1.74</v>
      </c>
    </row>
    <row r="96" spans="1:8" s="1" customFormat="1" ht="15.75" customHeight="1" x14ac:dyDescent="0.25">
      <c r="A96" s="16">
        <v>81</v>
      </c>
      <c r="B96" s="16"/>
      <c r="C96" s="19" t="s">
        <v>231</v>
      </c>
      <c r="D96" s="17" t="s">
        <v>232</v>
      </c>
      <c r="E96" s="16" t="s">
        <v>142</v>
      </c>
      <c r="F96" s="16">
        <v>3.6600000000000002E-5</v>
      </c>
      <c r="G96" s="18">
        <v>10200</v>
      </c>
      <c r="H96" s="18">
        <f t="shared" si="2"/>
        <v>0.37</v>
      </c>
    </row>
    <row r="97" spans="1:8" s="1" customFormat="1" ht="15.75" customHeight="1" x14ac:dyDescent="0.25">
      <c r="A97" s="16">
        <v>82</v>
      </c>
      <c r="B97" s="16"/>
      <c r="C97" s="19" t="s">
        <v>233</v>
      </c>
      <c r="D97" s="17" t="s">
        <v>234</v>
      </c>
      <c r="E97" s="16" t="s">
        <v>145</v>
      </c>
      <c r="F97" s="16">
        <v>1.47E-2</v>
      </c>
      <c r="G97" s="18">
        <v>10.75</v>
      </c>
      <c r="H97" s="18">
        <f t="shared" si="2"/>
        <v>0.16</v>
      </c>
    </row>
    <row r="98" spans="1:8" s="1" customFormat="1" ht="15.75" customHeight="1" x14ac:dyDescent="0.25"/>
    <row r="99" spans="1:8" s="1" customFormat="1" ht="15.75" customHeight="1" x14ac:dyDescent="0.25"/>
    <row r="100" spans="1:8" s="1" customFormat="1" ht="15.75" customHeight="1" x14ac:dyDescent="0.25"/>
    <row r="101" spans="1:8" s="1" customFormat="1" ht="15.75" customHeight="1" x14ac:dyDescent="0.25">
      <c r="B101" s="87"/>
      <c r="C101" s="87"/>
      <c r="D101" s="87"/>
    </row>
    <row r="102" spans="1:8" s="1" customFormat="1" ht="15.75" customHeight="1" x14ac:dyDescent="0.25">
      <c r="B102" s="87" t="s">
        <v>235</v>
      </c>
      <c r="C102" s="87"/>
      <c r="D102" s="87"/>
    </row>
    <row r="103" spans="1:8" s="1" customFormat="1" ht="15.75" customHeight="1" x14ac:dyDescent="0.25">
      <c r="B103" s="5" t="s">
        <v>28</v>
      </c>
      <c r="C103" s="87"/>
      <c r="D103" s="87"/>
    </row>
    <row r="104" spans="1:8" s="1" customFormat="1" ht="15.75" customHeight="1" x14ac:dyDescent="0.25">
      <c r="B104" s="87"/>
      <c r="C104" s="87"/>
      <c r="D104" s="87"/>
    </row>
    <row r="105" spans="1:8" s="1" customFormat="1" ht="15.75" customHeight="1" x14ac:dyDescent="0.25">
      <c r="B105" s="87" t="s">
        <v>381</v>
      </c>
      <c r="C105" s="87"/>
      <c r="D105" s="87"/>
    </row>
    <row r="106" spans="1:8" s="1" customFormat="1" ht="15.75" customHeight="1" x14ac:dyDescent="0.25">
      <c r="B106" s="5" t="s">
        <v>29</v>
      </c>
      <c r="C106" s="87"/>
      <c r="D106" s="87"/>
    </row>
    <row r="107" spans="1:8" s="1" customFormat="1" ht="15.75" customHeight="1" x14ac:dyDescent="0.25"/>
  </sheetData>
  <mergeCells count="15">
    <mergeCell ref="A12:E12"/>
    <mergeCell ref="A24:E24"/>
    <mergeCell ref="A26:E26"/>
    <mergeCell ref="A50:E50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</mergeCells>
  <conditionalFormatting sqref="F11:F97">
    <cfRule type="expression" dxfId="1" priority="1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8"/>
  <sheetViews>
    <sheetView view="pageBreakPreview" topLeftCell="A28" zoomScale="60" zoomScaleNormal="100" workbookViewId="0">
      <selection activeCell="B42" sqref="B42:D47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20.85546875" customWidth="1"/>
    <col min="11" max="11" width="13.5703125" customWidth="1"/>
  </cols>
  <sheetData>
    <row r="1" spans="1:5" ht="15.75" customHeight="1" x14ac:dyDescent="0.25">
      <c r="A1" s="41"/>
      <c r="B1" s="1"/>
      <c r="C1" s="1"/>
      <c r="D1" s="1"/>
      <c r="E1" s="1"/>
    </row>
    <row r="2" spans="1:5" ht="15.75" customHeight="1" x14ac:dyDescent="0.25">
      <c r="B2" s="1"/>
      <c r="C2" s="1"/>
      <c r="D2" s="1"/>
      <c r="E2" s="38" t="s">
        <v>236</v>
      </c>
    </row>
    <row r="3" spans="1:5" ht="15.75" customHeight="1" x14ac:dyDescent="0.25">
      <c r="B3" s="1"/>
      <c r="C3" s="1"/>
      <c r="D3" s="1"/>
      <c r="E3" s="1"/>
    </row>
    <row r="4" spans="1:5" ht="15.75" customHeight="1" x14ac:dyDescent="0.25">
      <c r="B4" s="1"/>
      <c r="C4" s="1"/>
      <c r="D4" s="1"/>
      <c r="E4" s="1"/>
    </row>
    <row r="5" spans="1:5" ht="15.75" customHeight="1" x14ac:dyDescent="0.25">
      <c r="B5" s="104" t="s">
        <v>237</v>
      </c>
      <c r="C5" s="104"/>
      <c r="D5" s="104"/>
      <c r="E5" s="104"/>
    </row>
    <row r="6" spans="1:5" ht="15.75" customHeight="1" x14ac:dyDescent="0.25">
      <c r="B6" s="2"/>
      <c r="C6" s="1"/>
      <c r="D6" s="1"/>
      <c r="E6" s="1"/>
    </row>
    <row r="7" spans="1:5" ht="34.700000000000003" customHeight="1" x14ac:dyDescent="0.25">
      <c r="B7" s="118" t="s">
        <v>238</v>
      </c>
      <c r="C7" s="118"/>
      <c r="D7" s="118"/>
      <c r="E7" s="118"/>
    </row>
    <row r="8" spans="1:5" ht="15.75" customHeight="1" x14ac:dyDescent="0.25">
      <c r="B8" s="111" t="s">
        <v>4</v>
      </c>
      <c r="C8" s="111"/>
      <c r="D8" s="111"/>
      <c r="E8" s="111"/>
    </row>
    <row r="9" spans="1:5" x14ac:dyDescent="0.25">
      <c r="B9" s="42"/>
      <c r="C9" s="22"/>
      <c r="D9" s="22"/>
      <c r="E9" s="22"/>
    </row>
    <row r="10" spans="1:5" s="1" customFormat="1" ht="78.75" customHeight="1" x14ac:dyDescent="0.25">
      <c r="B10" s="4" t="s">
        <v>239</v>
      </c>
      <c r="C10" s="4" t="s">
        <v>240</v>
      </c>
      <c r="D10" s="4" t="s">
        <v>241</v>
      </c>
      <c r="E10" s="4" t="s">
        <v>242</v>
      </c>
    </row>
    <row r="11" spans="1:5" s="1" customFormat="1" ht="15" customHeight="1" x14ac:dyDescent="0.25">
      <c r="B11" s="26" t="s">
        <v>243</v>
      </c>
      <c r="C11" s="43">
        <f>'Прил.5 Расчет СМР и ОБ'!J14</f>
        <v>545228.78</v>
      </c>
      <c r="D11" s="44">
        <f>C11/C24</f>
        <v>0.13274092934000339</v>
      </c>
      <c r="E11" s="44">
        <f>C11/C40</f>
        <v>0.1187082566695172</v>
      </c>
    </row>
    <row r="12" spans="1:5" s="1" customFormat="1" ht="15" customHeight="1" x14ac:dyDescent="0.25">
      <c r="B12" s="26" t="s">
        <v>244</v>
      </c>
      <c r="C12" s="43">
        <f>'Прил.5 Расчет СМР и ОБ'!J23</f>
        <v>310314.11000000004</v>
      </c>
      <c r="D12" s="44">
        <f>C12/C24</f>
        <v>7.5548806041962874E-2</v>
      </c>
      <c r="E12" s="44">
        <f>C12/C40</f>
        <v>6.7562183746156607E-2</v>
      </c>
    </row>
    <row r="13" spans="1:5" s="1" customFormat="1" ht="15" customHeight="1" x14ac:dyDescent="0.25">
      <c r="B13" s="26" t="s">
        <v>245</v>
      </c>
      <c r="C13" s="43">
        <f>'Прил.5 Расчет СМР и ОБ'!J43</f>
        <v>42613.660000000018</v>
      </c>
      <c r="D13" s="44">
        <f>C13/C24</f>
        <v>1.0374684973487517E-2</v>
      </c>
      <c r="E13" s="44">
        <f>C13/C40</f>
        <v>9.2779278615988323E-3</v>
      </c>
    </row>
    <row r="14" spans="1:5" s="1" customFormat="1" ht="15" customHeight="1" x14ac:dyDescent="0.25">
      <c r="B14" s="26" t="s">
        <v>246</v>
      </c>
      <c r="C14" s="43">
        <f>C13+C12</f>
        <v>352927.77000000008</v>
      </c>
      <c r="D14" s="44">
        <f>C14/C24</f>
        <v>8.5923491015450396E-2</v>
      </c>
      <c r="E14" s="44">
        <f>C14/C40</f>
        <v>7.6840111607755446E-2</v>
      </c>
    </row>
    <row r="15" spans="1:5" s="1" customFormat="1" ht="15" customHeight="1" x14ac:dyDescent="0.25">
      <c r="B15" s="26" t="s">
        <v>247</v>
      </c>
      <c r="C15" s="43">
        <f>'Прил.5 Расчет СМР и ОБ'!J16</f>
        <v>100355</v>
      </c>
      <c r="D15" s="44">
        <f>C15/C24</f>
        <v>2.4432341894930858E-2</v>
      </c>
      <c r="E15" s="44">
        <f>C15/C40</f>
        <v>2.1849483253744233E-2</v>
      </c>
    </row>
    <row r="16" spans="1:5" s="1" customFormat="1" ht="15" customHeight="1" x14ac:dyDescent="0.25">
      <c r="B16" s="26" t="s">
        <v>248</v>
      </c>
      <c r="C16" s="43">
        <f>'Прил.5 Расчет СМР и ОБ'!J62</f>
        <v>1946131.31</v>
      </c>
      <c r="D16" s="44">
        <f>C16/C24</f>
        <v>0.47380345312490335</v>
      </c>
      <c r="E16" s="44">
        <f>C16/C40</f>
        <v>0.42371544484512308</v>
      </c>
    </row>
    <row r="17" spans="2:5" s="1" customFormat="1" ht="15" customHeight="1" x14ac:dyDescent="0.25">
      <c r="B17" s="26" t="s">
        <v>249</v>
      </c>
      <c r="C17" s="43">
        <f>'Прил.5 Расчет СМР и ОБ'!J102</f>
        <v>238305.21000000002</v>
      </c>
      <c r="D17" s="44">
        <f>C17/C24</f>
        <v>5.8017581247205387E-2</v>
      </c>
      <c r="E17" s="44">
        <f>C17/C40</f>
        <v>5.1884267801056282E-2</v>
      </c>
    </row>
    <row r="18" spans="2:5" s="1" customFormat="1" ht="15" customHeight="1" x14ac:dyDescent="0.25">
      <c r="B18" s="26" t="s">
        <v>250</v>
      </c>
      <c r="C18" s="43">
        <f>C17+C16</f>
        <v>2184436.52</v>
      </c>
      <c r="D18" s="44">
        <f>C18/C24</f>
        <v>0.5318210343721087</v>
      </c>
      <c r="E18" s="44">
        <f>C18/C40</f>
        <v>0.47559971264617934</v>
      </c>
    </row>
    <row r="19" spans="2:5" s="1" customFormat="1" ht="15" customHeight="1" x14ac:dyDescent="0.25">
      <c r="B19" s="26" t="s">
        <v>251</v>
      </c>
      <c r="C19" s="43">
        <f>C18+C14+C11</f>
        <v>3082593.0700000003</v>
      </c>
      <c r="D19" s="44">
        <f>C19/C24</f>
        <v>0.75048545472756256</v>
      </c>
      <c r="E19" s="45">
        <f>C19/C40</f>
        <v>0.67114808092345202</v>
      </c>
    </row>
    <row r="20" spans="2:5" s="1" customFormat="1" ht="15" customHeight="1" x14ac:dyDescent="0.25">
      <c r="B20" s="26" t="s">
        <v>252</v>
      </c>
      <c r="C20" s="43">
        <v>372105.61994169001</v>
      </c>
      <c r="D20" s="44">
        <f>C20/C24</f>
        <v>9.059251385023738E-2</v>
      </c>
      <c r="E20" s="44">
        <f>C20/C40</f>
        <v>8.101554991320882E-2</v>
      </c>
    </row>
    <row r="21" spans="2:5" s="1" customFormat="1" ht="15" customHeight="1" x14ac:dyDescent="0.25">
      <c r="B21" s="26" t="s">
        <v>253</v>
      </c>
      <c r="C21" s="46">
        <f>C20/(C11+C15)</f>
        <v>0.57638625918031894</v>
      </c>
      <c r="D21" s="44"/>
      <c r="E21" s="45"/>
    </row>
    <row r="22" spans="2:5" s="1" customFormat="1" ht="15" customHeight="1" x14ac:dyDescent="0.25">
      <c r="B22" s="26" t="s">
        <v>254</v>
      </c>
      <c r="C22" s="43">
        <v>652766.75203550002</v>
      </c>
      <c r="D22" s="44">
        <f>C22/C24</f>
        <v>0.1589220314222001</v>
      </c>
      <c r="E22" s="44">
        <f>C22/C40</f>
        <v>0.14212163038414302</v>
      </c>
    </row>
    <row r="23" spans="2:5" s="1" customFormat="1" ht="15" customHeight="1" x14ac:dyDescent="0.25">
      <c r="B23" s="26" t="s">
        <v>255</v>
      </c>
      <c r="C23" s="46">
        <f>C22/(C11+C15)</f>
        <v>1.0111263204839191</v>
      </c>
      <c r="D23" s="44"/>
      <c r="E23" s="45"/>
    </row>
    <row r="24" spans="2:5" s="1" customFormat="1" ht="15" customHeight="1" x14ac:dyDescent="0.25">
      <c r="B24" s="26" t="s">
        <v>256</v>
      </c>
      <c r="C24" s="43">
        <f>C19+C20+C22</f>
        <v>4107465.4419771903</v>
      </c>
      <c r="D24" s="44">
        <f>C24/C24</f>
        <v>1</v>
      </c>
      <c r="E24" s="44">
        <f>C24/C40</f>
        <v>0.89428526122080387</v>
      </c>
    </row>
    <row r="25" spans="2:5" s="1" customFormat="1" ht="31.7" customHeight="1" x14ac:dyDescent="0.25">
      <c r="B25" s="26" t="s">
        <v>257</v>
      </c>
      <c r="C25" s="43">
        <f>'Прил.5 Расчет СМР и ОБ'!J50</f>
        <v>0</v>
      </c>
      <c r="D25" s="44"/>
      <c r="E25" s="44">
        <f>C25/C40</f>
        <v>0</v>
      </c>
    </row>
    <row r="26" spans="2:5" s="1" customFormat="1" ht="31.7" customHeight="1" x14ac:dyDescent="0.25">
      <c r="B26" s="26" t="s">
        <v>258</v>
      </c>
      <c r="C26" s="43">
        <f>C25</f>
        <v>0</v>
      </c>
      <c r="D26" s="44"/>
      <c r="E26" s="44">
        <f>C26/C40</f>
        <v>0</v>
      </c>
    </row>
    <row r="27" spans="2:5" s="1" customFormat="1" ht="15" customHeight="1" x14ac:dyDescent="0.25">
      <c r="B27" s="26" t="s">
        <v>259</v>
      </c>
      <c r="C27" s="47">
        <f>C24+C25</f>
        <v>4107465.4419771903</v>
      </c>
      <c r="D27" s="44"/>
      <c r="E27" s="44">
        <f>C27/C40</f>
        <v>0.89428526122080387</v>
      </c>
    </row>
    <row r="28" spans="2:5" s="1" customFormat="1" ht="33" customHeight="1" x14ac:dyDescent="0.25">
      <c r="B28" s="26" t="s">
        <v>260</v>
      </c>
      <c r="C28" s="26"/>
      <c r="D28" s="45"/>
      <c r="E28" s="45"/>
    </row>
    <row r="29" spans="2:5" s="1" customFormat="1" ht="31.7" customHeight="1" x14ac:dyDescent="0.25">
      <c r="B29" s="26" t="s">
        <v>261</v>
      </c>
      <c r="C29" s="47">
        <f>ROUND(C24*0.039,2)</f>
        <v>160191.15</v>
      </c>
      <c r="D29" s="45"/>
      <c r="E29" s="44">
        <f>C29/C40</f>
        <v>3.4877124700543376E-2</v>
      </c>
    </row>
    <row r="30" spans="2:5" s="1" customFormat="1" ht="63" customHeight="1" x14ac:dyDescent="0.25">
      <c r="B30" s="26" t="s">
        <v>262</v>
      </c>
      <c r="C30" s="47">
        <f>ROUND((C24+C29)*0.021,2)</f>
        <v>89620.79</v>
      </c>
      <c r="D30" s="45"/>
      <c r="E30" s="44">
        <f>C30/C40</f>
        <v>1.9512410445840549E-2</v>
      </c>
    </row>
    <row r="31" spans="2:5" s="1" customFormat="1" ht="15.75" customHeight="1" x14ac:dyDescent="0.25">
      <c r="B31" s="26" t="s">
        <v>263</v>
      </c>
      <c r="C31" s="47">
        <f>ROUND(C25*80%*7%,2)</f>
        <v>0</v>
      </c>
      <c r="D31" s="45"/>
      <c r="E31" s="44">
        <f>C31/C40</f>
        <v>0</v>
      </c>
    </row>
    <row r="32" spans="2:5" s="1" customFormat="1" ht="31.7" customHeight="1" x14ac:dyDescent="0.25">
      <c r="B32" s="26" t="s">
        <v>264</v>
      </c>
      <c r="C32" s="47">
        <v>0</v>
      </c>
      <c r="D32" s="45"/>
      <c r="E32" s="44">
        <f>C32/C40</f>
        <v>0</v>
      </c>
    </row>
    <row r="33" spans="2:11" s="1" customFormat="1" ht="47.25" customHeight="1" x14ac:dyDescent="0.25">
      <c r="B33" s="26" t="s">
        <v>265</v>
      </c>
      <c r="C33" s="47">
        <v>0</v>
      </c>
      <c r="D33" s="45"/>
      <c r="E33" s="44">
        <f>C33/C40</f>
        <v>0</v>
      </c>
    </row>
    <row r="34" spans="2:11" s="1" customFormat="1" ht="63" customHeight="1" x14ac:dyDescent="0.25">
      <c r="B34" s="26" t="s">
        <v>266</v>
      </c>
      <c r="C34" s="47">
        <v>0</v>
      </c>
      <c r="D34" s="45"/>
      <c r="E34" s="44">
        <f>C34/C40</f>
        <v>0</v>
      </c>
    </row>
    <row r="35" spans="2:11" s="1" customFormat="1" ht="94.7" customHeight="1" x14ac:dyDescent="0.25">
      <c r="B35" s="26" t="s">
        <v>267</v>
      </c>
      <c r="C35" s="47">
        <v>0</v>
      </c>
      <c r="D35" s="45"/>
      <c r="E35" s="44">
        <f>C35/C40</f>
        <v>0</v>
      </c>
    </row>
    <row r="36" spans="2:11" s="1" customFormat="1" ht="47.25" customHeight="1" x14ac:dyDescent="0.25">
      <c r="B36" s="48" t="s">
        <v>268</v>
      </c>
      <c r="C36" s="49">
        <f>ROUND((C27+C29+C31+C30)*0.0214,2)</f>
        <v>93245.74</v>
      </c>
      <c r="D36" s="50"/>
      <c r="E36" s="51">
        <f>C36/C40</f>
        <v>2.0301641518738367E-2</v>
      </c>
      <c r="K36" s="37"/>
    </row>
    <row r="37" spans="2:11" s="1" customFormat="1" ht="15.75" customHeight="1" x14ac:dyDescent="0.25">
      <c r="B37" s="27" t="s">
        <v>269</v>
      </c>
      <c r="C37" s="27">
        <f>ROUND((C27+C29+C30+C31)*0.002,2)</f>
        <v>8714.5499999999993</v>
      </c>
      <c r="D37" s="52"/>
      <c r="E37" s="52">
        <f>C37/C40</f>
        <v>1.8973485555170823E-3</v>
      </c>
    </row>
    <row r="38" spans="2:11" s="1" customFormat="1" ht="63" customHeight="1" x14ac:dyDescent="0.25">
      <c r="B38" s="53" t="s">
        <v>270</v>
      </c>
      <c r="C38" s="54">
        <f>C27+C29+C30+C31+C36+C37</f>
        <v>4459237.6719771903</v>
      </c>
      <c r="D38" s="55"/>
      <c r="E38" s="56">
        <f>C38/C40</f>
        <v>0.97087378644144329</v>
      </c>
    </row>
    <row r="39" spans="2:11" s="1" customFormat="1" ht="15.75" customHeight="1" x14ac:dyDescent="0.25">
      <c r="B39" s="26" t="s">
        <v>271</v>
      </c>
      <c r="C39" s="43">
        <f>ROUND(C38*0.03,2)</f>
        <v>133777.13</v>
      </c>
      <c r="D39" s="45"/>
      <c r="E39" s="44">
        <f>C39/C40</f>
        <v>2.9126213558556775E-2</v>
      </c>
    </row>
    <row r="40" spans="2:11" s="1" customFormat="1" ht="15.75" customHeight="1" x14ac:dyDescent="0.25">
      <c r="B40" s="26" t="s">
        <v>272</v>
      </c>
      <c r="C40" s="43">
        <f>C39+C38</f>
        <v>4593014.8019771902</v>
      </c>
      <c r="D40" s="45"/>
      <c r="E40" s="44">
        <f>C40/C40</f>
        <v>1</v>
      </c>
    </row>
    <row r="41" spans="2:11" s="1" customFormat="1" ht="31.7" customHeight="1" x14ac:dyDescent="0.25">
      <c r="B41" s="26" t="s">
        <v>273</v>
      </c>
      <c r="C41" s="43">
        <f>C40/'Прил.5 Расчет СМР и ОБ'!E109</f>
        <v>4593014.8019771902</v>
      </c>
      <c r="D41" s="45"/>
      <c r="E41" s="45"/>
    </row>
    <row r="42" spans="2:11" s="1" customFormat="1" ht="15.75" customHeight="1" x14ac:dyDescent="0.25">
      <c r="B42" s="87"/>
      <c r="C42" s="87"/>
      <c r="D42" s="87"/>
    </row>
    <row r="43" spans="2:11" s="1" customFormat="1" ht="15.75" customHeight="1" x14ac:dyDescent="0.25">
      <c r="B43" s="87" t="s">
        <v>235</v>
      </c>
      <c r="C43" s="87"/>
      <c r="D43" s="87"/>
    </row>
    <row r="44" spans="2:11" s="1" customFormat="1" ht="15.75" customHeight="1" x14ac:dyDescent="0.25">
      <c r="B44" s="5" t="s">
        <v>28</v>
      </c>
      <c r="C44" s="87"/>
      <c r="D44" s="87"/>
    </row>
    <row r="45" spans="2:11" s="1" customFormat="1" ht="15.75" customHeight="1" x14ac:dyDescent="0.25">
      <c r="B45" s="87"/>
      <c r="C45" s="87"/>
      <c r="D45" s="87"/>
    </row>
    <row r="46" spans="2:11" s="1" customFormat="1" ht="15.75" customHeight="1" x14ac:dyDescent="0.25">
      <c r="B46" s="87" t="s">
        <v>381</v>
      </c>
      <c r="C46" s="87"/>
      <c r="D46" s="87"/>
    </row>
    <row r="47" spans="2:11" s="1" customFormat="1" ht="15.75" customHeight="1" x14ac:dyDescent="0.25">
      <c r="B47" s="5" t="s">
        <v>29</v>
      </c>
      <c r="C47" s="87"/>
      <c r="D47" s="87"/>
    </row>
    <row r="48" spans="2:11" s="1" customFormat="1" ht="15.75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4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17"/>
  <sheetViews>
    <sheetView tabSelected="1" view="pageBreakPreview" zoomScale="70" zoomScaleNormal="100" zoomScaleSheetLayoutView="70" workbookViewId="0">
      <selection activeCell="L17" sqref="L17"/>
    </sheetView>
  </sheetViews>
  <sheetFormatPr defaultColWidth="9.140625" defaultRowHeight="15" outlineLevelRow="1" x14ac:dyDescent="0.25"/>
  <cols>
    <col min="1" max="1" width="5.7109375" style="23" customWidth="1"/>
    <col min="2" max="2" width="22.5703125" style="23" customWidth="1"/>
    <col min="3" max="3" width="39.140625" style="23" customWidth="1"/>
    <col min="4" max="4" width="10.7109375" style="23" customWidth="1"/>
    <col min="5" max="5" width="12.7109375" style="23" customWidth="1"/>
    <col min="6" max="6" width="14.5703125" style="23" customWidth="1"/>
    <col min="7" max="7" width="13.42578125" style="23" customWidth="1"/>
    <col min="8" max="8" width="12.7109375" style="23" customWidth="1"/>
    <col min="9" max="9" width="14.5703125" style="23" customWidth="1"/>
    <col min="10" max="10" width="15.140625" style="23" customWidth="1"/>
    <col min="11" max="11" width="22.42578125" style="23" customWidth="1"/>
    <col min="12" max="12" width="16.28515625" style="23" customWidth="1"/>
    <col min="13" max="13" width="10.85546875" style="23" customWidth="1"/>
    <col min="14" max="14" width="9.140625" style="23"/>
  </cols>
  <sheetData>
    <row r="1" spans="1:11" s="23" customFormat="1" ht="14.25" customHeight="1" x14ac:dyDescent="0.2">
      <c r="A1" s="22"/>
    </row>
    <row r="2" spans="1:11" s="23" customFormat="1" ht="15.75" customHeight="1" x14ac:dyDescent="0.25">
      <c r="A2" s="1"/>
      <c r="B2" s="1"/>
      <c r="C2" s="1"/>
      <c r="D2" s="1"/>
      <c r="E2" s="1"/>
      <c r="F2" s="1"/>
      <c r="G2" s="1"/>
      <c r="H2" s="120" t="s">
        <v>274</v>
      </c>
      <c r="I2" s="120"/>
      <c r="J2" s="120"/>
    </row>
    <row r="3" spans="1:11" s="23" customFormat="1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2" customFormat="1" ht="15.75" customHeight="1" x14ac:dyDescent="0.2">
      <c r="A4" s="104" t="s">
        <v>275</v>
      </c>
      <c r="B4" s="104"/>
      <c r="C4" s="104"/>
      <c r="D4" s="104"/>
      <c r="E4" s="104"/>
      <c r="F4" s="104"/>
      <c r="G4" s="104"/>
      <c r="H4" s="104"/>
      <c r="I4" s="24"/>
      <c r="J4" s="24"/>
    </row>
    <row r="5" spans="1:11" s="22" customFormat="1" ht="15.75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</row>
    <row r="6" spans="1:11" s="22" customFormat="1" x14ac:dyDescent="0.2">
      <c r="A6" s="121" t="s">
        <v>276</v>
      </c>
      <c r="B6" s="122"/>
      <c r="C6" s="122"/>
      <c r="D6" s="121" t="s">
        <v>277</v>
      </c>
      <c r="E6" s="123"/>
      <c r="F6" s="123"/>
      <c r="G6" s="123"/>
      <c r="H6" s="123"/>
      <c r="I6" s="123"/>
      <c r="J6" s="123"/>
    </row>
    <row r="7" spans="1:11" s="22" customFormat="1" ht="15.75" customHeight="1" x14ac:dyDescent="0.2">
      <c r="A7" s="121" t="s">
        <v>4</v>
      </c>
      <c r="B7" s="122"/>
      <c r="C7" s="122"/>
      <c r="D7" s="25"/>
      <c r="E7" s="25"/>
      <c r="F7" s="25"/>
      <c r="G7" s="25"/>
      <c r="H7" s="25"/>
      <c r="I7" s="25"/>
      <c r="J7" s="25"/>
    </row>
    <row r="8" spans="1:11" s="22" customFormat="1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24" t="s">
        <v>278</v>
      </c>
      <c r="B9" s="112" t="s">
        <v>52</v>
      </c>
      <c r="C9" s="112" t="s">
        <v>239</v>
      </c>
      <c r="D9" s="112" t="s">
        <v>54</v>
      </c>
      <c r="E9" s="112" t="s">
        <v>279</v>
      </c>
      <c r="F9" s="112" t="s">
        <v>56</v>
      </c>
      <c r="G9" s="112"/>
      <c r="H9" s="112" t="s">
        <v>280</v>
      </c>
      <c r="I9" s="112" t="s">
        <v>281</v>
      </c>
      <c r="J9" s="112"/>
      <c r="K9" s="3"/>
    </row>
    <row r="10" spans="1:11" s="1" customFormat="1" ht="28.5" customHeight="1" x14ac:dyDescent="0.25">
      <c r="A10" s="124"/>
      <c r="B10" s="112"/>
      <c r="C10" s="112"/>
      <c r="D10" s="112"/>
      <c r="E10" s="112"/>
      <c r="F10" s="4" t="s">
        <v>282</v>
      </c>
      <c r="G10" s="4" t="s">
        <v>58</v>
      </c>
      <c r="H10" s="112"/>
      <c r="I10" s="4" t="s">
        <v>282</v>
      </c>
      <c r="J10" s="4" t="s">
        <v>58</v>
      </c>
    </row>
    <row r="11" spans="1:11" s="1" customFormat="1" ht="15.75" customHeight="1" x14ac:dyDescent="0.25">
      <c r="A11" s="26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1" s="1" customFormat="1" ht="15.75" customHeight="1" x14ac:dyDescent="0.25">
      <c r="A12" s="27"/>
      <c r="B12" s="125" t="s">
        <v>283</v>
      </c>
      <c r="C12" s="126"/>
      <c r="D12" s="127"/>
      <c r="E12" s="127"/>
      <c r="F12" s="127"/>
      <c r="G12" s="127"/>
      <c r="H12" s="127"/>
      <c r="I12" s="27"/>
      <c r="J12" s="27"/>
    </row>
    <row r="13" spans="1:11" s="1" customFormat="1" ht="31.7" customHeight="1" x14ac:dyDescent="0.25">
      <c r="A13" s="16">
        <v>1</v>
      </c>
      <c r="B13" s="16" t="s">
        <v>284</v>
      </c>
      <c r="C13" s="17" t="s">
        <v>285</v>
      </c>
      <c r="D13" s="16" t="s">
        <v>63</v>
      </c>
      <c r="E13" s="16">
        <v>1325.1398277717999</v>
      </c>
      <c r="F13" s="18">
        <v>9.2899999999999991</v>
      </c>
      <c r="G13" s="18">
        <f>ROUND(E13*F13,2)</f>
        <v>12310.55</v>
      </c>
      <c r="H13" s="28">
        <f>G13/G14</f>
        <v>1</v>
      </c>
      <c r="I13" s="18">
        <f>ROUND(F13*Прил.10!$D$10,2)</f>
        <v>411.45</v>
      </c>
      <c r="J13" s="18">
        <f>ROUND(E13*I13,2)</f>
        <v>545228.78</v>
      </c>
    </row>
    <row r="14" spans="1:11" s="1" customFormat="1" ht="31.7" customHeight="1" x14ac:dyDescent="0.25">
      <c r="A14" s="16"/>
      <c r="B14" s="16"/>
      <c r="C14" s="17" t="s">
        <v>286</v>
      </c>
      <c r="D14" s="16" t="s">
        <v>63</v>
      </c>
      <c r="E14" s="16">
        <f>SUM(E13:E13)</f>
        <v>1325.1398277717999</v>
      </c>
      <c r="F14" s="18"/>
      <c r="G14" s="18">
        <f>SUM(G13:G13)</f>
        <v>12310.55</v>
      </c>
      <c r="H14" s="28">
        <v>1</v>
      </c>
      <c r="I14" s="18"/>
      <c r="J14" s="18">
        <f>SUM(J13:J13)</f>
        <v>545228.78</v>
      </c>
    </row>
    <row r="15" spans="1:11" s="1" customFormat="1" ht="15.75" customHeight="1" x14ac:dyDescent="0.25">
      <c r="A15" s="16"/>
      <c r="B15" s="114" t="s">
        <v>84</v>
      </c>
      <c r="C15" s="115"/>
      <c r="D15" s="114"/>
      <c r="E15" s="114"/>
      <c r="F15" s="119"/>
      <c r="G15" s="119"/>
      <c r="H15" s="114"/>
      <c r="I15" s="18"/>
      <c r="J15" s="18"/>
    </row>
    <row r="16" spans="1:11" s="1" customFormat="1" ht="15.75" customHeight="1" x14ac:dyDescent="0.25">
      <c r="A16" s="16">
        <v>2</v>
      </c>
      <c r="B16" s="16">
        <v>2</v>
      </c>
      <c r="C16" s="17" t="s">
        <v>84</v>
      </c>
      <c r="D16" s="16" t="s">
        <v>63</v>
      </c>
      <c r="E16" s="16">
        <v>171.7848664</v>
      </c>
      <c r="F16" s="18">
        <v>13.19</v>
      </c>
      <c r="G16" s="18">
        <f>ROUND(E16*F16,2)</f>
        <v>2265.84</v>
      </c>
      <c r="H16" s="28">
        <v>1</v>
      </c>
      <c r="I16" s="18">
        <f>ROUND(F16*Прил.10!$D$10,2)</f>
        <v>584.19000000000005</v>
      </c>
      <c r="J16" s="18">
        <f>ROUND(E16*I16,2)</f>
        <v>100355</v>
      </c>
    </row>
    <row r="17" spans="1:10" s="1" customFormat="1" ht="15.75" customHeight="1" x14ac:dyDescent="0.25">
      <c r="A17" s="16"/>
      <c r="B17" s="113" t="s">
        <v>85</v>
      </c>
      <c r="C17" s="115"/>
      <c r="D17" s="114"/>
      <c r="E17" s="114"/>
      <c r="F17" s="119"/>
      <c r="G17" s="119"/>
      <c r="H17" s="114"/>
      <c r="I17" s="18"/>
      <c r="J17" s="18"/>
    </row>
    <row r="18" spans="1:10" s="1" customFormat="1" ht="15.75" customHeight="1" x14ac:dyDescent="0.25">
      <c r="A18" s="16"/>
      <c r="B18" s="114" t="s">
        <v>287</v>
      </c>
      <c r="C18" s="115"/>
      <c r="D18" s="114"/>
      <c r="E18" s="114"/>
      <c r="F18" s="119"/>
      <c r="G18" s="119"/>
      <c r="H18" s="114"/>
      <c r="I18" s="18"/>
      <c r="J18" s="18"/>
    </row>
    <row r="19" spans="1:10" s="1" customFormat="1" ht="31.7" customHeight="1" x14ac:dyDescent="0.25">
      <c r="A19" s="16">
        <v>3</v>
      </c>
      <c r="B19" s="29" t="s">
        <v>86</v>
      </c>
      <c r="C19" s="20" t="s">
        <v>87</v>
      </c>
      <c r="D19" s="21" t="s">
        <v>88</v>
      </c>
      <c r="E19" s="30">
        <v>120.42341999999999</v>
      </c>
      <c r="F19" s="31">
        <v>96.89</v>
      </c>
      <c r="G19" s="31">
        <f>ROUND(E19*F19,2)</f>
        <v>11667.83</v>
      </c>
      <c r="H19" s="28">
        <f>G19/G44</f>
        <v>0.44532002595320791</v>
      </c>
      <c r="I19" s="18">
        <f>ROUND(F19*Прил.10!$D$11,2)</f>
        <v>1305.1099999999999</v>
      </c>
      <c r="J19" s="18">
        <f>ROUND(E19*I19,2)</f>
        <v>157165.81</v>
      </c>
    </row>
    <row r="20" spans="1:10" s="1" customFormat="1" ht="31.7" customHeight="1" x14ac:dyDescent="0.25">
      <c r="A20" s="16">
        <v>4</v>
      </c>
      <c r="B20" s="29" t="s">
        <v>89</v>
      </c>
      <c r="C20" s="20" t="s">
        <v>90</v>
      </c>
      <c r="D20" s="21" t="s">
        <v>91</v>
      </c>
      <c r="E20" s="30">
        <v>50.469900000000003</v>
      </c>
      <c r="F20" s="31">
        <v>184.39</v>
      </c>
      <c r="G20" s="31">
        <f>ROUND(E20*F20,2)</f>
        <v>9306.14</v>
      </c>
      <c r="H20" s="28">
        <f>G20/G44</f>
        <v>0.35518262661730465</v>
      </c>
      <c r="I20" s="18">
        <f>ROUND(F20*Прил.10!$D$11,2)</f>
        <v>2483.73</v>
      </c>
      <c r="J20" s="18">
        <f>ROUND(E20*I20,2)</f>
        <v>125353.60000000001</v>
      </c>
    </row>
    <row r="21" spans="1:10" s="1" customFormat="1" ht="31.7" customHeight="1" x14ac:dyDescent="0.25">
      <c r="A21" s="16">
        <v>5</v>
      </c>
      <c r="B21" s="29" t="s">
        <v>92</v>
      </c>
      <c r="C21" s="20" t="s">
        <v>93</v>
      </c>
      <c r="D21" s="21" t="s">
        <v>88</v>
      </c>
      <c r="E21" s="30">
        <v>8.56</v>
      </c>
      <c r="F21" s="31">
        <v>138.54</v>
      </c>
      <c r="G21" s="31">
        <f>ROUND(E21*F21,2)</f>
        <v>1185.9000000000001</v>
      </c>
      <c r="H21" s="28">
        <f>G21/G44</f>
        <v>4.5261631235449032E-2</v>
      </c>
      <c r="I21" s="18">
        <f>ROUND(F21*Прил.10!$D$11,2)</f>
        <v>1866.13</v>
      </c>
      <c r="J21" s="18">
        <f>ROUND(E21*I21,2)</f>
        <v>15974.07</v>
      </c>
    </row>
    <row r="22" spans="1:10" s="1" customFormat="1" ht="47.25" customHeight="1" x14ac:dyDescent="0.25">
      <c r="A22" s="16">
        <v>6</v>
      </c>
      <c r="B22" s="29" t="s">
        <v>94</v>
      </c>
      <c r="C22" s="20" t="s">
        <v>95</v>
      </c>
      <c r="D22" s="21" t="s">
        <v>88</v>
      </c>
      <c r="E22" s="30">
        <v>7.6130000000000004</v>
      </c>
      <c r="F22" s="31">
        <v>115.27</v>
      </c>
      <c r="G22" s="31">
        <f>ROUND(E22*F22,2)</f>
        <v>877.55</v>
      </c>
      <c r="H22" s="28">
        <f>G22/G44</f>
        <v>3.3492996450517155E-2</v>
      </c>
      <c r="I22" s="18">
        <f>ROUND(F22*Прил.10!$D$11,2)</f>
        <v>1552.69</v>
      </c>
      <c r="J22" s="18">
        <f>ROUND(E22*I22,2)</f>
        <v>11820.63</v>
      </c>
    </row>
    <row r="23" spans="1:10" s="1" customFormat="1" ht="15.75" customHeight="1" x14ac:dyDescent="0.25">
      <c r="A23" s="16"/>
      <c r="B23" s="128" t="s">
        <v>288</v>
      </c>
      <c r="C23" s="114"/>
      <c r="D23" s="114"/>
      <c r="E23" s="114"/>
      <c r="F23" s="119"/>
      <c r="G23" s="31">
        <f>SUM(G19:G22)</f>
        <v>23037.420000000002</v>
      </c>
      <c r="H23" s="28">
        <f>SUM(H19:H22)</f>
        <v>0.87925728025647876</v>
      </c>
      <c r="I23" s="18"/>
      <c r="J23" s="18">
        <f>SUM(J19:J22)</f>
        <v>310314.11000000004</v>
      </c>
    </row>
    <row r="24" spans="1:10" s="1" customFormat="1" ht="63" hidden="1" customHeight="1" outlineLevel="1" x14ac:dyDescent="0.25">
      <c r="A24" s="16">
        <v>7</v>
      </c>
      <c r="B24" s="29" t="s">
        <v>96</v>
      </c>
      <c r="C24" s="20" t="s">
        <v>97</v>
      </c>
      <c r="D24" s="21" t="s">
        <v>88</v>
      </c>
      <c r="E24" s="30">
        <v>6.9168000000000003</v>
      </c>
      <c r="F24" s="31">
        <v>90</v>
      </c>
      <c r="G24" s="31">
        <f t="shared" ref="G24:G42" si="0">ROUND(E24*F24,2)</f>
        <v>622.51</v>
      </c>
      <c r="H24" s="28">
        <f>G24/G44</f>
        <v>2.3759016831418647E-2</v>
      </c>
      <c r="I24" s="18">
        <f>ROUND(F24*Прил.10!$D$11,2)</f>
        <v>1212.3</v>
      </c>
      <c r="J24" s="18">
        <f t="shared" ref="J24:J42" si="1">ROUND(E24*I24,2)</f>
        <v>8385.24</v>
      </c>
    </row>
    <row r="25" spans="1:10" s="1" customFormat="1" ht="31.7" hidden="1" customHeight="1" outlineLevel="1" x14ac:dyDescent="0.25">
      <c r="A25" s="16">
        <v>8</v>
      </c>
      <c r="B25" s="29" t="s">
        <v>98</v>
      </c>
      <c r="C25" s="20" t="s">
        <v>99</v>
      </c>
      <c r="D25" s="21" t="s">
        <v>88</v>
      </c>
      <c r="E25" s="30">
        <v>9.4272235999999996</v>
      </c>
      <c r="F25" s="31">
        <v>65.709999999999994</v>
      </c>
      <c r="G25" s="31">
        <f t="shared" si="0"/>
        <v>619.46</v>
      </c>
      <c r="H25" s="28">
        <f>G25/G44</f>
        <v>2.3642609060722873E-2</v>
      </c>
      <c r="I25" s="18">
        <f>ROUND(F25*Прил.10!$D$11,2)</f>
        <v>885.11</v>
      </c>
      <c r="J25" s="18">
        <f t="shared" si="1"/>
        <v>8344.1299999999992</v>
      </c>
    </row>
    <row r="26" spans="1:10" s="1" customFormat="1" ht="31.7" hidden="1" customHeight="1" outlineLevel="1" x14ac:dyDescent="0.25">
      <c r="A26" s="16">
        <v>9</v>
      </c>
      <c r="B26" s="29" t="s">
        <v>100</v>
      </c>
      <c r="C26" s="20" t="s">
        <v>101</v>
      </c>
      <c r="D26" s="21" t="s">
        <v>88</v>
      </c>
      <c r="E26" s="30">
        <v>4.2075189999999996</v>
      </c>
      <c r="F26" s="31">
        <v>115.4</v>
      </c>
      <c r="G26" s="31">
        <f t="shared" si="0"/>
        <v>485.55</v>
      </c>
      <c r="H26" s="28">
        <f>G26/G44</f>
        <v>1.8531735429945424E-2</v>
      </c>
      <c r="I26" s="18">
        <f>ROUND(F26*Прил.10!$D$11,2)</f>
        <v>1554.44</v>
      </c>
      <c r="J26" s="18">
        <f t="shared" si="1"/>
        <v>6540.34</v>
      </c>
    </row>
    <row r="27" spans="1:10" s="1" customFormat="1" ht="31.7" hidden="1" customHeight="1" outlineLevel="1" x14ac:dyDescent="0.25">
      <c r="A27" s="16">
        <v>10</v>
      </c>
      <c r="B27" s="29" t="s">
        <v>102</v>
      </c>
      <c r="C27" s="20" t="s">
        <v>103</v>
      </c>
      <c r="D27" s="21" t="s">
        <v>88</v>
      </c>
      <c r="E27" s="30">
        <v>42.778500000000001</v>
      </c>
      <c r="F27" s="31">
        <v>8.1</v>
      </c>
      <c r="G27" s="31">
        <f t="shared" si="0"/>
        <v>346.51</v>
      </c>
      <c r="H27" s="28">
        <f>G27/G44</f>
        <v>1.3225067745505897E-2</v>
      </c>
      <c r="I27" s="18">
        <f>ROUND(F27*Прил.10!$D$11,2)</f>
        <v>109.11</v>
      </c>
      <c r="J27" s="18">
        <f t="shared" si="1"/>
        <v>4667.5600000000004</v>
      </c>
    </row>
    <row r="28" spans="1:10" s="1" customFormat="1" ht="47.25" hidden="1" customHeight="1" outlineLevel="1" x14ac:dyDescent="0.25">
      <c r="A28" s="16">
        <v>11</v>
      </c>
      <c r="B28" s="29" t="s">
        <v>104</v>
      </c>
      <c r="C28" s="20" t="s">
        <v>105</v>
      </c>
      <c r="D28" s="21" t="s">
        <v>88</v>
      </c>
      <c r="E28" s="30">
        <v>8.6020000000000003</v>
      </c>
      <c r="F28" s="31">
        <v>31.26</v>
      </c>
      <c r="G28" s="31">
        <f t="shared" si="0"/>
        <v>268.89999999999998</v>
      </c>
      <c r="H28" s="28">
        <f>G28/G44</f>
        <v>1.0262967062325865E-2</v>
      </c>
      <c r="I28" s="18">
        <f>ROUND(F28*Прил.10!$D$11,2)</f>
        <v>421.07</v>
      </c>
      <c r="J28" s="18">
        <f t="shared" si="1"/>
        <v>3622.04</v>
      </c>
    </row>
    <row r="29" spans="1:10" s="1" customFormat="1" ht="31.7" hidden="1" customHeight="1" outlineLevel="1" x14ac:dyDescent="0.25">
      <c r="A29" s="16">
        <v>12</v>
      </c>
      <c r="B29" s="29" t="s">
        <v>106</v>
      </c>
      <c r="C29" s="20" t="s">
        <v>107</v>
      </c>
      <c r="D29" s="21" t="s">
        <v>88</v>
      </c>
      <c r="E29" s="30">
        <v>1.9516042</v>
      </c>
      <c r="F29" s="31">
        <v>120.04</v>
      </c>
      <c r="G29" s="31">
        <f t="shared" si="0"/>
        <v>234.27</v>
      </c>
      <c r="H29" s="28">
        <f>G29/G44</f>
        <v>8.9412617839013785E-3</v>
      </c>
      <c r="I29" s="18">
        <f>ROUND(F29*Прил.10!$D$11,2)</f>
        <v>1616.94</v>
      </c>
      <c r="J29" s="18">
        <f t="shared" si="1"/>
        <v>3155.63</v>
      </c>
    </row>
    <row r="30" spans="1:10" s="1" customFormat="1" ht="31.7" hidden="1" customHeight="1" outlineLevel="1" x14ac:dyDescent="0.25">
      <c r="A30" s="16">
        <v>13</v>
      </c>
      <c r="B30" s="29" t="s">
        <v>108</v>
      </c>
      <c r="C30" s="20" t="s">
        <v>109</v>
      </c>
      <c r="D30" s="21" t="s">
        <v>88</v>
      </c>
      <c r="E30" s="30">
        <v>1.6201996000000001</v>
      </c>
      <c r="F30" s="31">
        <v>120.24</v>
      </c>
      <c r="G30" s="31">
        <f t="shared" si="0"/>
        <v>194.81</v>
      </c>
      <c r="H30" s="28">
        <f>G30/G44</f>
        <v>7.4352123964734175E-3</v>
      </c>
      <c r="I30" s="18">
        <f>ROUND(F30*Прил.10!$D$11,2)</f>
        <v>1619.63</v>
      </c>
      <c r="J30" s="18">
        <f t="shared" si="1"/>
        <v>2624.12</v>
      </c>
    </row>
    <row r="31" spans="1:10" s="1" customFormat="1" ht="31.7" hidden="1" customHeight="1" outlineLevel="1" x14ac:dyDescent="0.25">
      <c r="A31" s="16">
        <v>14</v>
      </c>
      <c r="B31" s="29" t="s">
        <v>110</v>
      </c>
      <c r="C31" s="20" t="s">
        <v>111</v>
      </c>
      <c r="D31" s="21" t="s">
        <v>88</v>
      </c>
      <c r="E31" s="30">
        <v>1.4176800000000001</v>
      </c>
      <c r="F31" s="31">
        <v>94.05</v>
      </c>
      <c r="G31" s="31">
        <f t="shared" si="0"/>
        <v>133.33000000000001</v>
      </c>
      <c r="H31" s="28">
        <f>G31/G44</f>
        <v>5.0887370711041567E-3</v>
      </c>
      <c r="I31" s="18">
        <f>ROUND(F31*Прил.10!$D$11,2)</f>
        <v>1266.8499999999999</v>
      </c>
      <c r="J31" s="18">
        <f t="shared" si="1"/>
        <v>1795.99</v>
      </c>
    </row>
    <row r="32" spans="1:10" s="1" customFormat="1" ht="15.75" hidden="1" customHeight="1" outlineLevel="1" x14ac:dyDescent="0.25">
      <c r="A32" s="16">
        <v>15</v>
      </c>
      <c r="B32" s="29" t="s">
        <v>112</v>
      </c>
      <c r="C32" s="20" t="s">
        <v>113</v>
      </c>
      <c r="D32" s="21" t="s">
        <v>88</v>
      </c>
      <c r="E32" s="30">
        <v>55.624870000000001</v>
      </c>
      <c r="F32" s="31">
        <v>1.9</v>
      </c>
      <c r="G32" s="31">
        <f t="shared" si="0"/>
        <v>105.69</v>
      </c>
      <c r="H32" s="28">
        <f>G32/G44</f>
        <v>4.033815503225068E-3</v>
      </c>
      <c r="I32" s="18">
        <f>ROUND(F32*Прил.10!$D$11,2)</f>
        <v>25.59</v>
      </c>
      <c r="J32" s="18">
        <f t="shared" si="1"/>
        <v>1423.44</v>
      </c>
    </row>
    <row r="33" spans="1:10" s="1" customFormat="1" ht="31.7" hidden="1" customHeight="1" outlineLevel="1" x14ac:dyDescent="0.25">
      <c r="A33" s="16">
        <v>16</v>
      </c>
      <c r="B33" s="29" t="s">
        <v>114</v>
      </c>
      <c r="C33" s="20" t="s">
        <v>115</v>
      </c>
      <c r="D33" s="21" t="s">
        <v>88</v>
      </c>
      <c r="E33" s="30">
        <v>0.46060000000000001</v>
      </c>
      <c r="F33" s="31">
        <v>86.4</v>
      </c>
      <c r="G33" s="31">
        <f t="shared" si="0"/>
        <v>39.799999999999997</v>
      </c>
      <c r="H33" s="28">
        <f>G33/G44</f>
        <v>1.519025991374375E-3</v>
      </c>
      <c r="I33" s="18">
        <f>ROUND(F33*Прил.10!$D$11,2)</f>
        <v>1163.81</v>
      </c>
      <c r="J33" s="18">
        <f t="shared" si="1"/>
        <v>536.04999999999995</v>
      </c>
    </row>
    <row r="34" spans="1:10" s="1" customFormat="1" ht="15.75" hidden="1" customHeight="1" outlineLevel="1" x14ac:dyDescent="0.25">
      <c r="A34" s="16">
        <v>17</v>
      </c>
      <c r="B34" s="29" t="s">
        <v>116</v>
      </c>
      <c r="C34" s="20" t="s">
        <v>117</v>
      </c>
      <c r="D34" s="21" t="s">
        <v>88</v>
      </c>
      <c r="E34" s="30">
        <v>0.43285000000000001</v>
      </c>
      <c r="F34" s="31">
        <v>89.99</v>
      </c>
      <c r="G34" s="31">
        <f t="shared" si="0"/>
        <v>38.950000000000003</v>
      </c>
      <c r="H34" s="28">
        <f>G34/G44</f>
        <v>1.4865844815083395E-3</v>
      </c>
      <c r="I34" s="18">
        <f>ROUND(F34*Прил.10!$D$11,2)</f>
        <v>1212.17</v>
      </c>
      <c r="J34" s="18">
        <f t="shared" si="1"/>
        <v>524.69000000000005</v>
      </c>
    </row>
    <row r="35" spans="1:10" s="1" customFormat="1" ht="15.75" hidden="1" customHeight="1" outlineLevel="1" x14ac:dyDescent="0.25">
      <c r="A35" s="16">
        <v>18</v>
      </c>
      <c r="B35" s="29" t="s">
        <v>118</v>
      </c>
      <c r="C35" s="20" t="s">
        <v>119</v>
      </c>
      <c r="D35" s="21" t="s">
        <v>88</v>
      </c>
      <c r="E35" s="30">
        <v>67.388000000000005</v>
      </c>
      <c r="F35" s="31">
        <v>0.5</v>
      </c>
      <c r="G35" s="31">
        <f t="shared" si="0"/>
        <v>33.69</v>
      </c>
      <c r="H35" s="28">
        <f>G35/G44</f>
        <v>1.2858287851608716E-3</v>
      </c>
      <c r="I35" s="18">
        <f>ROUND(F35*Прил.10!$D$11,2)</f>
        <v>6.74</v>
      </c>
      <c r="J35" s="18">
        <f t="shared" si="1"/>
        <v>454.2</v>
      </c>
    </row>
    <row r="36" spans="1:10" s="1" customFormat="1" ht="47.25" hidden="1" customHeight="1" outlineLevel="1" x14ac:dyDescent="0.25">
      <c r="A36" s="16">
        <v>19</v>
      </c>
      <c r="B36" s="29" t="s">
        <v>120</v>
      </c>
      <c r="C36" s="20" t="s">
        <v>121</v>
      </c>
      <c r="D36" s="21" t="s">
        <v>88</v>
      </c>
      <c r="E36" s="30">
        <v>27.72</v>
      </c>
      <c r="F36" s="31">
        <v>0.55000000000000004</v>
      </c>
      <c r="G36" s="31">
        <f t="shared" si="0"/>
        <v>15.25</v>
      </c>
      <c r="H36" s="28">
        <f>G36/G44</f>
        <v>5.8203885347887481E-4</v>
      </c>
      <c r="I36" s="18">
        <f>ROUND(F36*Прил.10!$D$11,2)</f>
        <v>7.41</v>
      </c>
      <c r="J36" s="18">
        <f t="shared" si="1"/>
        <v>205.41</v>
      </c>
    </row>
    <row r="37" spans="1:10" s="1" customFormat="1" ht="63" hidden="1" customHeight="1" outlineLevel="1" x14ac:dyDescent="0.25">
      <c r="A37" s="16">
        <v>20</v>
      </c>
      <c r="B37" s="29" t="s">
        <v>122</v>
      </c>
      <c r="C37" s="20" t="s">
        <v>123</v>
      </c>
      <c r="D37" s="21" t="s">
        <v>88</v>
      </c>
      <c r="E37" s="30">
        <v>0.15196999999999999</v>
      </c>
      <c r="F37" s="31">
        <v>90.4</v>
      </c>
      <c r="G37" s="31">
        <f t="shared" si="0"/>
        <v>13.74</v>
      </c>
      <c r="H37" s="28">
        <f>G37/G44</f>
        <v>5.2440746536391739E-4</v>
      </c>
      <c r="I37" s="18">
        <f>ROUND(F37*Прил.10!$D$11,2)</f>
        <v>1217.69</v>
      </c>
      <c r="J37" s="18">
        <f t="shared" si="1"/>
        <v>185.05</v>
      </c>
    </row>
    <row r="38" spans="1:10" s="1" customFormat="1" ht="15.75" hidden="1" customHeight="1" outlineLevel="1" x14ac:dyDescent="0.25">
      <c r="A38" s="16">
        <v>21</v>
      </c>
      <c r="B38" s="29" t="s">
        <v>124</v>
      </c>
      <c r="C38" s="20" t="s">
        <v>125</v>
      </c>
      <c r="D38" s="21" t="s">
        <v>88</v>
      </c>
      <c r="E38" s="30">
        <v>3.7018019999999998</v>
      </c>
      <c r="F38" s="31">
        <v>1.2</v>
      </c>
      <c r="G38" s="31">
        <f t="shared" si="0"/>
        <v>4.4400000000000004</v>
      </c>
      <c r="H38" s="28">
        <f>G38/G44</f>
        <v>1.6945918094729209E-4</v>
      </c>
      <c r="I38" s="18">
        <f>ROUND(F38*Прил.10!$D$11,2)</f>
        <v>16.16</v>
      </c>
      <c r="J38" s="18">
        <f t="shared" si="1"/>
        <v>59.82</v>
      </c>
    </row>
    <row r="39" spans="1:10" s="1" customFormat="1" ht="31.7" hidden="1" customHeight="1" outlineLevel="1" x14ac:dyDescent="0.25">
      <c r="A39" s="16">
        <v>22</v>
      </c>
      <c r="B39" s="29" t="s">
        <v>126</v>
      </c>
      <c r="C39" s="20" t="s">
        <v>127</v>
      </c>
      <c r="D39" s="21" t="s">
        <v>88</v>
      </c>
      <c r="E39" s="30">
        <v>0.79239999999999999</v>
      </c>
      <c r="F39" s="31">
        <v>4.91</v>
      </c>
      <c r="G39" s="31">
        <f t="shared" si="0"/>
        <v>3.89</v>
      </c>
      <c r="H39" s="28">
        <f>G39/G44</f>
        <v>1.4846761573985727E-4</v>
      </c>
      <c r="I39" s="18">
        <f>ROUND(F39*Прил.10!$D$11,2)</f>
        <v>66.14</v>
      </c>
      <c r="J39" s="18">
        <f t="shared" si="1"/>
        <v>52.41</v>
      </c>
    </row>
    <row r="40" spans="1:10" s="1" customFormat="1" ht="47.25" hidden="1" customHeight="1" outlineLevel="1" x14ac:dyDescent="0.25">
      <c r="A40" s="16">
        <v>23</v>
      </c>
      <c r="B40" s="29" t="s">
        <v>128</v>
      </c>
      <c r="C40" s="20" t="s">
        <v>129</v>
      </c>
      <c r="D40" s="21" t="s">
        <v>88</v>
      </c>
      <c r="E40" s="30">
        <v>0.1656658</v>
      </c>
      <c r="F40" s="31">
        <v>12.31</v>
      </c>
      <c r="G40" s="31">
        <f t="shared" si="0"/>
        <v>2.04</v>
      </c>
      <c r="H40" s="28">
        <f>G40/G44</f>
        <v>7.7859623678485553E-5</v>
      </c>
      <c r="I40" s="18">
        <f>ROUND(F40*Прил.10!$D$11,2)</f>
        <v>165.82</v>
      </c>
      <c r="J40" s="18">
        <f t="shared" si="1"/>
        <v>27.47</v>
      </c>
    </row>
    <row r="41" spans="1:10" s="1" customFormat="1" ht="31.7" hidden="1" customHeight="1" outlineLevel="1" x14ac:dyDescent="0.25">
      <c r="A41" s="16">
        <v>24</v>
      </c>
      <c r="B41" s="29" t="s">
        <v>130</v>
      </c>
      <c r="C41" s="20" t="s">
        <v>131</v>
      </c>
      <c r="D41" s="21" t="s">
        <v>88</v>
      </c>
      <c r="E41" s="30">
        <v>9.5339999999999994E-2</v>
      </c>
      <c r="F41" s="31">
        <v>6.9</v>
      </c>
      <c r="G41" s="31">
        <f t="shared" si="0"/>
        <v>0.66</v>
      </c>
      <c r="H41" s="28">
        <f>G41/G44</f>
        <v>2.5189878248921798E-5</v>
      </c>
      <c r="I41" s="18">
        <f>ROUND(F41*Прил.10!$D$11,2)</f>
        <v>92.94</v>
      </c>
      <c r="J41" s="18">
        <f t="shared" si="1"/>
        <v>8.86</v>
      </c>
    </row>
    <row r="42" spans="1:10" s="1" customFormat="1" ht="31.7" hidden="1" customHeight="1" outlineLevel="1" x14ac:dyDescent="0.25">
      <c r="A42" s="16">
        <v>25</v>
      </c>
      <c r="B42" s="29" t="s">
        <v>132</v>
      </c>
      <c r="C42" s="20" t="s">
        <v>133</v>
      </c>
      <c r="D42" s="21" t="s">
        <v>88</v>
      </c>
      <c r="E42" s="30">
        <v>5.2639999999999999E-2</v>
      </c>
      <c r="F42" s="31">
        <v>1.7</v>
      </c>
      <c r="G42" s="31">
        <f t="shared" si="0"/>
        <v>0.09</v>
      </c>
      <c r="H42" s="28">
        <f>G42/G44</f>
        <v>3.434983397580245E-6</v>
      </c>
      <c r="I42" s="18">
        <f>ROUND(F42*Прил.10!$D$11,2)</f>
        <v>22.9</v>
      </c>
      <c r="J42" s="18">
        <f t="shared" si="1"/>
        <v>1.21</v>
      </c>
    </row>
    <row r="43" spans="1:10" s="1" customFormat="1" ht="15.75" customHeight="1" collapsed="1" x14ac:dyDescent="0.25">
      <c r="A43" s="16"/>
      <c r="B43" s="114" t="s">
        <v>289</v>
      </c>
      <c r="C43" s="114"/>
      <c r="D43" s="114"/>
      <c r="E43" s="114"/>
      <c r="F43" s="119"/>
      <c r="G43" s="18">
        <f>SUM(G24:G42)</f>
        <v>3163.5799999999995</v>
      </c>
      <c r="H43" s="28">
        <f>SUM(H24:H42)</f>
        <v>0.12074271974352127</v>
      </c>
      <c r="I43" s="18"/>
      <c r="J43" s="18">
        <f>SUM(J24:J42)</f>
        <v>42613.660000000018</v>
      </c>
    </row>
    <row r="44" spans="1:10" s="1" customFormat="1" ht="15.75" customHeight="1" x14ac:dyDescent="0.25">
      <c r="A44" s="16"/>
      <c r="B44" s="114" t="s">
        <v>290</v>
      </c>
      <c r="C44" s="115"/>
      <c r="D44" s="114"/>
      <c r="E44" s="114"/>
      <c r="F44" s="119"/>
      <c r="G44" s="18">
        <f>G23+G43</f>
        <v>26201</v>
      </c>
      <c r="H44" s="28">
        <f>H23+H43</f>
        <v>1</v>
      </c>
      <c r="I44" s="18"/>
      <c r="J44" s="18">
        <f>J23+J43</f>
        <v>352927.77000000008</v>
      </c>
    </row>
    <row r="45" spans="1:10" s="1" customFormat="1" ht="15.75" customHeight="1" x14ac:dyDescent="0.25">
      <c r="A45" s="27"/>
      <c r="B45" s="125" t="s">
        <v>41</v>
      </c>
      <c r="C45" s="127"/>
      <c r="D45" s="127"/>
      <c r="E45" s="127"/>
      <c r="F45" s="129"/>
      <c r="G45" s="129"/>
      <c r="H45" s="127"/>
      <c r="I45" s="129"/>
      <c r="J45" s="129"/>
    </row>
    <row r="46" spans="1:10" s="1" customFormat="1" ht="15.75" customHeight="1" x14ac:dyDescent="0.25">
      <c r="A46" s="27"/>
      <c r="B46" s="127" t="s">
        <v>291</v>
      </c>
      <c r="C46" s="127"/>
      <c r="D46" s="127"/>
      <c r="E46" s="127"/>
      <c r="F46" s="129"/>
      <c r="G46" s="129"/>
      <c r="H46" s="127"/>
      <c r="I46" s="129"/>
      <c r="J46" s="129"/>
    </row>
    <row r="47" spans="1:10" s="1" customFormat="1" ht="15.75" hidden="1" customHeight="1" outlineLevel="1" x14ac:dyDescent="0.25">
      <c r="A47" s="27"/>
      <c r="B47" s="27"/>
      <c r="C47" s="27" t="s">
        <v>292</v>
      </c>
      <c r="D47" s="27"/>
      <c r="E47" s="27"/>
      <c r="F47" s="32"/>
      <c r="G47" s="32">
        <v>0</v>
      </c>
      <c r="H47" s="27">
        <v>0</v>
      </c>
      <c r="I47" s="32"/>
      <c r="J47" s="32">
        <v>0</v>
      </c>
    </row>
    <row r="48" spans="1:10" s="1" customFormat="1" ht="15.75" customHeight="1" collapsed="1" x14ac:dyDescent="0.25">
      <c r="A48" s="27"/>
      <c r="B48" s="127" t="s">
        <v>293</v>
      </c>
      <c r="C48" s="127"/>
      <c r="D48" s="127"/>
      <c r="E48" s="127"/>
      <c r="F48" s="129"/>
      <c r="G48" s="129"/>
      <c r="H48" s="127"/>
      <c r="I48" s="129"/>
      <c r="J48" s="129"/>
    </row>
    <row r="49" spans="1:10" s="1" customFormat="1" ht="15.75" hidden="1" customHeight="1" outlineLevel="1" x14ac:dyDescent="0.25">
      <c r="A49" s="27"/>
      <c r="B49" s="27"/>
      <c r="C49" s="27" t="s">
        <v>294</v>
      </c>
      <c r="D49" s="27"/>
      <c r="E49" s="27"/>
      <c r="F49" s="32"/>
      <c r="G49" s="32">
        <v>0</v>
      </c>
      <c r="H49" s="27">
        <v>0</v>
      </c>
      <c r="I49" s="32"/>
      <c r="J49" s="32">
        <v>0</v>
      </c>
    </row>
    <row r="50" spans="1:10" s="1" customFormat="1" ht="15.75" hidden="1" customHeight="1" outlineLevel="1" x14ac:dyDescent="0.25">
      <c r="A50" s="27"/>
      <c r="B50" s="27"/>
      <c r="C50" s="33" t="s">
        <v>295</v>
      </c>
      <c r="D50" s="27"/>
      <c r="E50" s="27"/>
      <c r="F50" s="32"/>
      <c r="G50" s="32">
        <v>0</v>
      </c>
      <c r="H50" s="27">
        <v>0</v>
      </c>
      <c r="I50" s="32"/>
      <c r="J50" s="32">
        <v>0</v>
      </c>
    </row>
    <row r="51" spans="1:10" s="1" customFormat="1" ht="15.75" hidden="1" customHeight="1" outlineLevel="1" x14ac:dyDescent="0.25">
      <c r="A51" s="27"/>
      <c r="B51" s="27"/>
      <c r="C51" s="27" t="s">
        <v>296</v>
      </c>
      <c r="D51" s="27"/>
      <c r="E51" s="27"/>
      <c r="F51" s="32"/>
      <c r="G51" s="32">
        <v>0</v>
      </c>
      <c r="H51" s="27"/>
      <c r="I51" s="32"/>
      <c r="J51" s="32">
        <v>0</v>
      </c>
    </row>
    <row r="52" spans="1:10" s="1" customFormat="1" ht="15.75" customHeight="1" collapsed="1" x14ac:dyDescent="0.25">
      <c r="A52" s="16"/>
      <c r="B52" s="113" t="s">
        <v>134</v>
      </c>
      <c r="C52" s="115"/>
      <c r="D52" s="114"/>
      <c r="E52" s="114"/>
      <c r="F52" s="119"/>
      <c r="G52" s="119"/>
      <c r="H52" s="114"/>
      <c r="I52" s="18"/>
      <c r="J52" s="18"/>
    </row>
    <row r="53" spans="1:10" s="1" customFormat="1" ht="15.75" customHeight="1" x14ac:dyDescent="0.25">
      <c r="A53" s="16"/>
      <c r="B53" s="114" t="s">
        <v>297</v>
      </c>
      <c r="C53" s="115"/>
      <c r="D53" s="114"/>
      <c r="E53" s="114"/>
      <c r="F53" s="119"/>
      <c r="G53" s="119"/>
      <c r="H53" s="114"/>
      <c r="I53" s="18"/>
      <c r="J53" s="18"/>
    </row>
    <row r="54" spans="1:10" s="1" customFormat="1" ht="47.25" customHeight="1" x14ac:dyDescent="0.25">
      <c r="A54" s="16">
        <v>26</v>
      </c>
      <c r="B54" s="29" t="s">
        <v>135</v>
      </c>
      <c r="C54" s="20" t="s">
        <v>136</v>
      </c>
      <c r="D54" s="21" t="s">
        <v>137</v>
      </c>
      <c r="E54" s="30">
        <v>78</v>
      </c>
      <c r="F54" s="31">
        <v>667.83</v>
      </c>
      <c r="G54" s="31">
        <f t="shared" ref="G54:G61" si="2">ROUND(E54*F54,2)</f>
        <v>52090.74</v>
      </c>
      <c r="H54" s="28">
        <f>G54/G103</f>
        <v>0.1917243678025711</v>
      </c>
      <c r="I54" s="18">
        <f>ROUND(F54*Прил.10!$D$12,2)</f>
        <v>5369.35</v>
      </c>
      <c r="J54" s="18">
        <f t="shared" ref="J54:J61" si="3">ROUND(E54*I54,2)</f>
        <v>418809.3</v>
      </c>
    </row>
    <row r="55" spans="1:10" s="1" customFormat="1" ht="31.7" customHeight="1" x14ac:dyDescent="0.25">
      <c r="A55" s="16">
        <v>27</v>
      </c>
      <c r="B55" s="29" t="s">
        <v>138</v>
      </c>
      <c r="C55" s="20" t="s">
        <v>139</v>
      </c>
      <c r="D55" s="21" t="s">
        <v>137</v>
      </c>
      <c r="E55" s="30">
        <v>76</v>
      </c>
      <c r="F55" s="31">
        <v>665</v>
      </c>
      <c r="G55" s="31">
        <f t="shared" si="2"/>
        <v>50540</v>
      </c>
      <c r="H55" s="28">
        <f>G55/G103</f>
        <v>0.18601673826752976</v>
      </c>
      <c r="I55" s="18">
        <f>ROUND(F55*Прил.10!$D$12,2)</f>
        <v>5346.6</v>
      </c>
      <c r="J55" s="18">
        <f t="shared" si="3"/>
        <v>406341.6</v>
      </c>
    </row>
    <row r="56" spans="1:10" s="1" customFormat="1" ht="47.25" customHeight="1" x14ac:dyDescent="0.25">
      <c r="A56" s="16">
        <v>28</v>
      </c>
      <c r="B56" s="29" t="s">
        <v>140</v>
      </c>
      <c r="C56" s="20" t="s">
        <v>141</v>
      </c>
      <c r="D56" s="21" t="s">
        <v>142</v>
      </c>
      <c r="E56" s="30">
        <v>5</v>
      </c>
      <c r="F56" s="31">
        <v>8014.15</v>
      </c>
      <c r="G56" s="31">
        <f t="shared" si="2"/>
        <v>40070.75</v>
      </c>
      <c r="H56" s="28">
        <f>G56/G103</f>
        <v>0.14748377948028529</v>
      </c>
      <c r="I56" s="18">
        <f>ROUND(F56*Прил.10!$D$12,2)</f>
        <v>64433.77</v>
      </c>
      <c r="J56" s="18">
        <f t="shared" si="3"/>
        <v>322168.84999999998</v>
      </c>
    </row>
    <row r="57" spans="1:10" s="1" customFormat="1" ht="78.75" customHeight="1" x14ac:dyDescent="0.25">
      <c r="A57" s="16">
        <v>29</v>
      </c>
      <c r="B57" s="29" t="s">
        <v>143</v>
      </c>
      <c r="C57" s="20" t="s">
        <v>144</v>
      </c>
      <c r="D57" s="21" t="s">
        <v>145</v>
      </c>
      <c r="E57" s="30">
        <v>127</v>
      </c>
      <c r="F57" s="31">
        <v>295.39999999999998</v>
      </c>
      <c r="G57" s="31">
        <f t="shared" si="2"/>
        <v>37515.800000000003</v>
      </c>
      <c r="H57" s="28">
        <f>G57/G103</f>
        <v>0.13808007023144031</v>
      </c>
      <c r="I57" s="18">
        <f>ROUND(F57*Прил.10!$D$12,2)</f>
        <v>2375.02</v>
      </c>
      <c r="J57" s="18">
        <f t="shared" si="3"/>
        <v>301627.53999999998</v>
      </c>
    </row>
    <row r="58" spans="1:10" s="1" customFormat="1" ht="47.25" customHeight="1" x14ac:dyDescent="0.25">
      <c r="A58" s="16">
        <v>30</v>
      </c>
      <c r="B58" s="29" t="s">
        <v>146</v>
      </c>
      <c r="C58" s="20" t="s">
        <v>147</v>
      </c>
      <c r="D58" s="21" t="s">
        <v>142</v>
      </c>
      <c r="E58" s="30">
        <v>2</v>
      </c>
      <c r="F58" s="31">
        <v>10046</v>
      </c>
      <c r="G58" s="31">
        <f t="shared" si="2"/>
        <v>20092</v>
      </c>
      <c r="H58" s="28">
        <f>G58/G103</f>
        <v>7.3950302834808232E-2</v>
      </c>
      <c r="I58" s="18">
        <f>ROUND(F58*Прил.10!$D$12,2)</f>
        <v>80769.84</v>
      </c>
      <c r="J58" s="18">
        <f t="shared" si="3"/>
        <v>161539.68</v>
      </c>
    </row>
    <row r="59" spans="1:10" s="1" customFormat="1" ht="78.75" customHeight="1" x14ac:dyDescent="0.25">
      <c r="A59" s="16">
        <v>31</v>
      </c>
      <c r="B59" s="29" t="s">
        <v>148</v>
      </c>
      <c r="C59" s="20" t="s">
        <v>149</v>
      </c>
      <c r="D59" s="21" t="s">
        <v>145</v>
      </c>
      <c r="E59" s="30">
        <v>130</v>
      </c>
      <c r="F59" s="31">
        <v>122.89</v>
      </c>
      <c r="G59" s="31">
        <f t="shared" si="2"/>
        <v>15975.7</v>
      </c>
      <c r="H59" s="28">
        <f>G59/G103</f>
        <v>5.8799913049872886E-2</v>
      </c>
      <c r="I59" s="18">
        <f>ROUND(F59*Прил.10!$D$12,2)</f>
        <v>988.04</v>
      </c>
      <c r="J59" s="18">
        <f t="shared" si="3"/>
        <v>128445.2</v>
      </c>
    </row>
    <row r="60" spans="1:10" s="1" customFormat="1" ht="31.7" customHeight="1" x14ac:dyDescent="0.25">
      <c r="A60" s="16">
        <v>32</v>
      </c>
      <c r="B60" s="29" t="s">
        <v>150</v>
      </c>
      <c r="C60" s="20" t="s">
        <v>151</v>
      </c>
      <c r="D60" s="21" t="s">
        <v>137</v>
      </c>
      <c r="E60" s="30">
        <v>18</v>
      </c>
      <c r="F60" s="31">
        <v>711.5</v>
      </c>
      <c r="G60" s="31">
        <f t="shared" si="2"/>
        <v>12807</v>
      </c>
      <c r="H60" s="28">
        <f>G60/G103</f>
        <v>4.7137245092842381E-2</v>
      </c>
      <c r="I60" s="18">
        <f>ROUND(F60*Прил.10!$D$12,2)</f>
        <v>5720.46</v>
      </c>
      <c r="J60" s="18">
        <f t="shared" si="3"/>
        <v>102968.28</v>
      </c>
    </row>
    <row r="61" spans="1:10" s="1" customFormat="1" ht="31.7" customHeight="1" x14ac:dyDescent="0.25">
      <c r="A61" s="16">
        <v>33</v>
      </c>
      <c r="B61" s="29" t="s">
        <v>152</v>
      </c>
      <c r="C61" s="20" t="s">
        <v>153</v>
      </c>
      <c r="D61" s="21" t="s">
        <v>142</v>
      </c>
      <c r="E61" s="30">
        <v>1.87</v>
      </c>
      <c r="F61" s="31">
        <v>6932.64</v>
      </c>
      <c r="G61" s="31">
        <f t="shared" si="2"/>
        <v>12964.04</v>
      </c>
      <c r="H61" s="28">
        <f>G61/G103</f>
        <v>4.7715244075381615E-2</v>
      </c>
      <c r="I61" s="18">
        <f>ROUND(F61*Прил.10!$D$12,2)</f>
        <v>55738.43</v>
      </c>
      <c r="J61" s="18">
        <f t="shared" si="3"/>
        <v>104230.86</v>
      </c>
    </row>
    <row r="62" spans="1:10" s="1" customFormat="1" ht="15.75" customHeight="1" x14ac:dyDescent="0.25">
      <c r="A62" s="16"/>
      <c r="B62" s="128" t="s">
        <v>298</v>
      </c>
      <c r="C62" s="114"/>
      <c r="D62" s="114"/>
      <c r="E62" s="114"/>
      <c r="F62" s="119"/>
      <c r="G62" s="31">
        <f>SUM(G54:G61)</f>
        <v>242056.03</v>
      </c>
      <c r="H62" s="28">
        <f>SUM(H54:H61)</f>
        <v>0.8909076608347315</v>
      </c>
      <c r="I62" s="18"/>
      <c r="J62" s="18">
        <f>SUM(J54:J61)</f>
        <v>1946131.31</v>
      </c>
    </row>
    <row r="63" spans="1:10" s="1" customFormat="1" ht="94.7" hidden="1" customHeight="1" outlineLevel="1" x14ac:dyDescent="0.25">
      <c r="A63" s="16">
        <v>34</v>
      </c>
      <c r="B63" s="29" t="s">
        <v>154</v>
      </c>
      <c r="C63" s="20" t="s">
        <v>155</v>
      </c>
      <c r="D63" s="21" t="s">
        <v>156</v>
      </c>
      <c r="E63" s="30">
        <v>1</v>
      </c>
      <c r="F63" s="31">
        <v>9144.26</v>
      </c>
      <c r="G63" s="31">
        <f t="shared" ref="G63:G101" si="4">ROUND(E63*F63,2)</f>
        <v>9144.26</v>
      </c>
      <c r="H63" s="28">
        <f>G63/G103</f>
        <v>3.3656221192525558E-2</v>
      </c>
      <c r="I63" s="18">
        <f>ROUND(F63*Прил.10!$D$12,2)</f>
        <v>73519.850000000006</v>
      </c>
      <c r="J63" s="18">
        <f t="shared" ref="J63:J101" si="5">ROUND(E63*I63,2)</f>
        <v>73519.850000000006</v>
      </c>
    </row>
    <row r="64" spans="1:10" s="1" customFormat="1" ht="63" hidden="1" customHeight="1" outlineLevel="1" x14ac:dyDescent="0.25">
      <c r="A64" s="16">
        <v>35</v>
      </c>
      <c r="B64" s="29" t="s">
        <v>157</v>
      </c>
      <c r="C64" s="20" t="s">
        <v>158</v>
      </c>
      <c r="D64" s="21" t="s">
        <v>156</v>
      </c>
      <c r="E64" s="30">
        <v>24</v>
      </c>
      <c r="F64" s="31">
        <v>314.94</v>
      </c>
      <c r="G64" s="31">
        <f t="shared" si="4"/>
        <v>7558.56</v>
      </c>
      <c r="H64" s="28">
        <f>G64/G103</f>
        <v>2.7819918424998414E-2</v>
      </c>
      <c r="I64" s="18">
        <f>ROUND(F64*Прил.10!$D$12,2)</f>
        <v>2532.12</v>
      </c>
      <c r="J64" s="18">
        <f t="shared" si="5"/>
        <v>60770.879999999997</v>
      </c>
    </row>
    <row r="65" spans="1:10" s="1" customFormat="1" ht="63" hidden="1" customHeight="1" outlineLevel="1" x14ac:dyDescent="0.25">
      <c r="A65" s="16">
        <v>36</v>
      </c>
      <c r="B65" s="29" t="s">
        <v>159</v>
      </c>
      <c r="C65" s="20" t="s">
        <v>160</v>
      </c>
      <c r="D65" s="21" t="s">
        <v>156</v>
      </c>
      <c r="E65" s="30">
        <v>20</v>
      </c>
      <c r="F65" s="31">
        <v>120.9</v>
      </c>
      <c r="G65" s="31">
        <f t="shared" si="4"/>
        <v>2418</v>
      </c>
      <c r="H65" s="28">
        <f>G65/G103</f>
        <v>8.8996532079716455E-3</v>
      </c>
      <c r="I65" s="18">
        <f>ROUND(F65*Прил.10!$D$12,2)</f>
        <v>972.04</v>
      </c>
      <c r="J65" s="18">
        <f t="shared" si="5"/>
        <v>19440.8</v>
      </c>
    </row>
    <row r="66" spans="1:10" s="1" customFormat="1" ht="15.75" hidden="1" customHeight="1" outlineLevel="1" x14ac:dyDescent="0.25">
      <c r="A66" s="16">
        <v>37</v>
      </c>
      <c r="B66" s="29" t="s">
        <v>161</v>
      </c>
      <c r="C66" s="20" t="s">
        <v>162</v>
      </c>
      <c r="D66" s="21" t="s">
        <v>163</v>
      </c>
      <c r="E66" s="30">
        <v>50</v>
      </c>
      <c r="F66" s="31">
        <v>35.53</v>
      </c>
      <c r="G66" s="31">
        <f t="shared" si="4"/>
        <v>1776.5</v>
      </c>
      <c r="H66" s="28">
        <f>G66/G103</f>
        <v>6.5385582812082831E-3</v>
      </c>
      <c r="I66" s="18">
        <f>ROUND(F66*Прил.10!$D$12,2)</f>
        <v>285.66000000000003</v>
      </c>
      <c r="J66" s="18">
        <f t="shared" si="5"/>
        <v>14283</v>
      </c>
    </row>
    <row r="67" spans="1:10" s="1" customFormat="1" ht="47.25" hidden="1" customHeight="1" outlineLevel="1" x14ac:dyDescent="0.25">
      <c r="A67" s="16">
        <v>38</v>
      </c>
      <c r="B67" s="29" t="s">
        <v>164</v>
      </c>
      <c r="C67" s="20" t="s">
        <v>165</v>
      </c>
      <c r="D67" s="21" t="s">
        <v>137</v>
      </c>
      <c r="E67" s="30">
        <v>1.5</v>
      </c>
      <c r="F67" s="31">
        <v>1056</v>
      </c>
      <c r="G67" s="31">
        <f t="shared" si="4"/>
        <v>1584</v>
      </c>
      <c r="H67" s="28">
        <f>G67/G103</f>
        <v>5.8300457739566122E-3</v>
      </c>
      <c r="I67" s="18">
        <f>ROUND(F67*Прил.10!$D$12,2)</f>
        <v>8490.24</v>
      </c>
      <c r="J67" s="18">
        <f t="shared" si="5"/>
        <v>12735.36</v>
      </c>
    </row>
    <row r="68" spans="1:10" s="1" customFormat="1" ht="47.25" hidden="1" customHeight="1" outlineLevel="1" x14ac:dyDescent="0.25">
      <c r="A68" s="16">
        <v>39</v>
      </c>
      <c r="B68" s="29" t="s">
        <v>166</v>
      </c>
      <c r="C68" s="20" t="s">
        <v>167</v>
      </c>
      <c r="D68" s="21" t="s">
        <v>137</v>
      </c>
      <c r="E68" s="30">
        <v>2.2999999999999998</v>
      </c>
      <c r="F68" s="31">
        <v>636.19000000000005</v>
      </c>
      <c r="G68" s="31">
        <f t="shared" si="4"/>
        <v>1463.24</v>
      </c>
      <c r="H68" s="28">
        <f>G68/G103</f>
        <v>5.3855783953814856E-3</v>
      </c>
      <c r="I68" s="18">
        <f>ROUND(F68*Прил.10!$D$12,2)</f>
        <v>5114.97</v>
      </c>
      <c r="J68" s="18">
        <f t="shared" si="5"/>
        <v>11764.43</v>
      </c>
    </row>
    <row r="69" spans="1:10" s="1" customFormat="1" ht="15.75" hidden="1" customHeight="1" outlineLevel="1" x14ac:dyDescent="0.25">
      <c r="A69" s="16">
        <v>40</v>
      </c>
      <c r="B69" s="29" t="s">
        <v>168</v>
      </c>
      <c r="C69" s="20" t="s">
        <v>169</v>
      </c>
      <c r="D69" s="21" t="s">
        <v>142</v>
      </c>
      <c r="E69" s="30">
        <v>0.08</v>
      </c>
      <c r="F69" s="31">
        <v>11978</v>
      </c>
      <c r="G69" s="31">
        <f t="shared" si="4"/>
        <v>958.24</v>
      </c>
      <c r="H69" s="28">
        <f>G69/G103</f>
        <v>3.5268832464874899E-3</v>
      </c>
      <c r="I69" s="18">
        <f>ROUND(F69*Прил.10!$D$12,2)</f>
        <v>96303.12</v>
      </c>
      <c r="J69" s="18">
        <f t="shared" si="5"/>
        <v>7704.25</v>
      </c>
    </row>
    <row r="70" spans="1:10" s="1" customFormat="1" ht="31.7" hidden="1" customHeight="1" outlineLevel="1" x14ac:dyDescent="0.25">
      <c r="A70" s="16">
        <v>41</v>
      </c>
      <c r="B70" s="29" t="s">
        <v>170</v>
      </c>
      <c r="C70" s="20" t="s">
        <v>171</v>
      </c>
      <c r="D70" s="21" t="s">
        <v>142</v>
      </c>
      <c r="E70" s="30">
        <v>7.0000000000000007E-2</v>
      </c>
      <c r="F70" s="31">
        <v>10100</v>
      </c>
      <c r="G70" s="31">
        <f t="shared" si="4"/>
        <v>707</v>
      </c>
      <c r="H70" s="28">
        <f>G70/G103</f>
        <v>2.6021732084515938E-3</v>
      </c>
      <c r="I70" s="18">
        <f>ROUND(F70*Прил.10!$D$12,2)</f>
        <v>81204</v>
      </c>
      <c r="J70" s="18">
        <f t="shared" si="5"/>
        <v>5684.28</v>
      </c>
    </row>
    <row r="71" spans="1:10" s="1" customFormat="1" ht="31.7" hidden="1" customHeight="1" outlineLevel="1" x14ac:dyDescent="0.25">
      <c r="A71" s="16">
        <v>42</v>
      </c>
      <c r="B71" s="29" t="s">
        <v>172</v>
      </c>
      <c r="C71" s="20" t="s">
        <v>173</v>
      </c>
      <c r="D71" s="21" t="s">
        <v>142</v>
      </c>
      <c r="E71" s="30">
        <v>0.15163550000000001</v>
      </c>
      <c r="F71" s="31">
        <v>4455.2</v>
      </c>
      <c r="G71" s="31">
        <f t="shared" si="4"/>
        <v>675.57</v>
      </c>
      <c r="H71" s="28">
        <f>G71/G103</f>
        <v>2.4864924390857754E-3</v>
      </c>
      <c r="I71" s="18">
        <f>ROUND(F71*Прил.10!$D$12,2)</f>
        <v>35819.81</v>
      </c>
      <c r="J71" s="18">
        <f t="shared" si="5"/>
        <v>5431.55</v>
      </c>
    </row>
    <row r="72" spans="1:10" s="1" customFormat="1" ht="31.7" hidden="1" customHeight="1" outlineLevel="1" x14ac:dyDescent="0.25">
      <c r="A72" s="16">
        <v>43</v>
      </c>
      <c r="B72" s="29" t="s">
        <v>174</v>
      </c>
      <c r="C72" s="20" t="s">
        <v>175</v>
      </c>
      <c r="D72" s="21" t="s">
        <v>142</v>
      </c>
      <c r="E72" s="30">
        <v>7.0546999999999999E-2</v>
      </c>
      <c r="F72" s="31">
        <v>9424</v>
      </c>
      <c r="G72" s="31">
        <f t="shared" si="4"/>
        <v>664.83</v>
      </c>
      <c r="H72" s="28">
        <f>G72/G103</f>
        <v>2.4469629620578123E-3</v>
      </c>
      <c r="I72" s="18">
        <f>ROUND(F72*Прил.10!$D$12,2)</f>
        <v>75768.960000000006</v>
      </c>
      <c r="J72" s="18">
        <f t="shared" si="5"/>
        <v>5345.27</v>
      </c>
    </row>
    <row r="73" spans="1:10" s="1" customFormat="1" ht="47.25" hidden="1" customHeight="1" outlineLevel="1" x14ac:dyDescent="0.25">
      <c r="A73" s="16">
        <v>44</v>
      </c>
      <c r="B73" s="29" t="s">
        <v>176</v>
      </c>
      <c r="C73" s="20" t="s">
        <v>177</v>
      </c>
      <c r="D73" s="21" t="s">
        <v>137</v>
      </c>
      <c r="E73" s="30">
        <v>1.02</v>
      </c>
      <c r="F73" s="31">
        <v>600</v>
      </c>
      <c r="G73" s="31">
        <f t="shared" si="4"/>
        <v>612</v>
      </c>
      <c r="H73" s="28">
        <f>G73/G103</f>
        <v>2.2525176853923274E-3</v>
      </c>
      <c r="I73" s="18">
        <f>ROUND(F73*Прил.10!$D$12,2)</f>
        <v>4824</v>
      </c>
      <c r="J73" s="18">
        <f t="shared" si="5"/>
        <v>4920.4799999999996</v>
      </c>
    </row>
    <row r="74" spans="1:10" s="1" customFormat="1" ht="31.7" hidden="1" customHeight="1" outlineLevel="1" x14ac:dyDescent="0.25">
      <c r="A74" s="16">
        <v>45</v>
      </c>
      <c r="B74" s="29" t="s">
        <v>178</v>
      </c>
      <c r="C74" s="20" t="s">
        <v>179</v>
      </c>
      <c r="D74" s="21" t="s">
        <v>137</v>
      </c>
      <c r="E74" s="30">
        <v>0.94799999999999995</v>
      </c>
      <c r="F74" s="31">
        <v>519.79999999999995</v>
      </c>
      <c r="G74" s="31">
        <f t="shared" si="4"/>
        <v>492.77</v>
      </c>
      <c r="H74" s="28">
        <f>G74/G103</f>
        <v>1.8136816010306815E-3</v>
      </c>
      <c r="I74" s="18">
        <f>ROUND(F74*Прил.10!$D$12,2)</f>
        <v>4179.1899999999996</v>
      </c>
      <c r="J74" s="18">
        <f t="shared" si="5"/>
        <v>3961.87</v>
      </c>
    </row>
    <row r="75" spans="1:10" s="1" customFormat="1" ht="31.7" hidden="1" customHeight="1" outlineLevel="1" x14ac:dyDescent="0.25">
      <c r="A75" s="16">
        <v>46</v>
      </c>
      <c r="B75" s="29" t="s">
        <v>180</v>
      </c>
      <c r="C75" s="20" t="s">
        <v>181</v>
      </c>
      <c r="D75" s="21" t="s">
        <v>142</v>
      </c>
      <c r="E75" s="30">
        <v>3.1521E-2</v>
      </c>
      <c r="F75" s="31">
        <v>9793</v>
      </c>
      <c r="G75" s="31">
        <f t="shared" si="4"/>
        <v>308.69</v>
      </c>
      <c r="H75" s="28">
        <f>G75/G103</f>
        <v>1.1361596148754208E-3</v>
      </c>
      <c r="I75" s="18">
        <f>ROUND(F75*Прил.10!$D$12,2)</f>
        <v>78735.72</v>
      </c>
      <c r="J75" s="18">
        <f t="shared" si="5"/>
        <v>2481.83</v>
      </c>
    </row>
    <row r="76" spans="1:10" s="1" customFormat="1" ht="31.7" hidden="1" customHeight="1" outlineLevel="1" x14ac:dyDescent="0.25">
      <c r="A76" s="16">
        <v>47</v>
      </c>
      <c r="B76" s="29" t="s">
        <v>182</v>
      </c>
      <c r="C76" s="20" t="s">
        <v>183</v>
      </c>
      <c r="D76" s="21" t="s">
        <v>142</v>
      </c>
      <c r="E76" s="30">
        <v>4.0500000000000001E-2</v>
      </c>
      <c r="F76" s="31">
        <v>6780</v>
      </c>
      <c r="G76" s="31">
        <f t="shared" si="4"/>
        <v>274.58999999999997</v>
      </c>
      <c r="H76" s="28">
        <f>G76/G103</f>
        <v>1.0106516850194103E-3</v>
      </c>
      <c r="I76" s="18">
        <f>ROUND(F76*Прил.10!$D$12,2)</f>
        <v>54511.199999999997</v>
      </c>
      <c r="J76" s="18">
        <f t="shared" si="5"/>
        <v>2207.6999999999998</v>
      </c>
    </row>
    <row r="77" spans="1:10" s="1" customFormat="1" ht="47.25" hidden="1" customHeight="1" outlineLevel="1" x14ac:dyDescent="0.25">
      <c r="A77" s="16">
        <v>48</v>
      </c>
      <c r="B77" s="29" t="s">
        <v>184</v>
      </c>
      <c r="C77" s="20" t="s">
        <v>185</v>
      </c>
      <c r="D77" s="21" t="s">
        <v>137</v>
      </c>
      <c r="E77" s="30">
        <v>0.46548</v>
      </c>
      <c r="F77" s="31">
        <v>558.33000000000004</v>
      </c>
      <c r="G77" s="31">
        <f t="shared" si="4"/>
        <v>259.89</v>
      </c>
      <c r="H77" s="28">
        <f>G77/G103</f>
        <v>9.5654709355655538E-4</v>
      </c>
      <c r="I77" s="18">
        <f>ROUND(F77*Прил.10!$D$12,2)</f>
        <v>4488.97</v>
      </c>
      <c r="J77" s="18">
        <f t="shared" si="5"/>
        <v>2089.5300000000002</v>
      </c>
    </row>
    <row r="78" spans="1:10" s="1" customFormat="1" ht="31.7" hidden="1" customHeight="1" outlineLevel="1" x14ac:dyDescent="0.25">
      <c r="A78" s="16">
        <v>49</v>
      </c>
      <c r="B78" s="29" t="s">
        <v>186</v>
      </c>
      <c r="C78" s="20" t="s">
        <v>187</v>
      </c>
      <c r="D78" s="21" t="s">
        <v>137</v>
      </c>
      <c r="E78" s="30">
        <v>2.09</v>
      </c>
      <c r="F78" s="31">
        <v>70</v>
      </c>
      <c r="G78" s="31">
        <f t="shared" si="4"/>
        <v>146.30000000000001</v>
      </c>
      <c r="H78" s="28">
        <f>G78/G103</f>
        <v>5.384695055112704E-4</v>
      </c>
      <c r="I78" s="18">
        <f>ROUND(F78*Прил.10!$D$12,2)</f>
        <v>562.79999999999995</v>
      </c>
      <c r="J78" s="18">
        <f t="shared" si="5"/>
        <v>1176.25</v>
      </c>
    </row>
    <row r="79" spans="1:10" s="1" customFormat="1" ht="31.7" hidden="1" customHeight="1" outlineLevel="1" x14ac:dyDescent="0.25">
      <c r="A79" s="16">
        <v>50</v>
      </c>
      <c r="B79" s="29" t="s">
        <v>188</v>
      </c>
      <c r="C79" s="20" t="s">
        <v>189</v>
      </c>
      <c r="D79" s="21" t="s">
        <v>142</v>
      </c>
      <c r="E79" s="30">
        <v>0.156135</v>
      </c>
      <c r="F79" s="31">
        <v>734.5</v>
      </c>
      <c r="G79" s="31">
        <f t="shared" si="4"/>
        <v>114.68</v>
      </c>
      <c r="H79" s="28">
        <f>G79/G103</f>
        <v>4.220894250993335E-4</v>
      </c>
      <c r="I79" s="18">
        <f>ROUND(F79*Прил.10!$D$12,2)</f>
        <v>5905.38</v>
      </c>
      <c r="J79" s="18">
        <f t="shared" si="5"/>
        <v>922.04</v>
      </c>
    </row>
    <row r="80" spans="1:10" s="1" customFormat="1" ht="15.75" hidden="1" customHeight="1" outlineLevel="1" x14ac:dyDescent="0.25">
      <c r="A80" s="16">
        <v>51</v>
      </c>
      <c r="B80" s="29" t="s">
        <v>190</v>
      </c>
      <c r="C80" s="20" t="s">
        <v>191</v>
      </c>
      <c r="D80" s="21" t="s">
        <v>142</v>
      </c>
      <c r="E80" s="30">
        <v>0.01</v>
      </c>
      <c r="F80" s="31">
        <v>7932.6</v>
      </c>
      <c r="G80" s="31">
        <f t="shared" si="4"/>
        <v>79.33</v>
      </c>
      <c r="H80" s="28">
        <f>G80/G103</f>
        <v>2.9198076467675378E-4</v>
      </c>
      <c r="I80" s="18">
        <f>ROUND(F80*Прил.10!$D$12,2)</f>
        <v>63778.1</v>
      </c>
      <c r="J80" s="18">
        <f t="shared" si="5"/>
        <v>637.78</v>
      </c>
    </row>
    <row r="81" spans="1:10" s="1" customFormat="1" ht="15.75" hidden="1" customHeight="1" outlineLevel="1" x14ac:dyDescent="0.25">
      <c r="A81" s="16">
        <v>52</v>
      </c>
      <c r="B81" s="29" t="s">
        <v>192</v>
      </c>
      <c r="C81" s="20" t="s">
        <v>193</v>
      </c>
      <c r="D81" s="21" t="s">
        <v>142</v>
      </c>
      <c r="E81" s="30">
        <v>1.4288E-2</v>
      </c>
      <c r="F81" s="31">
        <v>5019.7</v>
      </c>
      <c r="G81" s="31">
        <f t="shared" si="4"/>
        <v>71.72</v>
      </c>
      <c r="H81" s="28">
        <f>G81/G103</f>
        <v>2.639715169874799E-4</v>
      </c>
      <c r="I81" s="18">
        <f>ROUND(F81*Прил.10!$D$12,2)</f>
        <v>40358.39</v>
      </c>
      <c r="J81" s="18">
        <f t="shared" si="5"/>
        <v>576.64</v>
      </c>
    </row>
    <row r="82" spans="1:10" s="1" customFormat="1" ht="78.75" hidden="1" customHeight="1" outlineLevel="1" x14ac:dyDescent="0.25">
      <c r="A82" s="16">
        <v>53</v>
      </c>
      <c r="B82" s="29" t="s">
        <v>194</v>
      </c>
      <c r="C82" s="20" t="s">
        <v>195</v>
      </c>
      <c r="D82" s="21" t="s">
        <v>142</v>
      </c>
      <c r="E82" s="30">
        <v>9.2055999999999995E-3</v>
      </c>
      <c r="F82" s="31">
        <v>7712</v>
      </c>
      <c r="G82" s="31">
        <f t="shared" si="4"/>
        <v>70.989999999999995</v>
      </c>
      <c r="H82" s="28">
        <f>G82/G103</f>
        <v>2.6128469033660345E-4</v>
      </c>
      <c r="I82" s="18">
        <f>ROUND(F82*Прил.10!$D$12,2)</f>
        <v>62004.480000000003</v>
      </c>
      <c r="J82" s="18">
        <f t="shared" si="5"/>
        <v>570.79</v>
      </c>
    </row>
    <row r="83" spans="1:10" s="1" customFormat="1" ht="31.7" hidden="1" customHeight="1" outlineLevel="1" x14ac:dyDescent="0.25">
      <c r="A83" s="16">
        <v>54</v>
      </c>
      <c r="B83" s="29" t="s">
        <v>196</v>
      </c>
      <c r="C83" s="20" t="s">
        <v>197</v>
      </c>
      <c r="D83" s="21" t="s">
        <v>145</v>
      </c>
      <c r="E83" s="30">
        <v>7.3991939999999996</v>
      </c>
      <c r="F83" s="31">
        <v>9.0399999999999991</v>
      </c>
      <c r="G83" s="31">
        <f t="shared" si="4"/>
        <v>66.89</v>
      </c>
      <c r="H83" s="28">
        <f>G83/G103</f>
        <v>2.4619429407825614E-4</v>
      </c>
      <c r="I83" s="18">
        <f>ROUND(F83*Прил.10!$D$12,2)</f>
        <v>72.680000000000007</v>
      </c>
      <c r="J83" s="18">
        <f t="shared" si="5"/>
        <v>537.77</v>
      </c>
    </row>
    <row r="84" spans="1:10" s="1" customFormat="1" ht="47.25" hidden="1" customHeight="1" outlineLevel="1" x14ac:dyDescent="0.25">
      <c r="A84" s="16">
        <v>55</v>
      </c>
      <c r="B84" s="29" t="s">
        <v>198</v>
      </c>
      <c r="C84" s="20" t="s">
        <v>199</v>
      </c>
      <c r="D84" s="21" t="s">
        <v>137</v>
      </c>
      <c r="E84" s="30">
        <v>0.32229999999999998</v>
      </c>
      <c r="F84" s="31">
        <v>106.14</v>
      </c>
      <c r="G84" s="31">
        <f t="shared" si="4"/>
        <v>34.21</v>
      </c>
      <c r="H84" s="28">
        <f>G84/G103</f>
        <v>1.259127941458685E-4</v>
      </c>
      <c r="I84" s="18">
        <f>ROUND(F84*Прил.10!$D$12,2)</f>
        <v>853.37</v>
      </c>
      <c r="J84" s="18">
        <f t="shared" si="5"/>
        <v>275.04000000000002</v>
      </c>
    </row>
    <row r="85" spans="1:10" s="1" customFormat="1" ht="15.75" hidden="1" customHeight="1" outlineLevel="1" x14ac:dyDescent="0.25">
      <c r="A85" s="16">
        <v>56</v>
      </c>
      <c r="B85" s="29" t="s">
        <v>200</v>
      </c>
      <c r="C85" s="20" t="s">
        <v>201</v>
      </c>
      <c r="D85" s="21" t="s">
        <v>137</v>
      </c>
      <c r="E85" s="30">
        <v>12.735015000000001</v>
      </c>
      <c r="F85" s="31">
        <v>2.44</v>
      </c>
      <c r="G85" s="31">
        <f t="shared" si="4"/>
        <v>31.07</v>
      </c>
      <c r="H85" s="28">
        <f>G85/G103</f>
        <v>1.1435575896264642E-4</v>
      </c>
      <c r="I85" s="18">
        <f>ROUND(F85*Прил.10!$D$12,2)</f>
        <v>19.62</v>
      </c>
      <c r="J85" s="18">
        <f t="shared" si="5"/>
        <v>249.86</v>
      </c>
    </row>
    <row r="86" spans="1:10" s="1" customFormat="1" ht="15.75" hidden="1" customHeight="1" outlineLevel="1" x14ac:dyDescent="0.25">
      <c r="A86" s="16">
        <v>57</v>
      </c>
      <c r="B86" s="29" t="s">
        <v>202</v>
      </c>
      <c r="C86" s="20" t="s">
        <v>203</v>
      </c>
      <c r="D86" s="21" t="s">
        <v>137</v>
      </c>
      <c r="E86" s="30">
        <v>3.6059652</v>
      </c>
      <c r="F86" s="31">
        <v>6.22</v>
      </c>
      <c r="G86" s="31">
        <f t="shared" si="4"/>
        <v>22.43</v>
      </c>
      <c r="H86" s="28">
        <f>G86/G103</f>
        <v>8.2555509286519449E-5</v>
      </c>
      <c r="I86" s="18">
        <f>ROUND(F86*Прил.10!$D$12,2)</f>
        <v>50.01</v>
      </c>
      <c r="J86" s="18">
        <f t="shared" si="5"/>
        <v>180.33</v>
      </c>
    </row>
    <row r="87" spans="1:10" s="1" customFormat="1" ht="15.75" hidden="1" customHeight="1" outlineLevel="1" x14ac:dyDescent="0.25">
      <c r="A87" s="16">
        <v>58</v>
      </c>
      <c r="B87" s="29" t="s">
        <v>204</v>
      </c>
      <c r="C87" s="20" t="s">
        <v>205</v>
      </c>
      <c r="D87" s="21" t="s">
        <v>142</v>
      </c>
      <c r="E87" s="30">
        <v>3.5921999999999998E-3</v>
      </c>
      <c r="F87" s="31">
        <v>4920</v>
      </c>
      <c r="G87" s="31">
        <f t="shared" si="4"/>
        <v>17.670000000000002</v>
      </c>
      <c r="H87" s="28">
        <f>G87/G103</f>
        <v>6.5035927289023578E-5</v>
      </c>
      <c r="I87" s="18">
        <f>ROUND(F87*Прил.10!$D$12,2)</f>
        <v>39556.800000000003</v>
      </c>
      <c r="J87" s="18">
        <f t="shared" si="5"/>
        <v>142.1</v>
      </c>
    </row>
    <row r="88" spans="1:10" s="1" customFormat="1" ht="31.7" hidden="1" customHeight="1" outlineLevel="1" x14ac:dyDescent="0.25">
      <c r="A88" s="16">
        <v>59</v>
      </c>
      <c r="B88" s="29" t="s">
        <v>206</v>
      </c>
      <c r="C88" s="20" t="s">
        <v>207</v>
      </c>
      <c r="D88" s="21" t="s">
        <v>137</v>
      </c>
      <c r="E88" s="30">
        <v>0.1648</v>
      </c>
      <c r="F88" s="31">
        <v>98.6</v>
      </c>
      <c r="G88" s="31">
        <f t="shared" si="4"/>
        <v>16.25</v>
      </c>
      <c r="H88" s="28">
        <f>G88/G103</f>
        <v>5.9809497365400848E-5</v>
      </c>
      <c r="I88" s="18">
        <f>ROUND(F88*Прил.10!$D$12,2)</f>
        <v>792.74</v>
      </c>
      <c r="J88" s="18">
        <f t="shared" si="5"/>
        <v>130.63999999999999</v>
      </c>
    </row>
    <row r="89" spans="1:10" s="1" customFormat="1" ht="15.75" hidden="1" customHeight="1" outlineLevel="1" x14ac:dyDescent="0.25">
      <c r="A89" s="16">
        <v>60</v>
      </c>
      <c r="B89" s="29" t="s">
        <v>208</v>
      </c>
      <c r="C89" s="20" t="s">
        <v>209</v>
      </c>
      <c r="D89" s="21" t="s">
        <v>145</v>
      </c>
      <c r="E89" s="30">
        <v>1.1109815999999999</v>
      </c>
      <c r="F89" s="31">
        <v>9.42</v>
      </c>
      <c r="G89" s="31">
        <f t="shared" si="4"/>
        <v>10.47</v>
      </c>
      <c r="H89" s="28">
        <f>G89/G103</f>
        <v>3.8535719225584426E-5</v>
      </c>
      <c r="I89" s="18">
        <f>ROUND(F89*Прил.10!$D$12,2)</f>
        <v>75.739999999999995</v>
      </c>
      <c r="J89" s="18">
        <f t="shared" si="5"/>
        <v>84.15</v>
      </c>
    </row>
    <row r="90" spans="1:10" s="1" customFormat="1" ht="31.7" hidden="1" customHeight="1" outlineLevel="1" x14ac:dyDescent="0.25">
      <c r="A90" s="16">
        <v>61</v>
      </c>
      <c r="B90" s="29" t="s">
        <v>210</v>
      </c>
      <c r="C90" s="20" t="s">
        <v>211</v>
      </c>
      <c r="D90" s="21" t="s">
        <v>163</v>
      </c>
      <c r="E90" s="30">
        <v>2.5712000000000002</v>
      </c>
      <c r="F90" s="31">
        <v>3.62</v>
      </c>
      <c r="G90" s="31">
        <f t="shared" si="4"/>
        <v>9.31</v>
      </c>
      <c r="H90" s="28">
        <f>G90/G103</f>
        <v>3.4266241259808118E-5</v>
      </c>
      <c r="I90" s="18">
        <f>ROUND(F90*Прил.10!$D$12,2)</f>
        <v>29.1</v>
      </c>
      <c r="J90" s="18">
        <f t="shared" si="5"/>
        <v>74.819999999999993</v>
      </c>
    </row>
    <row r="91" spans="1:10" s="1" customFormat="1" ht="15.75" hidden="1" customHeight="1" outlineLevel="1" x14ac:dyDescent="0.25">
      <c r="A91" s="16">
        <v>62</v>
      </c>
      <c r="B91" s="29" t="s">
        <v>212</v>
      </c>
      <c r="C91" s="20" t="s">
        <v>213</v>
      </c>
      <c r="D91" s="21" t="s">
        <v>142</v>
      </c>
      <c r="E91" s="30">
        <v>5.7410000000000002E-4</v>
      </c>
      <c r="F91" s="31">
        <v>15620</v>
      </c>
      <c r="G91" s="31">
        <f t="shared" si="4"/>
        <v>8.9700000000000006</v>
      </c>
      <c r="H91" s="28">
        <f>G91/G103</f>
        <v>3.301484254570127E-5</v>
      </c>
      <c r="I91" s="18">
        <f>ROUND(F91*Прил.10!$D$12,2)</f>
        <v>125584.8</v>
      </c>
      <c r="J91" s="18">
        <f t="shared" si="5"/>
        <v>72.099999999999994</v>
      </c>
    </row>
    <row r="92" spans="1:10" s="1" customFormat="1" ht="31.7" hidden="1" customHeight="1" outlineLevel="1" x14ac:dyDescent="0.25">
      <c r="A92" s="16">
        <v>63</v>
      </c>
      <c r="B92" s="29" t="s">
        <v>214</v>
      </c>
      <c r="C92" s="20" t="s">
        <v>215</v>
      </c>
      <c r="D92" s="21" t="s">
        <v>142</v>
      </c>
      <c r="E92" s="30">
        <v>7.3640000000000001E-4</v>
      </c>
      <c r="F92" s="31">
        <v>10315.01</v>
      </c>
      <c r="G92" s="31">
        <f t="shared" si="4"/>
        <v>7.6</v>
      </c>
      <c r="H92" s="28">
        <f>G92/G103</f>
        <v>2.7972441844741319E-5</v>
      </c>
      <c r="I92" s="18">
        <f>ROUND(F92*Прил.10!$D$12,2)</f>
        <v>82932.679999999993</v>
      </c>
      <c r="J92" s="18">
        <f t="shared" si="5"/>
        <v>61.07</v>
      </c>
    </row>
    <row r="93" spans="1:10" s="1" customFormat="1" ht="47.25" hidden="1" customHeight="1" outlineLevel="1" x14ac:dyDescent="0.25">
      <c r="A93" s="16">
        <v>64</v>
      </c>
      <c r="B93" s="29" t="s">
        <v>216</v>
      </c>
      <c r="C93" s="20" t="s">
        <v>217</v>
      </c>
      <c r="D93" s="21" t="s">
        <v>163</v>
      </c>
      <c r="E93" s="30">
        <v>0.49</v>
      </c>
      <c r="F93" s="31">
        <v>15.46</v>
      </c>
      <c r="G93" s="31">
        <f t="shared" si="4"/>
        <v>7.58</v>
      </c>
      <c r="H93" s="28">
        <f>G93/G103</f>
        <v>2.7898830155676209E-5</v>
      </c>
      <c r="I93" s="18">
        <f>ROUND(F93*Прил.10!$D$12,2)</f>
        <v>124.3</v>
      </c>
      <c r="J93" s="18">
        <f t="shared" si="5"/>
        <v>60.91</v>
      </c>
    </row>
    <row r="94" spans="1:10" s="1" customFormat="1" ht="15.75" hidden="1" customHeight="1" outlineLevel="1" x14ac:dyDescent="0.25">
      <c r="A94" s="16">
        <v>65</v>
      </c>
      <c r="B94" s="29" t="s">
        <v>218</v>
      </c>
      <c r="C94" s="20" t="s">
        <v>219</v>
      </c>
      <c r="D94" s="21" t="s">
        <v>142</v>
      </c>
      <c r="E94" s="30">
        <v>1.853E-4</v>
      </c>
      <c r="F94" s="31">
        <v>37900</v>
      </c>
      <c r="G94" s="31">
        <f t="shared" si="4"/>
        <v>7.02</v>
      </c>
      <c r="H94" s="28">
        <f>G94/G103</f>
        <v>2.5837702861853165E-5</v>
      </c>
      <c r="I94" s="18">
        <f>ROUND(F94*Прил.10!$D$12,2)</f>
        <v>304716</v>
      </c>
      <c r="J94" s="18">
        <f t="shared" si="5"/>
        <v>56.46</v>
      </c>
    </row>
    <row r="95" spans="1:10" s="1" customFormat="1" ht="15.75" hidden="1" customHeight="1" outlineLevel="1" x14ac:dyDescent="0.25">
      <c r="A95" s="16">
        <v>66</v>
      </c>
      <c r="B95" s="29" t="s">
        <v>220</v>
      </c>
      <c r="C95" s="20" t="s">
        <v>221</v>
      </c>
      <c r="D95" s="21" t="s">
        <v>145</v>
      </c>
      <c r="E95" s="30">
        <v>1.0909952000000001</v>
      </c>
      <c r="F95" s="31">
        <v>6.09</v>
      </c>
      <c r="G95" s="31">
        <f t="shared" si="4"/>
        <v>6.64</v>
      </c>
      <c r="H95" s="28">
        <f>G95/G103</f>
        <v>2.4439080769616097E-5</v>
      </c>
      <c r="I95" s="18">
        <f>ROUND(F95*Прил.10!$D$12,2)</f>
        <v>48.96</v>
      </c>
      <c r="J95" s="18">
        <f t="shared" si="5"/>
        <v>53.42</v>
      </c>
    </row>
    <row r="96" spans="1:10" s="1" customFormat="1" ht="47.25" hidden="1" customHeight="1" outlineLevel="1" x14ac:dyDescent="0.25">
      <c r="A96" s="16">
        <v>67</v>
      </c>
      <c r="B96" s="29" t="s">
        <v>222</v>
      </c>
      <c r="C96" s="20" t="s">
        <v>223</v>
      </c>
      <c r="D96" s="21" t="s">
        <v>137</v>
      </c>
      <c r="E96" s="30">
        <v>4.4000000000000003E-3</v>
      </c>
      <c r="F96" s="31">
        <v>1100</v>
      </c>
      <c r="G96" s="31">
        <f t="shared" si="4"/>
        <v>4.84</v>
      </c>
      <c r="H96" s="28">
        <f>G96/G103</f>
        <v>1.7814028753756313E-5</v>
      </c>
      <c r="I96" s="18">
        <f>ROUND(F96*Прил.10!$D$12,2)</f>
        <v>8844</v>
      </c>
      <c r="J96" s="18">
        <f t="shared" si="5"/>
        <v>38.909999999999997</v>
      </c>
    </row>
    <row r="97" spans="1:10" s="1" customFormat="1" ht="47.25" hidden="1" customHeight="1" outlineLevel="1" x14ac:dyDescent="0.25">
      <c r="A97" s="16">
        <v>68</v>
      </c>
      <c r="B97" s="29" t="s">
        <v>224</v>
      </c>
      <c r="C97" s="20" t="s">
        <v>225</v>
      </c>
      <c r="D97" s="21" t="s">
        <v>137</v>
      </c>
      <c r="E97" s="30">
        <v>1.8963999999999999E-3</v>
      </c>
      <c r="F97" s="31">
        <v>1700</v>
      </c>
      <c r="G97" s="31">
        <f t="shared" si="4"/>
        <v>3.22</v>
      </c>
      <c r="H97" s="28">
        <f>G97/G103</f>
        <v>1.1851481939482507E-5</v>
      </c>
      <c r="I97" s="18">
        <f>ROUND(F97*Прил.10!$D$12,2)</f>
        <v>13668</v>
      </c>
      <c r="J97" s="18">
        <f t="shared" si="5"/>
        <v>25.92</v>
      </c>
    </row>
    <row r="98" spans="1:10" s="1" customFormat="1" ht="47.25" hidden="1" customHeight="1" outlineLevel="1" x14ac:dyDescent="0.25">
      <c r="A98" s="16">
        <v>69</v>
      </c>
      <c r="B98" s="29" t="s">
        <v>226</v>
      </c>
      <c r="C98" s="20" t="s">
        <v>227</v>
      </c>
      <c r="D98" s="21" t="s">
        <v>137</v>
      </c>
      <c r="E98" s="30">
        <v>1.8240000000000001E-3</v>
      </c>
      <c r="F98" s="31">
        <v>1287</v>
      </c>
      <c r="G98" s="31">
        <f t="shared" si="4"/>
        <v>2.35</v>
      </c>
      <c r="H98" s="28">
        <f>G98/G103</f>
        <v>8.6493734651502758E-6</v>
      </c>
      <c r="I98" s="18">
        <f>ROUND(F98*Прил.10!$D$12,2)</f>
        <v>10347.48</v>
      </c>
      <c r="J98" s="18">
        <f t="shared" si="5"/>
        <v>18.87</v>
      </c>
    </row>
    <row r="99" spans="1:10" s="1" customFormat="1" ht="78.75" hidden="1" customHeight="1" outlineLevel="1" x14ac:dyDescent="0.25">
      <c r="A99" s="16">
        <v>70</v>
      </c>
      <c r="B99" s="29" t="s">
        <v>228</v>
      </c>
      <c r="C99" s="20" t="s">
        <v>229</v>
      </c>
      <c r="D99" s="21" t="s">
        <v>230</v>
      </c>
      <c r="E99" s="30">
        <v>3.4625599999999999E-2</v>
      </c>
      <c r="F99" s="31">
        <v>50.24</v>
      </c>
      <c r="G99" s="31">
        <f t="shared" si="4"/>
        <v>1.74</v>
      </c>
      <c r="H99" s="28">
        <f>G99/G103</f>
        <v>6.4042169486644597E-6</v>
      </c>
      <c r="I99" s="18">
        <f>ROUND(F99*Прил.10!$D$12,2)</f>
        <v>403.93</v>
      </c>
      <c r="J99" s="18">
        <f t="shared" si="5"/>
        <v>13.99</v>
      </c>
    </row>
    <row r="100" spans="1:10" s="1" customFormat="1" ht="15.75" hidden="1" customHeight="1" outlineLevel="1" x14ac:dyDescent="0.25">
      <c r="A100" s="16">
        <v>71</v>
      </c>
      <c r="B100" s="29" t="s">
        <v>231</v>
      </c>
      <c r="C100" s="20" t="s">
        <v>232</v>
      </c>
      <c r="D100" s="21" t="s">
        <v>142</v>
      </c>
      <c r="E100" s="30">
        <v>3.6600000000000002E-5</v>
      </c>
      <c r="F100" s="31">
        <v>10200</v>
      </c>
      <c r="G100" s="31">
        <f t="shared" si="4"/>
        <v>0.37</v>
      </c>
      <c r="H100" s="28">
        <f>G100/G103</f>
        <v>1.3618162477045116E-6</v>
      </c>
      <c r="I100" s="18">
        <f>ROUND(F100*Прил.10!$D$12,2)</f>
        <v>82008</v>
      </c>
      <c r="J100" s="18">
        <f t="shared" si="5"/>
        <v>3</v>
      </c>
    </row>
    <row r="101" spans="1:10" s="1" customFormat="1" ht="31.7" hidden="1" customHeight="1" outlineLevel="1" x14ac:dyDescent="0.25">
      <c r="A101" s="16">
        <v>72</v>
      </c>
      <c r="B101" s="29" t="s">
        <v>233</v>
      </c>
      <c r="C101" s="20" t="s">
        <v>234</v>
      </c>
      <c r="D101" s="21" t="s">
        <v>145</v>
      </c>
      <c r="E101" s="30">
        <v>1.47E-2</v>
      </c>
      <c r="F101" s="31">
        <v>10.75</v>
      </c>
      <c r="G101" s="31">
        <f t="shared" si="4"/>
        <v>0.16</v>
      </c>
      <c r="H101" s="28">
        <f>G101/G103</f>
        <v>5.8889351252086984E-7</v>
      </c>
      <c r="I101" s="18">
        <f>ROUND(F101*Прил.10!$D$12,2)</f>
        <v>86.43</v>
      </c>
      <c r="J101" s="18">
        <f t="shared" si="5"/>
        <v>1.27</v>
      </c>
    </row>
    <row r="102" spans="1:10" s="1" customFormat="1" ht="15.75" customHeight="1" collapsed="1" x14ac:dyDescent="0.25">
      <c r="A102" s="16"/>
      <c r="B102" s="114" t="s">
        <v>299</v>
      </c>
      <c r="C102" s="114"/>
      <c r="D102" s="114"/>
      <c r="E102" s="114"/>
      <c r="F102" s="119"/>
      <c r="G102" s="18">
        <f>SUM(G63:G101)</f>
        <v>29639.950000000008</v>
      </c>
      <c r="H102" s="28">
        <f>SUM(H63:H101)</f>
        <v>0.10909233916526848</v>
      </c>
      <c r="I102" s="18"/>
      <c r="J102" s="18">
        <f>SUM(J63:J101)</f>
        <v>238305.21000000002</v>
      </c>
    </row>
    <row r="103" spans="1:10" s="1" customFormat="1" ht="15.75" customHeight="1" x14ac:dyDescent="0.25">
      <c r="A103" s="16"/>
      <c r="B103" s="114" t="s">
        <v>300</v>
      </c>
      <c r="C103" s="115"/>
      <c r="D103" s="114"/>
      <c r="E103" s="114"/>
      <c r="F103" s="119"/>
      <c r="G103" s="18">
        <f>G62+G102</f>
        <v>271695.98</v>
      </c>
      <c r="H103" s="28">
        <f>H62+H102</f>
        <v>1</v>
      </c>
      <c r="I103" s="18"/>
      <c r="J103" s="18">
        <f>J62+J102</f>
        <v>2184436.52</v>
      </c>
    </row>
    <row r="104" spans="1:10" s="1" customFormat="1" ht="15.75" customHeight="1" x14ac:dyDescent="0.25">
      <c r="A104" s="17"/>
      <c r="B104" s="21"/>
      <c r="C104" s="20" t="s">
        <v>301</v>
      </c>
      <c r="D104" s="21"/>
      <c r="E104" s="21"/>
      <c r="F104" s="34"/>
      <c r="G104" s="34">
        <f>+G14+G44+G103</f>
        <v>310207.52999999997</v>
      </c>
      <c r="H104" s="35"/>
      <c r="I104" s="18"/>
      <c r="J104" s="34">
        <f>+J14+J44+J103</f>
        <v>3082593.0700000003</v>
      </c>
    </row>
    <row r="105" spans="1:10" s="1" customFormat="1" ht="15.75" customHeight="1" x14ac:dyDescent="0.25">
      <c r="A105" s="17"/>
      <c r="B105" s="21"/>
      <c r="C105" s="20" t="s">
        <v>302</v>
      </c>
      <c r="D105" s="36">
        <v>1.0216090586838</v>
      </c>
      <c r="E105" s="21"/>
      <c r="F105" s="34"/>
      <c r="G105" s="34">
        <f>(G14+G16)*D105</f>
        <v>14891.372066907956</v>
      </c>
      <c r="H105" s="35"/>
      <c r="I105" s="18"/>
      <c r="J105" s="18">
        <f>(J14+J16)*D105</f>
        <v>659534.23778732948</v>
      </c>
    </row>
    <row r="106" spans="1:10" s="1" customFormat="1" ht="15.75" customHeight="1" x14ac:dyDescent="0.25">
      <c r="A106" s="17"/>
      <c r="B106" s="21"/>
      <c r="C106" s="20" t="s">
        <v>303</v>
      </c>
      <c r="D106" s="36">
        <v>0.58236187877854995</v>
      </c>
      <c r="E106" s="21"/>
      <c r="F106" s="34"/>
      <c r="G106" s="34">
        <f>(G14+G16)*D106</f>
        <v>8488.7338662088678</v>
      </c>
      <c r="H106" s="35"/>
      <c r="I106" s="18"/>
      <c r="J106" s="18">
        <f>(J14+J16)*D106</f>
        <v>375963.38302975806</v>
      </c>
    </row>
    <row r="107" spans="1:10" s="1" customFormat="1" ht="15.75" customHeight="1" x14ac:dyDescent="0.25">
      <c r="A107" s="17"/>
      <c r="B107" s="21"/>
      <c r="C107" s="20" t="s">
        <v>304</v>
      </c>
      <c r="D107" s="21"/>
      <c r="E107" s="21"/>
      <c r="F107" s="34"/>
      <c r="G107" s="34">
        <f>G104+G105+G106</f>
        <v>333587.63593311678</v>
      </c>
      <c r="H107" s="35"/>
      <c r="I107" s="18"/>
      <c r="J107" s="34">
        <f>J104+J105+J106</f>
        <v>4118090.6908170879</v>
      </c>
    </row>
    <row r="108" spans="1:10" s="1" customFormat="1" ht="15.75" customHeight="1" x14ac:dyDescent="0.25">
      <c r="A108" s="17"/>
      <c r="B108" s="21"/>
      <c r="C108" s="20" t="s">
        <v>305</v>
      </c>
      <c r="D108" s="21"/>
      <c r="E108" s="21"/>
      <c r="F108" s="34"/>
      <c r="G108" s="34">
        <f>G50+G107</f>
        <v>333587.63593311678</v>
      </c>
      <c r="H108" s="35"/>
      <c r="I108" s="18"/>
      <c r="J108" s="18">
        <f>J50+J107</f>
        <v>4118090.6908170879</v>
      </c>
    </row>
    <row r="109" spans="1:10" s="1" customFormat="1" ht="15.75" customHeight="1" x14ac:dyDescent="0.25">
      <c r="A109" s="17"/>
      <c r="B109" s="21"/>
      <c r="C109" s="20" t="s">
        <v>273</v>
      </c>
      <c r="D109" s="21" t="s">
        <v>306</v>
      </c>
      <c r="E109" s="21">
        <v>1</v>
      </c>
      <c r="F109" s="34"/>
      <c r="G109" s="34">
        <f>G108/E109</f>
        <v>333587.63593311678</v>
      </c>
      <c r="H109" s="35"/>
      <c r="I109" s="18"/>
      <c r="J109" s="34">
        <f>J108/E109</f>
        <v>4118090.6908170879</v>
      </c>
    </row>
    <row r="110" spans="1:10" s="1" customFormat="1" ht="15.75" customHeight="1" x14ac:dyDescent="0.25">
      <c r="F110" s="37"/>
      <c r="G110" s="37"/>
      <c r="I110" s="37"/>
      <c r="J110" s="37"/>
    </row>
    <row r="111" spans="1:10" s="1" customFormat="1" ht="15.75" customHeight="1" x14ac:dyDescent="0.25">
      <c r="F111" s="37"/>
      <c r="G111" s="37"/>
      <c r="I111" s="37"/>
      <c r="J111" s="37"/>
    </row>
    <row r="112" spans="1:10" s="1" customFormat="1" ht="15.75" customHeight="1" x14ac:dyDescent="0.25">
      <c r="A112" s="5"/>
      <c r="B112" s="87"/>
      <c r="C112" s="87"/>
      <c r="D112" s="87"/>
      <c r="F112" s="37"/>
      <c r="G112" s="37"/>
      <c r="I112" s="37"/>
      <c r="J112" s="37"/>
    </row>
    <row r="113" spans="1:10" s="1" customFormat="1" ht="15.75" customHeight="1" x14ac:dyDescent="0.25">
      <c r="B113" s="87" t="s">
        <v>235</v>
      </c>
      <c r="C113" s="87"/>
      <c r="D113" s="87"/>
      <c r="F113" s="37"/>
      <c r="G113" s="37"/>
      <c r="I113" s="37"/>
      <c r="J113" s="37"/>
    </row>
    <row r="114" spans="1:10" s="1" customFormat="1" ht="15.75" customHeight="1" x14ac:dyDescent="0.25">
      <c r="B114" s="5" t="s">
        <v>28</v>
      </c>
      <c r="C114" s="87"/>
      <c r="D114" s="87"/>
      <c r="F114" s="37"/>
      <c r="G114" s="37"/>
      <c r="I114" s="37"/>
      <c r="J114" s="37"/>
    </row>
    <row r="115" spans="1:10" s="1" customFormat="1" ht="15.75" customHeight="1" x14ac:dyDescent="0.25">
      <c r="A115" s="5"/>
      <c r="B115" s="87"/>
      <c r="C115" s="87"/>
      <c r="D115" s="87"/>
      <c r="F115" s="37"/>
      <c r="G115" s="37"/>
      <c r="I115" s="37"/>
      <c r="J115" s="37"/>
    </row>
    <row r="116" spans="1:10" s="1" customFormat="1" ht="15.75" customHeight="1" x14ac:dyDescent="0.25">
      <c r="B116" s="87" t="s">
        <v>381</v>
      </c>
      <c r="C116" s="87"/>
      <c r="D116" s="87"/>
      <c r="F116" s="37"/>
      <c r="G116" s="37"/>
      <c r="I116" s="37"/>
      <c r="J116" s="37"/>
    </row>
    <row r="117" spans="1:10" ht="15.75" x14ac:dyDescent="0.25">
      <c r="B117" s="5" t="s">
        <v>29</v>
      </c>
      <c r="C117" s="87"/>
      <c r="D117" s="87"/>
    </row>
  </sheetData>
  <sheetProtection formatCells="0" formatColumns="0" formatRows="0" insertColumns="0" insertRows="0" insertHyperlinks="0" deleteColumns="0" deleteRows="0" sort="0" autoFilter="0" pivotTables="0"/>
  <mergeCells count="28">
    <mergeCell ref="B103:F103"/>
    <mergeCell ref="B18:H18"/>
    <mergeCell ref="B23:F23"/>
    <mergeCell ref="B43:F43"/>
    <mergeCell ref="B44:F44"/>
    <mergeCell ref="B45:J45"/>
    <mergeCell ref="B46:J46"/>
    <mergeCell ref="B48:J48"/>
    <mergeCell ref="B52:H52"/>
    <mergeCell ref="B53:H53"/>
    <mergeCell ref="B62:F62"/>
    <mergeCell ref="B102:F102"/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</mergeCells>
  <conditionalFormatting sqref="E13:E116">
    <cfRule type="expression" dxfId="0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1" manualBreakCount="1">
    <brk id="58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0"/>
  <sheetViews>
    <sheetView view="pageBreakPreview" zoomScale="60" zoomScaleNormal="100" workbookViewId="0">
      <selection activeCell="E17" sqref="E17"/>
    </sheetView>
  </sheetViews>
  <sheetFormatPr defaultColWidth="9.140625"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ht="15.75" customHeight="1" x14ac:dyDescent="0.25">
      <c r="A1" s="120" t="s">
        <v>307</v>
      </c>
      <c r="B1" s="120"/>
      <c r="C1" s="120"/>
      <c r="D1" s="120"/>
      <c r="E1" s="120"/>
      <c r="F1" s="120"/>
      <c r="G1" s="120"/>
    </row>
    <row r="2" spans="1:7" ht="21.75" customHeight="1" x14ac:dyDescent="0.25">
      <c r="A2" s="38"/>
      <c r="B2" s="38"/>
      <c r="C2" s="38"/>
      <c r="D2" s="38"/>
      <c r="E2" s="38"/>
      <c r="F2" s="38"/>
      <c r="G2" s="38"/>
    </row>
    <row r="3" spans="1:7" ht="15.75" customHeight="1" x14ac:dyDescent="0.25">
      <c r="A3" s="104" t="s">
        <v>308</v>
      </c>
      <c r="B3" s="104"/>
      <c r="C3" s="104"/>
      <c r="D3" s="104"/>
      <c r="E3" s="104"/>
      <c r="F3" s="104"/>
      <c r="G3" s="104"/>
    </row>
    <row r="4" spans="1:7" ht="25.5" customHeight="1" x14ac:dyDescent="0.25">
      <c r="A4" s="121" t="s">
        <v>309</v>
      </c>
      <c r="B4" s="121"/>
      <c r="C4" s="121"/>
      <c r="D4" s="121"/>
      <c r="E4" s="121"/>
      <c r="F4" s="121"/>
      <c r="G4" s="121"/>
    </row>
    <row r="5" spans="1:7" ht="15.75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33" t="s">
        <v>278</v>
      </c>
      <c r="B6" s="133" t="s">
        <v>52</v>
      </c>
      <c r="C6" s="133" t="s">
        <v>239</v>
      </c>
      <c r="D6" s="133" t="s">
        <v>54</v>
      </c>
      <c r="E6" s="134" t="s">
        <v>279</v>
      </c>
      <c r="F6" s="133" t="s">
        <v>56</v>
      </c>
      <c r="G6" s="133"/>
    </row>
    <row r="7" spans="1:7" s="1" customFormat="1" ht="15.75" customHeight="1" x14ac:dyDescent="0.25">
      <c r="A7" s="133"/>
      <c r="B7" s="133"/>
      <c r="C7" s="133"/>
      <c r="D7" s="133"/>
      <c r="E7" s="135"/>
      <c r="F7" s="4" t="s">
        <v>282</v>
      </c>
      <c r="G7" s="4" t="s">
        <v>58</v>
      </c>
    </row>
    <row r="8" spans="1:7" s="1" customFormat="1" ht="15.75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75" customHeight="1" x14ac:dyDescent="0.25">
      <c r="A9" s="17"/>
      <c r="B9" s="130" t="s">
        <v>310</v>
      </c>
      <c r="C9" s="130"/>
      <c r="D9" s="130"/>
      <c r="E9" s="130"/>
      <c r="F9" s="130"/>
      <c r="G9" s="130"/>
    </row>
    <row r="10" spans="1:7" s="1" customFormat="1" ht="31.7" customHeight="1" x14ac:dyDescent="0.25">
      <c r="A10" s="21"/>
      <c r="B10" s="39"/>
      <c r="C10" s="20" t="s">
        <v>311</v>
      </c>
      <c r="D10" s="39"/>
      <c r="E10" s="40"/>
      <c r="F10" s="34"/>
      <c r="G10" s="34">
        <v>0</v>
      </c>
    </row>
    <row r="11" spans="1:7" s="1" customFormat="1" ht="15.75" customHeight="1" x14ac:dyDescent="0.25">
      <c r="A11" s="21"/>
      <c r="B11" s="130" t="s">
        <v>312</v>
      </c>
      <c r="C11" s="130"/>
      <c r="D11" s="130"/>
      <c r="E11" s="131"/>
      <c r="F11" s="132"/>
      <c r="G11" s="132"/>
    </row>
    <row r="12" spans="1:7" s="1" customFormat="1" ht="31.7" customHeight="1" x14ac:dyDescent="0.25">
      <c r="A12" s="21"/>
      <c r="B12" s="20"/>
      <c r="C12" s="20" t="s">
        <v>313</v>
      </c>
      <c r="D12" s="20"/>
      <c r="E12" s="30"/>
      <c r="F12" s="34"/>
      <c r="G12" s="34">
        <v>0</v>
      </c>
    </row>
    <row r="13" spans="1:7" s="1" customFormat="1" ht="15.75" customHeight="1" x14ac:dyDescent="0.25">
      <c r="A13" s="21"/>
      <c r="B13" s="20"/>
      <c r="C13" s="20" t="s">
        <v>314</v>
      </c>
      <c r="D13" s="20"/>
      <c r="E13" s="30"/>
      <c r="F13" s="34"/>
      <c r="G13" s="34">
        <v>0</v>
      </c>
    </row>
    <row r="14" spans="1:7" s="1" customFormat="1" ht="15.75" customHeight="1" x14ac:dyDescent="0.25">
      <c r="A14" s="87"/>
      <c r="B14" s="87"/>
      <c r="C14" s="87"/>
    </row>
    <row r="15" spans="1:7" s="1" customFormat="1" ht="15.75" customHeight="1" x14ac:dyDescent="0.25">
      <c r="A15" s="87" t="s">
        <v>235</v>
      </c>
      <c r="B15" s="87"/>
      <c r="C15" s="87"/>
    </row>
    <row r="16" spans="1:7" s="1" customFormat="1" ht="15.75" customHeight="1" x14ac:dyDescent="0.25">
      <c r="A16" s="5" t="s">
        <v>28</v>
      </c>
      <c r="B16" s="87"/>
      <c r="C16" s="87"/>
    </row>
    <row r="17" spans="1:3" s="1" customFormat="1" ht="15.75" customHeight="1" x14ac:dyDescent="0.25">
      <c r="A17" s="87"/>
      <c r="B17" s="87"/>
      <c r="C17" s="87"/>
    </row>
    <row r="18" spans="1:3" s="1" customFormat="1" ht="15.75" customHeight="1" x14ac:dyDescent="0.25">
      <c r="A18" s="87" t="s">
        <v>381</v>
      </c>
      <c r="B18" s="87"/>
      <c r="C18" s="87"/>
    </row>
    <row r="19" spans="1:3" s="1" customFormat="1" ht="15.75" customHeight="1" x14ac:dyDescent="0.25">
      <c r="A19" s="5" t="s">
        <v>29</v>
      </c>
      <c r="B19" s="87"/>
      <c r="C19" s="87"/>
    </row>
    <row r="20" spans="1:3" s="1" customFormat="1" ht="15.75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A12" sqref="A12:C17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67"/>
      <c r="C1" s="67"/>
      <c r="D1" s="68" t="s">
        <v>315</v>
      </c>
    </row>
    <row r="2" spans="1:5" x14ac:dyDescent="0.25">
      <c r="A2" s="68"/>
      <c r="B2" s="68"/>
      <c r="C2" s="68"/>
      <c r="D2" s="68"/>
    </row>
    <row r="3" spans="1:5" ht="24.75" customHeight="1" x14ac:dyDescent="0.25">
      <c r="A3" s="136" t="s">
        <v>316</v>
      </c>
      <c r="B3" s="136"/>
      <c r="C3" s="136"/>
      <c r="D3" s="136"/>
    </row>
    <row r="4" spans="1:5" ht="24.75" customHeight="1" x14ac:dyDescent="0.25">
      <c r="A4" s="69"/>
      <c r="B4" s="69"/>
      <c r="C4" s="69"/>
      <c r="D4" s="69"/>
    </row>
    <row r="5" spans="1:5" ht="24.6" customHeight="1" x14ac:dyDescent="0.25">
      <c r="A5" s="137" t="s">
        <v>317</v>
      </c>
      <c r="B5" s="137"/>
      <c r="C5" s="137"/>
      <c r="D5" s="76" t="str">
        <f>'Прил.5 Расчет СМР и ОБ'!D6:J6</f>
        <v xml:space="preserve">Постоянная часть ПС открытый склад ЗПС 110 кВ </v>
      </c>
    </row>
    <row r="6" spans="1:5" ht="19.899999999999999" customHeight="1" x14ac:dyDescent="0.25">
      <c r="A6" s="137" t="s">
        <v>4</v>
      </c>
      <c r="B6" s="137"/>
      <c r="C6" s="137"/>
      <c r="D6" s="70"/>
    </row>
    <row r="7" spans="1:5" x14ac:dyDescent="0.25">
      <c r="A7" s="67"/>
      <c r="B7" s="67"/>
      <c r="C7" s="67"/>
      <c r="D7" s="67"/>
    </row>
    <row r="8" spans="1:5" ht="14.45" customHeight="1" x14ac:dyDescent="0.25">
      <c r="A8" s="112" t="s">
        <v>318</v>
      </c>
      <c r="B8" s="112" t="s">
        <v>319</v>
      </c>
      <c r="C8" s="112" t="s">
        <v>320</v>
      </c>
      <c r="D8" s="112" t="s">
        <v>321</v>
      </c>
    </row>
    <row r="9" spans="1:5" ht="15" customHeight="1" x14ac:dyDescent="0.25">
      <c r="A9" s="112"/>
      <c r="B9" s="112"/>
      <c r="C9" s="112"/>
      <c r="D9" s="112"/>
    </row>
    <row r="10" spans="1:5" x14ac:dyDescent="0.25">
      <c r="A10" s="71">
        <v>1</v>
      </c>
      <c r="B10" s="71">
        <v>2</v>
      </c>
      <c r="C10" s="71">
        <v>3</v>
      </c>
      <c r="D10" s="71">
        <v>4</v>
      </c>
    </row>
    <row r="11" spans="1:5" ht="41.45" customHeight="1" x14ac:dyDescent="0.25">
      <c r="A11" s="74" t="s">
        <v>322</v>
      </c>
      <c r="B11" s="71" t="s">
        <v>323</v>
      </c>
      <c r="C11" s="75" t="str">
        <f>D5</f>
        <v xml:space="preserve">Постоянная часть ПС открытый склад ЗПС 110 кВ </v>
      </c>
      <c r="D11" s="72">
        <f>'Прил.4 РМ'!C41/1000</f>
        <v>4593.0148019771905</v>
      </c>
      <c r="E11" s="66"/>
    </row>
    <row r="12" spans="1:5" ht="15.75" x14ac:dyDescent="0.25">
      <c r="A12" s="87"/>
      <c r="B12" s="87"/>
      <c r="C12" s="87"/>
      <c r="D12" s="73"/>
    </row>
    <row r="13" spans="1:5" ht="15.75" x14ac:dyDescent="0.25">
      <c r="A13" s="87" t="s">
        <v>235</v>
      </c>
      <c r="B13" s="87"/>
      <c r="C13" s="87"/>
      <c r="D13" s="73"/>
    </row>
    <row r="14" spans="1:5" ht="15.75" x14ac:dyDescent="0.25">
      <c r="A14" s="5" t="s">
        <v>28</v>
      </c>
      <c r="B14" s="87"/>
      <c r="C14" s="87"/>
      <c r="D14" s="73"/>
    </row>
    <row r="15" spans="1:5" ht="15.75" x14ac:dyDescent="0.25">
      <c r="A15" s="87"/>
      <c r="B15" s="87"/>
      <c r="C15" s="87"/>
      <c r="D15" s="73"/>
    </row>
    <row r="16" spans="1:5" ht="15.75" x14ac:dyDescent="0.25">
      <c r="A16" s="87" t="s">
        <v>381</v>
      </c>
      <c r="B16" s="87"/>
      <c r="C16" s="87"/>
      <c r="D16" s="73"/>
    </row>
    <row r="17" spans="1:4" ht="15.75" x14ac:dyDescent="0.25">
      <c r="A17" s="5" t="s">
        <v>29</v>
      </c>
      <c r="B17" s="87"/>
      <c r="C17" s="87"/>
      <c r="D17" s="73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2"/>
  <sheetViews>
    <sheetView view="pageBreakPreview" topLeftCell="A13" zoomScale="60" zoomScaleNormal="100" workbookViewId="0">
      <selection activeCell="B25" sqref="B25:D30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103" t="s">
        <v>324</v>
      </c>
      <c r="C4" s="103"/>
      <c r="D4" s="103"/>
    </row>
    <row r="5" spans="2:5" ht="18.75" customHeight="1" x14ac:dyDescent="0.25">
      <c r="B5" s="6"/>
    </row>
    <row r="6" spans="2:5" ht="15.75" customHeight="1" x14ac:dyDescent="0.25">
      <c r="B6" s="104" t="s">
        <v>325</v>
      </c>
      <c r="C6" s="104"/>
      <c r="D6" s="104"/>
    </row>
    <row r="7" spans="2:5" ht="18.75" customHeight="1" x14ac:dyDescent="0.25">
      <c r="B7" s="7"/>
    </row>
    <row r="8" spans="2:5" s="1" customFormat="1" ht="47.25" customHeight="1" x14ac:dyDescent="0.25">
      <c r="B8" s="4" t="s">
        <v>326</v>
      </c>
      <c r="C8" s="4" t="s">
        <v>327</v>
      </c>
      <c r="D8" s="4" t="s">
        <v>328</v>
      </c>
    </row>
    <row r="9" spans="2:5" s="1" customFormat="1" ht="15.75" customHeight="1" x14ac:dyDescent="0.25">
      <c r="B9" s="4">
        <v>1</v>
      </c>
      <c r="C9" s="4">
        <v>2</v>
      </c>
      <c r="D9" s="4">
        <v>3</v>
      </c>
    </row>
    <row r="10" spans="2:5" s="1" customFormat="1" ht="31.7" customHeight="1" x14ac:dyDescent="0.25">
      <c r="B10" s="4" t="s">
        <v>329</v>
      </c>
      <c r="C10" s="4" t="s">
        <v>330</v>
      </c>
      <c r="D10" s="4">
        <v>44.29</v>
      </c>
    </row>
    <row r="11" spans="2:5" s="1" customFormat="1" ht="31.7" customHeight="1" x14ac:dyDescent="0.25">
      <c r="B11" s="4" t="s">
        <v>331</v>
      </c>
      <c r="C11" s="4" t="s">
        <v>330</v>
      </c>
      <c r="D11" s="4">
        <v>13.47</v>
      </c>
    </row>
    <row r="12" spans="2:5" s="1" customFormat="1" ht="31.7" customHeight="1" x14ac:dyDescent="0.25">
      <c r="B12" s="4" t="s">
        <v>332</v>
      </c>
      <c r="C12" s="4" t="s">
        <v>330</v>
      </c>
      <c r="D12" s="4">
        <v>8.0399999999999991</v>
      </c>
    </row>
    <row r="13" spans="2:5" s="1" customFormat="1" ht="31.7" customHeight="1" x14ac:dyDescent="0.25">
      <c r="B13" s="4" t="s">
        <v>333</v>
      </c>
      <c r="C13" s="8" t="s">
        <v>334</v>
      </c>
      <c r="D13" s="4">
        <v>6.26</v>
      </c>
    </row>
    <row r="14" spans="2:5" s="1" customFormat="1" ht="78.75" customHeight="1" x14ac:dyDescent="0.25">
      <c r="B14" s="4" t="s">
        <v>335</v>
      </c>
      <c r="C14" s="4" t="s">
        <v>336</v>
      </c>
      <c r="D14" s="9">
        <v>3.9E-2</v>
      </c>
    </row>
    <row r="15" spans="2:5" s="1" customFormat="1" ht="78.75" customHeight="1" x14ac:dyDescent="0.25">
      <c r="B15" s="4" t="s">
        <v>337</v>
      </c>
      <c r="C15" s="4" t="s">
        <v>338</v>
      </c>
      <c r="D15" s="9">
        <v>2.1000000000000001E-2</v>
      </c>
      <c r="E15" s="3"/>
    </row>
    <row r="16" spans="2:5" s="1" customFormat="1" ht="31.7" customHeight="1" x14ac:dyDescent="0.25">
      <c r="B16" s="4" t="s">
        <v>263</v>
      </c>
      <c r="C16" s="4"/>
      <c r="D16" s="4" t="s">
        <v>339</v>
      </c>
    </row>
    <row r="17" spans="2:4" s="1" customFormat="1" ht="31.7" customHeight="1" x14ac:dyDescent="0.25">
      <c r="B17" s="4" t="s">
        <v>340</v>
      </c>
      <c r="C17" s="4" t="s">
        <v>341</v>
      </c>
      <c r="D17" s="9">
        <v>2.1399999999999999E-2</v>
      </c>
    </row>
    <row r="18" spans="2:4" s="1" customFormat="1" ht="15.75" customHeight="1" x14ac:dyDescent="0.25">
      <c r="B18" s="4" t="s">
        <v>342</v>
      </c>
      <c r="C18" s="4" t="s">
        <v>343</v>
      </c>
      <c r="D18" s="9">
        <v>2E-3</v>
      </c>
    </row>
    <row r="19" spans="2:4" s="1" customFormat="1" ht="15.75" customHeight="1" x14ac:dyDescent="0.25">
      <c r="B19" s="4" t="s">
        <v>271</v>
      </c>
      <c r="C19" s="4" t="s">
        <v>344</v>
      </c>
      <c r="D19" s="9">
        <v>0.03</v>
      </c>
    </row>
    <row r="20" spans="2:4" s="1" customFormat="1" ht="15.75" customHeight="1" x14ac:dyDescent="0.25">
      <c r="B20" s="2"/>
    </row>
    <row r="21" spans="2:4" s="1" customFormat="1" ht="15.75" customHeight="1" x14ac:dyDescent="0.25">
      <c r="B21" s="2"/>
    </row>
    <row r="22" spans="2:4" s="1" customFormat="1" ht="15.75" customHeight="1" x14ac:dyDescent="0.25">
      <c r="B22" s="2"/>
    </row>
    <row r="23" spans="2:4" s="1" customFormat="1" ht="15.75" customHeight="1" x14ac:dyDescent="0.25">
      <c r="B23" s="2"/>
    </row>
    <row r="24" spans="2:4" s="1" customFormat="1" ht="15.75" customHeight="1" x14ac:dyDescent="0.25"/>
    <row r="25" spans="2:4" s="1" customFormat="1" ht="15.75" customHeight="1" x14ac:dyDescent="0.25">
      <c r="B25" s="87"/>
      <c r="C25" s="87"/>
      <c r="D25" s="87"/>
    </row>
    <row r="26" spans="2:4" s="1" customFormat="1" ht="15.75" customHeight="1" x14ac:dyDescent="0.25">
      <c r="B26" s="87" t="s">
        <v>235</v>
      </c>
      <c r="C26" s="87"/>
      <c r="D26" s="87"/>
    </row>
    <row r="27" spans="2:4" s="1" customFormat="1" ht="15.75" customHeight="1" x14ac:dyDescent="0.25">
      <c r="B27" s="5" t="s">
        <v>28</v>
      </c>
      <c r="C27" s="87"/>
      <c r="D27" s="87"/>
    </row>
    <row r="28" spans="2:4" s="1" customFormat="1" ht="15.75" customHeight="1" x14ac:dyDescent="0.25">
      <c r="B28" s="87"/>
      <c r="C28" s="87"/>
      <c r="D28" s="87"/>
    </row>
    <row r="29" spans="2:4" s="1" customFormat="1" ht="15.75" customHeight="1" x14ac:dyDescent="0.25">
      <c r="B29" s="87" t="s">
        <v>381</v>
      </c>
      <c r="C29" s="87"/>
      <c r="D29" s="87"/>
    </row>
    <row r="30" spans="2:4" s="1" customFormat="1" ht="15.75" customHeight="1" x14ac:dyDescent="0.25">
      <c r="B30" s="5" t="s">
        <v>29</v>
      </c>
      <c r="C30" s="87"/>
      <c r="D30" s="87"/>
    </row>
    <row r="31" spans="2:4" s="1" customFormat="1" ht="15.75" customHeight="1" x14ac:dyDescent="0.25"/>
    <row r="32" spans="2:4" s="1" customFormat="1" ht="15.75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zoomScale="60" workbookViewId="0">
      <selection activeCell="D15" sqref="D15"/>
    </sheetView>
  </sheetViews>
  <sheetFormatPr defaultRowHeight="15" x14ac:dyDescent="0.25"/>
  <cols>
    <col min="1" max="1" width="9.140625" style="85" customWidth="1"/>
    <col min="2" max="2" width="34" style="85" customWidth="1"/>
    <col min="3" max="3" width="13.7109375" style="85" customWidth="1"/>
    <col min="4" max="4" width="23.7109375" style="85" customWidth="1"/>
    <col min="5" max="5" width="24.85546875" style="85" customWidth="1"/>
    <col min="6" max="6" width="45" style="85" customWidth="1"/>
    <col min="7" max="7" width="9.140625" style="85" customWidth="1"/>
  </cols>
  <sheetData>
    <row r="2" spans="1:7" ht="17.25" customHeight="1" x14ac:dyDescent="0.25">
      <c r="A2" s="104" t="s">
        <v>345</v>
      </c>
      <c r="B2" s="104"/>
      <c r="C2" s="104"/>
      <c r="D2" s="104"/>
      <c r="E2" s="104"/>
      <c r="F2" s="104"/>
    </row>
    <row r="4" spans="1:7" ht="15.75" customHeight="1" x14ac:dyDescent="0.25">
      <c r="A4" s="86" t="s">
        <v>346</v>
      </c>
      <c r="B4" s="87"/>
      <c r="C4" s="87"/>
      <c r="D4" s="87"/>
      <c r="E4" s="87"/>
      <c r="F4" s="87"/>
      <c r="G4" s="87"/>
    </row>
    <row r="5" spans="1:7" ht="15.75" customHeight="1" x14ac:dyDescent="0.25">
      <c r="A5" s="88" t="s">
        <v>278</v>
      </c>
      <c r="B5" s="88" t="s">
        <v>347</v>
      </c>
      <c r="C5" s="88" t="s">
        <v>348</v>
      </c>
      <c r="D5" s="88" t="s">
        <v>349</v>
      </c>
      <c r="E5" s="88" t="s">
        <v>350</v>
      </c>
      <c r="F5" s="88" t="s">
        <v>351</v>
      </c>
      <c r="G5" s="87"/>
    </row>
    <row r="6" spans="1:7" ht="15.75" customHeight="1" x14ac:dyDescent="0.25">
      <c r="A6" s="88">
        <v>1</v>
      </c>
      <c r="B6" s="88">
        <v>2</v>
      </c>
      <c r="C6" s="88">
        <v>3</v>
      </c>
      <c r="D6" s="88">
        <v>4</v>
      </c>
      <c r="E6" s="88">
        <v>5</v>
      </c>
      <c r="F6" s="88">
        <v>6</v>
      </c>
      <c r="G6" s="87"/>
    </row>
    <row r="7" spans="1:7" ht="126" customHeight="1" x14ac:dyDescent="0.25">
      <c r="A7" s="89" t="s">
        <v>352</v>
      </c>
      <c r="B7" s="90" t="s">
        <v>353</v>
      </c>
      <c r="C7" s="91" t="s">
        <v>354</v>
      </c>
      <c r="D7" s="91" t="s">
        <v>355</v>
      </c>
      <c r="E7" s="92">
        <v>47872.94</v>
      </c>
      <c r="F7" s="90" t="s">
        <v>356</v>
      </c>
      <c r="G7" s="87"/>
    </row>
    <row r="8" spans="1:7" ht="47.25" customHeight="1" x14ac:dyDescent="0.25">
      <c r="A8" s="89" t="s">
        <v>357</v>
      </c>
      <c r="B8" s="90" t="s">
        <v>358</v>
      </c>
      <c r="C8" s="91" t="s">
        <v>359</v>
      </c>
      <c r="D8" s="91" t="s">
        <v>360</v>
      </c>
      <c r="E8" s="92">
        <f>1973/12</f>
        <v>164.41666666667001</v>
      </c>
      <c r="F8" s="90" t="s">
        <v>361</v>
      </c>
      <c r="G8" s="93"/>
    </row>
    <row r="9" spans="1:7" ht="15.75" customHeight="1" x14ac:dyDescent="0.25">
      <c r="A9" s="89" t="s">
        <v>362</v>
      </c>
      <c r="B9" s="90" t="s">
        <v>363</v>
      </c>
      <c r="C9" s="91" t="s">
        <v>364</v>
      </c>
      <c r="D9" s="91" t="s">
        <v>355</v>
      </c>
      <c r="E9" s="92">
        <v>1</v>
      </c>
      <c r="F9" s="90"/>
      <c r="G9" s="93"/>
    </row>
    <row r="10" spans="1:7" ht="15.75" customHeight="1" x14ac:dyDescent="0.25">
      <c r="A10" s="89" t="s">
        <v>365</v>
      </c>
      <c r="B10" s="90" t="s">
        <v>366</v>
      </c>
      <c r="C10" s="91"/>
      <c r="D10" s="91"/>
      <c r="E10" s="94">
        <v>3.5</v>
      </c>
      <c r="F10" s="90" t="s">
        <v>367</v>
      </c>
      <c r="G10" s="93"/>
    </row>
    <row r="11" spans="1:7" ht="78.75" customHeight="1" x14ac:dyDescent="0.25">
      <c r="A11" s="89" t="s">
        <v>368</v>
      </c>
      <c r="B11" s="90" t="s">
        <v>369</v>
      </c>
      <c r="C11" s="91" t="s">
        <v>370</v>
      </c>
      <c r="D11" s="91" t="s">
        <v>355</v>
      </c>
      <c r="E11" s="95">
        <v>1.4</v>
      </c>
      <c r="F11" s="90" t="s">
        <v>371</v>
      </c>
      <c r="G11" s="87"/>
    </row>
    <row r="12" spans="1:7" ht="78.75" customHeight="1" x14ac:dyDescent="0.25">
      <c r="A12" s="89" t="s">
        <v>372</v>
      </c>
      <c r="B12" s="96" t="s">
        <v>373</v>
      </c>
      <c r="C12" s="91" t="s">
        <v>374</v>
      </c>
      <c r="D12" s="91" t="s">
        <v>355</v>
      </c>
      <c r="E12" s="97">
        <v>1.139</v>
      </c>
      <c r="F12" s="98" t="s">
        <v>375</v>
      </c>
      <c r="G12" s="93"/>
    </row>
    <row r="13" spans="1:7" ht="76.150000000000006" customHeight="1" x14ac:dyDescent="0.25">
      <c r="A13" s="89" t="s">
        <v>376</v>
      </c>
      <c r="B13" s="99" t="s">
        <v>377</v>
      </c>
      <c r="C13" s="91" t="s">
        <v>378</v>
      </c>
      <c r="D13" s="91" t="s">
        <v>379</v>
      </c>
      <c r="E13" s="100">
        <v>411.45</v>
      </c>
      <c r="F13" s="90" t="s">
        <v>380</v>
      </c>
      <c r="G13" s="87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2023-11-27T03:48:45Z</cp:lastPrinted>
  <dcterms:created xsi:type="dcterms:W3CDTF">2023-08-25T11:34:22Z</dcterms:created>
  <dcterms:modified xsi:type="dcterms:W3CDTF">2023-11-27T03:52:05Z</dcterms:modified>
  <cp:category/>
</cp:coreProperties>
</file>