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E86A4A3D-7A48-4E10-ACDA-0ED841FFD23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Прил.3!$A$1:$H$51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E20" i="9"/>
  <c r="D20" i="9"/>
  <c r="C20" i="9"/>
  <c r="F19" i="9"/>
  <c r="G19" i="9" s="1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G45" i="8"/>
  <c r="J44" i="8"/>
  <c r="J45" i="8" s="1"/>
  <c r="I44" i="8"/>
  <c r="G44" i="8"/>
  <c r="G38" i="8"/>
  <c r="F38" i="8"/>
  <c r="F20" i="9" s="1"/>
  <c r="G20" i="9" s="1"/>
  <c r="I37" i="8"/>
  <c r="J37" i="8" s="1"/>
  <c r="F37" i="8"/>
  <c r="G37" i="8" s="1"/>
  <c r="F36" i="8"/>
  <c r="G36" i="8" s="1"/>
  <c r="I35" i="8"/>
  <c r="J35" i="8" s="1"/>
  <c r="G35" i="8"/>
  <c r="F35" i="8"/>
  <c r="F17" i="9" s="1"/>
  <c r="G17" i="9" s="1"/>
  <c r="F34" i="8"/>
  <c r="F16" i="9" s="1"/>
  <c r="G16" i="9" s="1"/>
  <c r="F33" i="8"/>
  <c r="I33" i="8" s="1"/>
  <c r="J33" i="8" s="1"/>
  <c r="G32" i="8"/>
  <c r="F32" i="8"/>
  <c r="F14" i="9" s="1"/>
  <c r="G14" i="9" s="1"/>
  <c r="F30" i="8"/>
  <c r="I30" i="8" s="1"/>
  <c r="J30" i="8" s="1"/>
  <c r="F29" i="8"/>
  <c r="I29" i="8" s="1"/>
  <c r="J29" i="8" s="1"/>
  <c r="J31" i="8" s="1"/>
  <c r="G25" i="8"/>
  <c r="J24" i="8"/>
  <c r="I24" i="8"/>
  <c r="G24" i="8"/>
  <c r="J23" i="8"/>
  <c r="J25" i="8" s="1"/>
  <c r="I23" i="8"/>
  <c r="G23" i="8"/>
  <c r="G22" i="8"/>
  <c r="J21" i="8"/>
  <c r="I21" i="8"/>
  <c r="G21" i="8"/>
  <c r="J20" i="8"/>
  <c r="J22" i="8" s="1"/>
  <c r="C12" i="7" s="1"/>
  <c r="I20" i="8"/>
  <c r="G20" i="8"/>
  <c r="J19" i="8"/>
  <c r="I19" i="8"/>
  <c r="G19" i="8"/>
  <c r="G16" i="8"/>
  <c r="F16" i="8" s="1"/>
  <c r="I16" i="8" s="1"/>
  <c r="J16" i="8" s="1"/>
  <c r="C15" i="7" s="1"/>
  <c r="G14" i="8"/>
  <c r="I13" i="8"/>
  <c r="G13" i="8"/>
  <c r="H13" i="8" s="1"/>
  <c r="E13" i="8"/>
  <c r="E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5" i="8" l="1"/>
  <c r="G26" i="8"/>
  <c r="H19" i="8" s="1"/>
  <c r="J52" i="8"/>
  <c r="C17" i="7" s="1"/>
  <c r="C18" i="7" s="1"/>
  <c r="H52" i="8"/>
  <c r="J53" i="8"/>
  <c r="C16" i="7"/>
  <c r="H45" i="8"/>
  <c r="C13" i="7"/>
  <c r="C14" i="7" s="1"/>
  <c r="J26" i="8"/>
  <c r="H24" i="8"/>
  <c r="G53" i="8"/>
  <c r="H21" i="8"/>
  <c r="G57" i="8"/>
  <c r="H23" i="8"/>
  <c r="H20" i="8"/>
  <c r="G30" i="8"/>
  <c r="G34" i="8"/>
  <c r="I36" i="8"/>
  <c r="J36" i="8" s="1"/>
  <c r="F12" i="9"/>
  <c r="G12" i="9" s="1"/>
  <c r="F18" i="9"/>
  <c r="G18" i="9" s="1"/>
  <c r="D55" i="8"/>
  <c r="F13" i="9"/>
  <c r="G13" i="9" s="1"/>
  <c r="J13" i="8"/>
  <c r="J14" i="8" s="1"/>
  <c r="G29" i="8"/>
  <c r="G33" i="8"/>
  <c r="G39" i="8" s="1"/>
  <c r="D56" i="8"/>
  <c r="I34" i="8"/>
  <c r="J34" i="8" s="1"/>
  <c r="G54" i="8"/>
  <c r="F15" i="9"/>
  <c r="G15" i="9" s="1"/>
  <c r="I32" i="8"/>
  <c r="J32" i="8" s="1"/>
  <c r="I38" i="8"/>
  <c r="J38" i="8" s="1"/>
  <c r="H22" i="8" l="1"/>
  <c r="J39" i="8"/>
  <c r="J40" i="8" s="1"/>
  <c r="C25" i="7" s="1"/>
  <c r="H50" i="8"/>
  <c r="H47" i="8"/>
  <c r="H51" i="8"/>
  <c r="H53" i="8"/>
  <c r="H48" i="8"/>
  <c r="H49" i="8"/>
  <c r="H46" i="8"/>
  <c r="H44" i="8"/>
  <c r="J41" i="8"/>
  <c r="C26" i="7" s="1"/>
  <c r="G31" i="8"/>
  <c r="J54" i="8"/>
  <c r="C11" i="7"/>
  <c r="C23" i="7"/>
  <c r="J55" i="8"/>
  <c r="J56" i="8"/>
  <c r="C21" i="7"/>
  <c r="G21" i="9"/>
  <c r="C20" i="7" l="1"/>
  <c r="J57" i="8"/>
  <c r="J58" i="8" s="1"/>
  <c r="J59" i="8" s="1"/>
  <c r="C22" i="7"/>
  <c r="G22" i="9"/>
  <c r="G41" i="8"/>
  <c r="G40" i="8"/>
  <c r="H31" i="8"/>
  <c r="C19" i="7"/>
  <c r="C24" i="7" l="1"/>
  <c r="D20" i="7" s="1"/>
  <c r="C27" i="7"/>
  <c r="D18" i="7"/>
  <c r="D15" i="7"/>
  <c r="D11" i="7"/>
  <c r="H40" i="8"/>
  <c r="H36" i="8"/>
  <c r="H38" i="8"/>
  <c r="H37" i="8"/>
  <c r="H32" i="8"/>
  <c r="G58" i="8"/>
  <c r="G59" i="8" s="1"/>
  <c r="H35" i="8"/>
  <c r="H39" i="8"/>
  <c r="H34" i="8"/>
  <c r="H33" i="8"/>
  <c r="H29" i="8"/>
  <c r="H30" i="8"/>
  <c r="D24" i="7" l="1"/>
  <c r="D17" i="7"/>
  <c r="D16" i="7"/>
  <c r="D22" i="7"/>
  <c r="D12" i="7"/>
  <c r="D13" i="7"/>
  <c r="D14" i="7"/>
  <c r="C29" i="7"/>
  <c r="C34" i="7" s="1"/>
  <c r="C32" i="7"/>
  <c r="C30" i="7" l="1"/>
  <c r="C35" i="7"/>
  <c r="C37" i="7" l="1"/>
  <c r="C36" i="7"/>
  <c r="C38" i="7" s="1"/>
  <c r="C39" i="7" l="1"/>
  <c r="E39" i="7" l="1"/>
  <c r="C40" i="7"/>
  <c r="E33" i="7" l="1"/>
  <c r="E17" i="7"/>
  <c r="E13" i="7"/>
  <c r="C41" i="7"/>
  <c r="D11" i="10" s="1"/>
  <c r="E18" i="7"/>
  <c r="E16" i="7"/>
  <c r="E14" i="7"/>
  <c r="E12" i="7"/>
  <c r="E31" i="7"/>
  <c r="E40" i="7"/>
  <c r="E15" i="7"/>
  <c r="E20" i="7"/>
  <c r="E11" i="7"/>
  <c r="E25" i="7"/>
  <c r="E22" i="7"/>
  <c r="E26" i="7"/>
  <c r="E24" i="7"/>
  <c r="E27" i="7"/>
  <c r="E29" i="7"/>
  <c r="E30" i="7"/>
  <c r="E34" i="7"/>
  <c r="E32" i="7"/>
  <c r="E35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<sst xmlns="http://schemas.openxmlformats.org/spreadsheetml/2006/main" count="635" uniqueCount="411">
  <si>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</si>
  <si>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</si>
  <si>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</si>
  <si>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</si>
  <si>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</si>
  <si>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</si>
  <si>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</si>
  <si>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</si>
  <si>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</si>
  <si>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</si>
  <si>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</si>
  <si>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</si>
  <si>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</si>
  <si>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</si>
  <si>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</si>
  <si>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</si>
  <si>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</si>
  <si>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</si>
  <si>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</si>
  <si>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</si>
  <si>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</si>
  <si>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</si>
  <si>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</si>
  <si>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</si>
  <si>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</si>
  <si>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</si>
  <si>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</si>
  <si>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</si>
  <si>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</si>
  <si>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</si>
  <si>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</si>
  <si>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</si>
  <si>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</si>
  <si>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</si>
  <si>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</si>
  <si>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</si>
  <si>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</si>
  <si>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</si>
  <si>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</si>
  <si>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</si>
  <si>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</si>
  <si>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</si>
  <si>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</si>
  <si>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</si>
  <si>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</si>
  <si>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</si>
  <si>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</si>
  <si>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</si>
  <si>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ЗПС 500 кВ </t>
  </si>
  <si>
    <t>Сопоставимый уровень цен: 4 квартал 2016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</si>
  <si>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</si>
  <si>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</si>
  <si>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</si>
  <si>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</si>
  <si>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</si>
  <si>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</si>
  <si>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</si>
  <si>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</si>
  <si>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</si>
  <si>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</si>
  <si>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</si>
  <si>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</si>
  <si>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</si>
  <si>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</si>
  <si>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</si>
  <si>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</si>
  <si>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</si>
  <si>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</si>
  <si>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</si>
  <si>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</si>
  <si>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</si>
  <si>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</si>
  <si>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</si>
  <si>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</si>
  <si>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</si>
  <si>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</si>
  <si>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</si>
  <si>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</si>
  <si>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</si>
  <si>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</si>
  <si>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</si>
  <si>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</si>
  <si>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</si>
  <si>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</si>
  <si>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</si>
  <si>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</si>
  <si>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</si>
  <si>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</si>
  <si>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</si>
  <si>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</si>
  <si>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 xml:space="preserve">ВЧС и КИП ЗПС 500 кВ </t>
  </si>
  <si>
    <t>Всего по объекту:</t>
  </si>
  <si>
    <t>Всего по объекту в сопоставимом уровне цен 4 кв. 2016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</si>
  <si>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</si>
  <si>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</si>
  <si>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</si>
  <si>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</si>
  <si>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ЗПС 500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</si>
  <si>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</si>
  <si>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</si>
  <si>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</si>
  <si>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</si>
  <si>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</si>
  <si>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</si>
  <si>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</si>
  <si>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</si>
  <si>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</si>
  <si>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</si>
  <si>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</si>
  <si>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</si>
  <si>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</si>
  <si>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</si>
  <si>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</si>
  <si>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</si>
  <si>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</si>
  <si>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</si>
  <si>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</si>
  <si>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</si>
  <si>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</si>
  <si>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</si>
  <si>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</si>
  <si>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</si>
  <si>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</si>
  <si>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</si>
  <si>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</si>
  <si>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</si>
  <si>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</si>
  <si>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</si>
  <si>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</si>
  <si>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</si>
  <si>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</si>
  <si>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</si>
  <si>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</si>
  <si>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</si>
  <si>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</si>
  <si>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</si>
  <si>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</si>
  <si>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</si>
  <si>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</si>
  <si>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</si>
  <si>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</si>
  <si>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</si>
  <si>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</si>
  <si>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</si>
  <si>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</si>
  <si>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</si>
  <si>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</si>
  <si>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</si>
  <si>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</si>
  <si>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</si>
  <si>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</si>
  <si>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</si>
  <si>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</si>
  <si>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</si>
  <si>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</si>
  <si>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</si>
  <si>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</si>
  <si>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</si>
  <si>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</si>
  <si>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</si>
  <si>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</si>
  <si>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</si>
  <si>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ЗПС ПЧЗ ВЧС и КИП ЗПС 500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</si>
  <si>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</si>
  <si>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</si>
  <si>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</si>
  <si>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</si>
  <si>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</si>
  <si>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</si>
  <si>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</si>
  <si>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</si>
  <si>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</si>
  <si>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</si>
  <si>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</si>
  <si>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</si>
  <si>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</si>
  <si>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</si>
  <si>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</si>
  <si>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</si>
  <si>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</si>
  <si>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</si>
  <si>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</si>
  <si>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</si>
  <si>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</si>
  <si>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</si>
  <si>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</si>
  <si>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</si>
  <si>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</si>
  <si>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</si>
  <si>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</si>
  <si>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</si>
  <si>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</si>
  <si>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</si>
  <si>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</si>
  <si>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</si>
  <si>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</si>
  <si>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</si>
  <si>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</si>
  <si>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</si>
  <si>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</si>
  <si>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</si>
  <si>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</si>
  <si>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</si>
  <si>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</si>
  <si>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</si>
  <si>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ЗПС 500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</si>
  <si>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</si>
  <si>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</si>
  <si>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</si>
  <si>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</si>
  <si>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</si>
  <si>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</si>
  <si>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</si>
  <si>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</si>
  <si>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</si>
  <si>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</si>
  <si>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</si>
  <si>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</si>
  <si>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</si>
  <si>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</si>
  <si>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</si>
  <si>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</si>
  <si>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</si>
  <si>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</si>
  <si>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</si>
  <si>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</si>
  <si>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</si>
  <si>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</si>
  <si>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</si>
  <si>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</si>
  <si>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</si>
  <si>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</si>
  <si>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</si>
  <si>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</si>
  <si>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</si>
  <si>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</si>
  <si>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</si>
  <si>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</si>
  <si>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</si>
  <si>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</si>
  <si>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</si>
  <si>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</si>
  <si>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</si>
  <si>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</si>
  <si>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 xml:space="preserve">Наименование разрабатываемого показателя УНЦ — Постоянная часть ПС ПЧЗ ВЧС и КИП ЗПС 500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</si>
  <si>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</si>
  <si>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</si>
  <si>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</si>
  <si>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</si>
  <si>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</si>
  <si>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</si>
  <si>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</si>
  <si>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</si>
  <si>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</si>
  <si>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</si>
  <si>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ВЧС и КИП 500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</si>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</sst>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430068</xdr:colOff>
      <xdr:row>28</xdr:row>
      <xdr:rowOff>107660</xdr:rowOff>
    </xdr:from>
    <xdr:to>
      <xdr:col>2</xdr:col>
      <xdr:colOff>1374870</xdr:colOff>
      <xdr:row>31</xdr:row>
      <xdr:rowOff>626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4A99457-63BF-4DB8-8726-EAA6E233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341" y="13546569"/>
          <a:ext cx="944802" cy="516421"/>
        </a:xfrm>
        <a:prstGeom prst="rect">
          <a:avLst/>
        </a:prstGeom>
      </xdr:spPr>
    </xdr:pic>
    <xdr:clientData/>
  </xdr:twoCellAnchor>
  <xdr:twoCellAnchor editAs="oneCell">
    <xdr:from>
      <xdr:col>2</xdr:col>
      <xdr:colOff>525318</xdr:colOff>
      <xdr:row>26</xdr:row>
      <xdr:rowOff>221095</xdr:rowOff>
    </xdr:from>
    <xdr:to>
      <xdr:col>2</xdr:col>
      <xdr:colOff>1245998</xdr:colOff>
      <xdr:row>28</xdr:row>
      <xdr:rowOff>14142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2F0B647-937B-47BD-8BCF-2D0F57E2C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591" y="12967277"/>
          <a:ext cx="720680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796018</xdr:colOff>
      <xdr:row>18</xdr:row>
      <xdr:rowOff>97517</xdr:rowOff>
    </xdr:from>
    <xdr:to>
      <xdr:col>2</xdr:col>
      <xdr:colOff>1740820</xdr:colOff>
      <xdr:row>21</xdr:row>
      <xdr:rowOff>50230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44400D-E560-4C35-8264-E0E0558E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732" y="536348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891268</xdr:colOff>
      <xdr:row>15</xdr:row>
      <xdr:rowOff>97517</xdr:rowOff>
    </xdr:from>
    <xdr:to>
      <xdr:col>2</xdr:col>
      <xdr:colOff>1611948</xdr:colOff>
      <xdr:row>18</xdr:row>
      <xdr:rowOff>11792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81BD8652-C379-4C1F-84BC-5012A644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982" y="4791981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44</xdr:row>
      <xdr:rowOff>49026</xdr:rowOff>
    </xdr:from>
    <xdr:to>
      <xdr:col>2</xdr:col>
      <xdr:colOff>1278177</xdr:colOff>
      <xdr:row>46</xdr:row>
      <xdr:rowOff>158622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C531EFB-73F2-47FA-97F4-74C35A9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1669526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41</xdr:row>
      <xdr:rowOff>71438</xdr:rowOff>
    </xdr:from>
    <xdr:to>
      <xdr:col>2</xdr:col>
      <xdr:colOff>1149305</xdr:colOff>
      <xdr:row>43</xdr:row>
      <xdr:rowOff>153801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02B5F21-A5B3-4131-9EFB-A8970DAED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11120438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DA86888-F34B-42D8-9941-7EBE08062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40</xdr:row>
      <xdr:rowOff>123825</xdr:rowOff>
    </xdr:from>
    <xdr:to>
      <xdr:col>1</xdr:col>
      <xdr:colOff>1596980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8887FE4-AA84-4ED8-9344-093FE1817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735106</xdr:colOff>
      <xdr:row>61</xdr:row>
      <xdr:rowOff>136712</xdr:rowOff>
    </xdr:from>
    <xdr:to>
      <xdr:col>2</xdr:col>
      <xdr:colOff>174958</xdr:colOff>
      <xdr:row>64</xdr:row>
      <xdr:rowOff>89424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4E585BA-01CE-42F6-B160-84BA82971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6" y="148052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830356</xdr:colOff>
      <xdr:row>58</xdr:row>
      <xdr:rowOff>403412</xdr:rowOff>
    </xdr:from>
    <xdr:to>
      <xdr:col>2</xdr:col>
      <xdr:colOff>27036</xdr:colOff>
      <xdr:row>61</xdr:row>
      <xdr:rowOff>50988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005A2C6-6D7F-41A8-AA52-E72BF5E41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356" y="142337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24</xdr:row>
      <xdr:rowOff>0</xdr:rowOff>
    </xdr:from>
    <xdr:to>
      <xdr:col>2</xdr:col>
      <xdr:colOff>420927</xdr:colOff>
      <xdr:row>26</xdr:row>
      <xdr:rowOff>143213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CAC7EE-965B-4E60-95EE-8A67A6BE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7381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21</xdr:row>
      <xdr:rowOff>57150</xdr:rowOff>
    </xdr:from>
    <xdr:to>
      <xdr:col>2</xdr:col>
      <xdr:colOff>292055</xdr:colOff>
      <xdr:row>23</xdr:row>
      <xdr:rowOff>104775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CE4A3BB-188A-497E-848C-10A93407D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6810375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171450</xdr:rowOff>
    </xdr:from>
    <xdr:to>
      <xdr:col>1</xdr:col>
      <xdr:colOff>801927</xdr:colOff>
      <xdr:row>16</xdr:row>
      <xdr:rowOff>124163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E8A9C0-011B-4A77-9B44-490A4332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390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10</xdr:row>
      <xdr:rowOff>504825</xdr:rowOff>
    </xdr:from>
    <xdr:to>
      <xdr:col>1</xdr:col>
      <xdr:colOff>673055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FB706076-0BC9-4E77-ABDB-72542D6CB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8194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2E6052-A799-41D2-9AFE-B30195DE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23</xdr:row>
      <xdr:rowOff>79375</xdr:rowOff>
    </xdr:from>
    <xdr:to>
      <xdr:col>1</xdr:col>
      <xdr:colOff>1625555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86F66E9-0031-40D6-9C85-CDF2BD7E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4" t="s">
        <v>0</v>
      </c>
      <c r="B2" s="214"/>
      <c r="C2" s="214"/>
    </row>
    <row r="3" spans="1:3" x14ac:dyDescent="0.25">
      <c r="A3" s="1"/>
      <c r="B3" s="1"/>
      <c r="C3" s="1"/>
    </row>
    <row r="4" spans="1:3" x14ac:dyDescent="0.25">
      <c r="A4" s="215" t="s">
        <v>1</v>
      </c>
      <c r="B4" s="215"/>
      <c r="C4" s="21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6" t="s">
        <v>3</v>
      </c>
      <c r="C6" s="216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2"/>
      <c r="C1" s="192"/>
      <c r="D1" s="193" t="s">
        <v>250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14" t="s">
        <v>251</v>
      </c>
      <c r="B3" s="214"/>
      <c r="C3" s="214"/>
      <c r="D3" s="214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17" t="s">
        <v>252</v>
      </c>
      <c r="B5" s="217"/>
      <c r="C5" s="217"/>
      <c r="D5" s="195" t="str">
        <f>'Прил.5 Расчет СМР и ОБ'!D6:J6</f>
        <v xml:space="preserve">Постоянная часть ПС ПЧЗ ВЧС и КИП ЗПС 500 кВ </v>
      </c>
    </row>
    <row r="6" spans="1:5" ht="19.899999999999999" customHeight="1" x14ac:dyDescent="0.25">
      <c r="A6" s="217" t="s">
        <v>50</v>
      </c>
      <c r="B6" s="217"/>
      <c r="C6" s="217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28" t="s">
        <v>5</v>
      </c>
      <c r="B8" s="228" t="s">
        <v>6</v>
      </c>
      <c r="C8" s="228" t="s">
        <v>253</v>
      </c>
      <c r="D8" s="228" t="s">
        <v>254</v>
      </c>
    </row>
    <row r="9" spans="1:5" ht="15" customHeight="1" x14ac:dyDescent="0.25">
      <c r="A9" s="228"/>
      <c r="B9" s="228"/>
      <c r="C9" s="228"/>
      <c r="D9" s="228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1.45" customHeight="1" x14ac:dyDescent="0.25">
      <c r="A11" s="196" t="s">
        <v>255</v>
      </c>
      <c r="B11" s="196" t="s">
        <v>256</v>
      </c>
      <c r="C11" s="197" t="str">
        <f>D5</f>
        <v xml:space="preserve">Постоянная часть ПС ПЧЗ ВЧС и КИП ЗПС 500 кВ </v>
      </c>
      <c r="D11" s="198">
        <f>'Прил.4 РМ'!C41/1000</f>
        <v>1471.1915200000003</v>
      </c>
      <c r="E11" s="199"/>
    </row>
    <row r="12" spans="1:5" x14ac:dyDescent="0.25">
      <c r="A12" s="200"/>
      <c r="B12" s="201"/>
      <c r="C12" s="200"/>
      <c r="D12" s="200"/>
    </row>
    <row r="13" spans="1:5" x14ac:dyDescent="0.25">
      <c r="A13" s="192" t="s">
        <v>257</v>
      </c>
      <c r="B13" s="202"/>
      <c r="C13" s="202"/>
      <c r="D13" s="200"/>
    </row>
    <row r="14" spans="1:5" x14ac:dyDescent="0.25">
      <c r="A14" s="203" t="s">
        <v>77</v>
      </c>
      <c r="B14" s="202"/>
      <c r="C14" s="202"/>
      <c r="D14" s="200"/>
    </row>
    <row r="15" spans="1:5" x14ac:dyDescent="0.25">
      <c r="A15" s="192"/>
      <c r="B15" s="202"/>
      <c r="C15" s="202"/>
      <c r="D15" s="200"/>
    </row>
    <row r="16" spans="1:5" x14ac:dyDescent="0.25">
      <c r="A16" s="192" t="s">
        <v>78</v>
      </c>
      <c r="B16" s="202"/>
      <c r="C16" s="202"/>
      <c r="D16" s="200"/>
    </row>
    <row r="17" spans="1:4" x14ac:dyDescent="0.25">
      <c r="A17" s="203" t="s">
        <v>79</v>
      </c>
      <c r="B17" s="202"/>
      <c r="C17" s="202"/>
      <c r="D17" s="20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21" t="s">
        <v>258</v>
      </c>
      <c r="C4" s="221"/>
      <c r="D4" s="221"/>
    </row>
    <row r="5" spans="2:5" ht="18.75" customHeight="1" x14ac:dyDescent="0.25">
      <c r="B5" s="126"/>
    </row>
    <row r="6" spans="2:5" ht="15.75" customHeight="1" x14ac:dyDescent="0.25">
      <c r="B6" s="222" t="s">
        <v>259</v>
      </c>
      <c r="C6" s="222"/>
      <c r="D6" s="222"/>
    </row>
    <row r="7" spans="2:5" x14ac:dyDescent="0.25">
      <c r="B7" s="264"/>
      <c r="C7" s="264"/>
      <c r="D7" s="264"/>
      <c r="E7" s="264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260</v>
      </c>
      <c r="C9" s="117" t="s">
        <v>261</v>
      </c>
      <c r="D9" s="117" t="s">
        <v>262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263</v>
      </c>
      <c r="C11" s="117" t="s">
        <v>264</v>
      </c>
      <c r="D11" s="117">
        <v>44.29</v>
      </c>
    </row>
    <row r="12" spans="2:5" ht="29.25" customHeight="1" x14ac:dyDescent="0.25">
      <c r="B12" s="117" t="s">
        <v>265</v>
      </c>
      <c r="C12" s="117" t="s">
        <v>264</v>
      </c>
      <c r="D12" s="117">
        <v>13.47</v>
      </c>
    </row>
    <row r="13" spans="2:5" ht="29.25" customHeight="1" x14ac:dyDescent="0.25">
      <c r="B13" s="117" t="s">
        <v>266</v>
      </c>
      <c r="C13" s="117" t="s">
        <v>264</v>
      </c>
      <c r="D13" s="117">
        <v>8.0399999999999991</v>
      </c>
    </row>
    <row r="14" spans="2:5" ht="30.75" customHeight="1" x14ac:dyDescent="0.25">
      <c r="B14" s="117" t="s">
        <v>267</v>
      </c>
      <c r="C14" s="111" t="s">
        <v>268</v>
      </c>
      <c r="D14" s="117">
        <v>6.26</v>
      </c>
    </row>
    <row r="15" spans="2:5" ht="89.45" customHeight="1" x14ac:dyDescent="0.25">
      <c r="B15" s="117" t="s">
        <v>269</v>
      </c>
      <c r="C15" s="117" t="s">
        <v>270</v>
      </c>
      <c r="D15" s="128">
        <v>3.9E-2</v>
      </c>
    </row>
    <row r="16" spans="2:5" ht="78.75" customHeight="1" x14ac:dyDescent="0.25">
      <c r="B16" s="117" t="s">
        <v>271</v>
      </c>
      <c r="C16" s="117" t="s">
        <v>272</v>
      </c>
      <c r="D16" s="128">
        <v>2.1000000000000001E-2</v>
      </c>
    </row>
    <row r="17" spans="2:4" ht="31.7" customHeight="1" x14ac:dyDescent="0.25">
      <c r="B17" s="117" t="s">
        <v>273</v>
      </c>
      <c r="C17" s="117" t="s">
        <v>274</v>
      </c>
      <c r="D17" s="128">
        <v>2.1399999999999999E-2</v>
      </c>
    </row>
    <row r="18" spans="2:4" ht="31.7" customHeight="1" x14ac:dyDescent="0.25">
      <c r="B18" s="117" t="s">
        <v>193</v>
      </c>
      <c r="C18" s="117" t="s">
        <v>275</v>
      </c>
      <c r="D18" s="128">
        <v>2E-3</v>
      </c>
    </row>
    <row r="19" spans="2:4" ht="24" customHeight="1" x14ac:dyDescent="0.25">
      <c r="B19" s="117" t="s">
        <v>195</v>
      </c>
      <c r="C19" s="117" t="s">
        <v>276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277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241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22" t="s">
        <v>278</v>
      </c>
      <c r="B2" s="222"/>
      <c r="C2" s="222"/>
      <c r="D2" s="222"/>
      <c r="E2" s="222"/>
      <c r="F2" s="222"/>
    </row>
    <row r="4" spans="1:7" ht="18" customHeight="1" x14ac:dyDescent="0.25">
      <c r="A4" s="112" t="s">
        <v>279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280</v>
      </c>
      <c r="C5" s="114" t="s">
        <v>281</v>
      </c>
      <c r="D5" s="114" t="s">
        <v>282</v>
      </c>
      <c r="E5" s="114" t="s">
        <v>283</v>
      </c>
      <c r="F5" s="114" t="s">
        <v>284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285</v>
      </c>
      <c r="B7" s="116" t="s">
        <v>286</v>
      </c>
      <c r="C7" s="117" t="s">
        <v>287</v>
      </c>
      <c r="D7" s="117" t="s">
        <v>288</v>
      </c>
      <c r="E7" s="118">
        <v>47872.94</v>
      </c>
      <c r="F7" s="116" t="s">
        <v>289</v>
      </c>
      <c r="G7" s="113"/>
    </row>
    <row r="8" spans="1:7" ht="31.7" customHeight="1" x14ac:dyDescent="0.25">
      <c r="A8" s="115" t="s">
        <v>290</v>
      </c>
      <c r="B8" s="116" t="s">
        <v>291</v>
      </c>
      <c r="C8" s="117" t="s">
        <v>292</v>
      </c>
      <c r="D8" s="117" t="s">
        <v>293</v>
      </c>
      <c r="E8" s="118">
        <f>1973/12</f>
        <v>164.41666666667001</v>
      </c>
      <c r="F8" s="116" t="s">
        <v>294</v>
      </c>
      <c r="G8" s="119"/>
    </row>
    <row r="9" spans="1:7" ht="15.75" customHeight="1" x14ac:dyDescent="0.25">
      <c r="A9" s="115" t="s">
        <v>295</v>
      </c>
      <c r="B9" s="116" t="s">
        <v>296</v>
      </c>
      <c r="C9" s="117" t="s">
        <v>297</v>
      </c>
      <c r="D9" s="117" t="s">
        <v>288</v>
      </c>
      <c r="E9" s="118">
        <v>1</v>
      </c>
      <c r="F9" s="116"/>
      <c r="G9" s="119"/>
    </row>
    <row r="10" spans="1:7" ht="15.75" customHeight="1" x14ac:dyDescent="0.25">
      <c r="A10" s="115" t="s">
        <v>298</v>
      </c>
      <c r="B10" s="116" t="s">
        <v>299</v>
      </c>
      <c r="C10" s="117"/>
      <c r="D10" s="117"/>
      <c r="E10" s="120">
        <v>4.3</v>
      </c>
      <c r="F10" s="116" t="s">
        <v>300</v>
      </c>
      <c r="G10" s="119"/>
    </row>
    <row r="11" spans="1:7" ht="78.75" customHeight="1" x14ac:dyDescent="0.25">
      <c r="A11" s="115" t="s">
        <v>301</v>
      </c>
      <c r="B11" s="116" t="s">
        <v>302</v>
      </c>
      <c r="C11" s="117" t="s">
        <v>303</v>
      </c>
      <c r="D11" s="117" t="s">
        <v>288</v>
      </c>
      <c r="E11" s="175">
        <v>1.4</v>
      </c>
      <c r="F11" s="116" t="s">
        <v>304</v>
      </c>
      <c r="G11" s="113"/>
    </row>
    <row r="12" spans="1:7" ht="78.75" customHeight="1" x14ac:dyDescent="0.25">
      <c r="A12" s="115" t="s">
        <v>305</v>
      </c>
      <c r="B12" s="121" t="s">
        <v>306</v>
      </c>
      <c r="C12" s="117" t="s">
        <v>307</v>
      </c>
      <c r="D12" s="117" t="s">
        <v>288</v>
      </c>
      <c r="E12" s="122">
        <v>1.139</v>
      </c>
      <c r="F12" s="123" t="s">
        <v>308</v>
      </c>
      <c r="G12" s="119"/>
    </row>
    <row r="13" spans="1:7" ht="63" customHeight="1" x14ac:dyDescent="0.25">
      <c r="A13" s="115" t="s">
        <v>309</v>
      </c>
      <c r="B13" s="124" t="s">
        <v>310</v>
      </c>
      <c r="C13" s="117" t="s">
        <v>311</v>
      </c>
      <c r="D13" s="117" t="s">
        <v>312</v>
      </c>
      <c r="E13" s="125">
        <f>((E7*E9/E8)*E11)*E12</f>
        <v>464.29715230005002</v>
      </c>
      <c r="F13" s="116" t="s">
        <v>313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5" t="s">
        <v>314</v>
      </c>
      <c r="B1" s="265"/>
      <c r="C1" s="265"/>
      <c r="D1" s="265"/>
      <c r="E1" s="265"/>
      <c r="F1" s="265"/>
      <c r="G1" s="265"/>
      <c r="H1" s="265"/>
      <c r="I1" s="265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7" t="e">
        <f>#REF!</f>
        <v>#REF!</v>
      </c>
      <c r="B3" s="217"/>
      <c r="C3" s="217"/>
      <c r="D3" s="217"/>
      <c r="E3" s="217"/>
      <c r="F3" s="217"/>
      <c r="G3" s="217"/>
      <c r="H3" s="217"/>
      <c r="I3" s="217"/>
    </row>
    <row r="4" spans="1:13" s="4" customFormat="1" ht="15.75" customHeight="1" x14ac:dyDescent="0.2">
      <c r="A4" s="266"/>
      <c r="B4" s="266"/>
      <c r="C4" s="266"/>
      <c r="D4" s="266"/>
      <c r="E4" s="266"/>
      <c r="F4" s="266"/>
      <c r="G4" s="266"/>
      <c r="H4" s="266"/>
      <c r="I4" s="266"/>
    </row>
    <row r="5" spans="1:13" s="30" customFormat="1" ht="36.75" customHeight="1" x14ac:dyDescent="0.35">
      <c r="A5" s="267" t="s">
        <v>13</v>
      </c>
      <c r="B5" s="267" t="s">
        <v>315</v>
      </c>
      <c r="C5" s="267" t="s">
        <v>316</v>
      </c>
      <c r="D5" s="267" t="s">
        <v>317</v>
      </c>
      <c r="E5" s="263" t="s">
        <v>318</v>
      </c>
      <c r="F5" s="263"/>
      <c r="G5" s="263"/>
      <c r="H5" s="263"/>
      <c r="I5" s="263"/>
    </row>
    <row r="6" spans="1:13" s="24" customFormat="1" ht="31.7" customHeight="1" x14ac:dyDescent="0.2">
      <c r="A6" s="267"/>
      <c r="B6" s="267"/>
      <c r="C6" s="267"/>
      <c r="D6" s="267"/>
      <c r="E6" s="31" t="s">
        <v>86</v>
      </c>
      <c r="F6" s="31" t="s">
        <v>87</v>
      </c>
      <c r="G6" s="31" t="s">
        <v>43</v>
      </c>
      <c r="H6" s="31" t="s">
        <v>319</v>
      </c>
      <c r="I6" s="31" t="s">
        <v>320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183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321</v>
      </c>
      <c r="C9" s="8" t="s">
        <v>322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323</v>
      </c>
      <c r="C11" s="8" t="s">
        <v>271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324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325</v>
      </c>
      <c r="C12" s="8" t="s">
        <v>326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327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274</v>
      </c>
      <c r="C14" s="8" t="s">
        <v>328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329</v>
      </c>
      <c r="C16" s="8" t="s">
        <v>330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331</v>
      </c>
    </row>
    <row r="17" spans="1:10" s="24" customFormat="1" ht="81.75" customHeight="1" x14ac:dyDescent="0.2">
      <c r="A17" s="32">
        <v>7</v>
      </c>
      <c r="B17" s="8" t="s">
        <v>329</v>
      </c>
      <c r="C17" s="8" t="s">
        <v>332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333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334</v>
      </c>
      <c r="C20" s="8" t="s">
        <v>195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335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336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337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338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339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9" t="s">
        <v>340</v>
      </c>
      <c r="O2" s="269"/>
    </row>
    <row r="3" spans="1:16" x14ac:dyDescent="0.25">
      <c r="A3" s="270" t="s">
        <v>341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5" spans="1:16" ht="37.5" customHeight="1" x14ac:dyDescent="0.25">
      <c r="A5" s="271" t="s">
        <v>342</v>
      </c>
      <c r="B5" s="274" t="s">
        <v>343</v>
      </c>
      <c r="C5" s="277" t="s">
        <v>344</v>
      </c>
      <c r="D5" s="280" t="s">
        <v>345</v>
      </c>
      <c r="E5" s="281"/>
      <c r="F5" s="281"/>
      <c r="G5" s="281"/>
      <c r="H5" s="281"/>
      <c r="I5" s="280" t="s">
        <v>346</v>
      </c>
      <c r="J5" s="281"/>
      <c r="K5" s="281"/>
      <c r="L5" s="281"/>
      <c r="M5" s="281"/>
      <c r="N5" s="281"/>
      <c r="O5" s="48" t="s">
        <v>347</v>
      </c>
    </row>
    <row r="6" spans="1:16" s="51" customFormat="1" ht="150" customHeight="1" x14ac:dyDescent="0.25">
      <c r="A6" s="272"/>
      <c r="B6" s="275"/>
      <c r="C6" s="278"/>
      <c r="D6" s="277" t="s">
        <v>348</v>
      </c>
      <c r="E6" s="282" t="s">
        <v>349</v>
      </c>
      <c r="F6" s="283"/>
      <c r="G6" s="284"/>
      <c r="H6" s="49" t="s">
        <v>350</v>
      </c>
      <c r="I6" s="285" t="s">
        <v>351</v>
      </c>
      <c r="J6" s="285" t="s">
        <v>348</v>
      </c>
      <c r="K6" s="286" t="s">
        <v>349</v>
      </c>
      <c r="L6" s="286"/>
      <c r="M6" s="286"/>
      <c r="N6" s="49" t="s">
        <v>350</v>
      </c>
      <c r="O6" s="50" t="s">
        <v>352</v>
      </c>
    </row>
    <row r="7" spans="1:16" s="51" customFormat="1" ht="30.75" customHeight="1" x14ac:dyDescent="0.25">
      <c r="A7" s="273"/>
      <c r="B7" s="276"/>
      <c r="C7" s="279"/>
      <c r="D7" s="279"/>
      <c r="E7" s="48" t="s">
        <v>86</v>
      </c>
      <c r="F7" s="48" t="s">
        <v>87</v>
      </c>
      <c r="G7" s="48" t="s">
        <v>43</v>
      </c>
      <c r="H7" s="52" t="s">
        <v>353</v>
      </c>
      <c r="I7" s="285"/>
      <c r="J7" s="285"/>
      <c r="K7" s="48" t="s">
        <v>86</v>
      </c>
      <c r="L7" s="48" t="s">
        <v>87</v>
      </c>
      <c r="M7" s="48" t="s">
        <v>43</v>
      </c>
      <c r="N7" s="52" t="s">
        <v>353</v>
      </c>
      <c r="O7" s="48" t="s">
        <v>354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1" t="s">
        <v>355</v>
      </c>
      <c r="C9" s="54" t="s">
        <v>356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3"/>
      <c r="C10" s="57" t="s">
        <v>357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1" t="s">
        <v>358</v>
      </c>
      <c r="C11" s="57" t="s">
        <v>359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3"/>
      <c r="C12" s="57" t="s">
        <v>360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1" t="s">
        <v>361</v>
      </c>
      <c r="C13" s="54" t="s">
        <v>362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3"/>
      <c r="C14" s="57" t="s">
        <v>363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364</v>
      </c>
      <c r="C15" s="57" t="s">
        <v>365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367</v>
      </c>
    </row>
    <row r="19" spans="1:15" ht="30.75" customHeight="1" x14ac:dyDescent="0.25">
      <c r="L19" s="69"/>
    </row>
    <row r="20" spans="1:15" ht="15" customHeight="1" outlineLevel="1" x14ac:dyDescent="0.25">
      <c r="G20" s="268" t="s">
        <v>368</v>
      </c>
      <c r="H20" s="268"/>
      <c r="I20" s="268"/>
      <c r="J20" s="268"/>
      <c r="K20" s="268"/>
      <c r="L20" s="268"/>
      <c r="M20" s="268"/>
      <c r="N20" s="268"/>
    </row>
    <row r="21" spans="1:15" ht="15.75" customHeight="1" outlineLevel="1" x14ac:dyDescent="0.25">
      <c r="G21" s="70"/>
      <c r="H21" s="70" t="s">
        <v>369</v>
      </c>
      <c r="I21" s="70" t="s">
        <v>370</v>
      </c>
      <c r="J21" s="70" t="s">
        <v>371</v>
      </c>
      <c r="K21" s="71" t="s">
        <v>372</v>
      </c>
      <c r="L21" s="70" t="s">
        <v>373</v>
      </c>
      <c r="M21" s="70" t="s">
        <v>374</v>
      </c>
      <c r="N21" s="70" t="s">
        <v>375</v>
      </c>
      <c r="O21" s="64"/>
    </row>
    <row r="22" spans="1:15" ht="15.75" customHeight="1" outlineLevel="1" x14ac:dyDescent="0.25">
      <c r="G22" s="288" t="s">
        <v>376</v>
      </c>
      <c r="H22" s="287">
        <v>6.09</v>
      </c>
      <c r="I22" s="289">
        <v>6.44</v>
      </c>
      <c r="J22" s="287">
        <v>5.77</v>
      </c>
      <c r="K22" s="289">
        <v>5.77</v>
      </c>
      <c r="L22" s="287">
        <v>5.23</v>
      </c>
      <c r="M22" s="287">
        <v>5.77</v>
      </c>
      <c r="N22" s="72">
        <v>6.29</v>
      </c>
      <c r="O22" t="s">
        <v>377</v>
      </c>
    </row>
    <row r="23" spans="1:15" ht="15.75" customHeight="1" outlineLevel="1" x14ac:dyDescent="0.25">
      <c r="G23" s="288"/>
      <c r="H23" s="287"/>
      <c r="I23" s="289"/>
      <c r="J23" s="287"/>
      <c r="K23" s="289"/>
      <c r="L23" s="287"/>
      <c r="M23" s="287"/>
      <c r="N23" s="72">
        <v>6.56</v>
      </c>
      <c r="O23" t="s">
        <v>378</v>
      </c>
    </row>
    <row r="24" spans="1:15" ht="15.75" customHeight="1" outlineLevel="1" x14ac:dyDescent="0.25">
      <c r="G24" s="73" t="s">
        <v>379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380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381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5" t="s">
        <v>382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4" spans="1:18" ht="36.75" customHeight="1" x14ac:dyDescent="0.25">
      <c r="A4" s="271" t="s">
        <v>342</v>
      </c>
      <c r="B4" s="274" t="s">
        <v>343</v>
      </c>
      <c r="C4" s="277" t="s">
        <v>383</v>
      </c>
      <c r="D4" s="277" t="s">
        <v>384</v>
      </c>
      <c r="E4" s="280" t="s">
        <v>385</v>
      </c>
      <c r="F4" s="281"/>
      <c r="G4" s="281"/>
      <c r="H4" s="281"/>
      <c r="I4" s="281"/>
      <c r="J4" s="281"/>
      <c r="K4" s="281"/>
      <c r="L4" s="281"/>
      <c r="M4" s="281"/>
      <c r="N4" s="306" t="s">
        <v>386</v>
      </c>
      <c r="O4" s="307"/>
      <c r="P4" s="307"/>
      <c r="Q4" s="307"/>
      <c r="R4" s="308"/>
    </row>
    <row r="5" spans="1:18" ht="60" customHeight="1" x14ac:dyDescent="0.25">
      <c r="A5" s="272"/>
      <c r="B5" s="275"/>
      <c r="C5" s="278"/>
      <c r="D5" s="278"/>
      <c r="E5" s="285" t="s">
        <v>387</v>
      </c>
      <c r="F5" s="285" t="s">
        <v>388</v>
      </c>
      <c r="G5" s="282" t="s">
        <v>349</v>
      </c>
      <c r="H5" s="283"/>
      <c r="I5" s="283"/>
      <c r="J5" s="284"/>
      <c r="K5" s="285" t="s">
        <v>389</v>
      </c>
      <c r="L5" s="285"/>
      <c r="M5" s="285"/>
      <c r="N5" s="75" t="s">
        <v>390</v>
      </c>
      <c r="O5" s="75" t="s">
        <v>391</v>
      </c>
      <c r="P5" s="75" t="s">
        <v>392</v>
      </c>
      <c r="Q5" s="76" t="s">
        <v>393</v>
      </c>
      <c r="R5" s="75" t="s">
        <v>394</v>
      </c>
    </row>
    <row r="6" spans="1:18" ht="49.7" customHeight="1" x14ac:dyDescent="0.25">
      <c r="A6" s="273"/>
      <c r="B6" s="276"/>
      <c r="C6" s="279"/>
      <c r="D6" s="279"/>
      <c r="E6" s="285"/>
      <c r="F6" s="285"/>
      <c r="G6" s="48" t="s">
        <v>86</v>
      </c>
      <c r="H6" s="48" t="s">
        <v>87</v>
      </c>
      <c r="I6" s="48" t="s">
        <v>43</v>
      </c>
      <c r="J6" s="48" t="s">
        <v>319</v>
      </c>
      <c r="K6" s="48" t="s">
        <v>390</v>
      </c>
      <c r="L6" s="48" t="s">
        <v>391</v>
      </c>
      <c r="M6" s="48" t="s">
        <v>392</v>
      </c>
      <c r="N6" s="48" t="s">
        <v>395</v>
      </c>
      <c r="O6" s="48" t="s">
        <v>396</v>
      </c>
      <c r="P6" s="48" t="s">
        <v>397</v>
      </c>
      <c r="Q6" s="49" t="s">
        <v>398</v>
      </c>
      <c r="R6" s="48" t="s">
        <v>399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1">
        <v>1</v>
      </c>
      <c r="B9" s="271" t="s">
        <v>400</v>
      </c>
      <c r="C9" s="298" t="s">
        <v>356</v>
      </c>
      <c r="D9" s="54" t="s">
        <v>401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3"/>
      <c r="B10" s="272"/>
      <c r="C10" s="299"/>
      <c r="D10" s="54" t="s">
        <v>402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1">
        <v>2</v>
      </c>
      <c r="B11" s="272"/>
      <c r="C11" s="298" t="s">
        <v>403</v>
      </c>
      <c r="D11" s="54" t="s">
        <v>401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3"/>
      <c r="B12" s="273"/>
      <c r="C12" s="299"/>
      <c r="D12" s="54" t="s">
        <v>402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1">
        <v>3</v>
      </c>
      <c r="B13" s="271" t="s">
        <v>358</v>
      </c>
      <c r="C13" s="301" t="s">
        <v>359</v>
      </c>
      <c r="D13" s="54" t="s">
        <v>404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3"/>
      <c r="B14" s="272"/>
      <c r="C14" s="302"/>
      <c r="D14" s="54" t="s">
        <v>402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1">
        <v>4</v>
      </c>
      <c r="B15" s="272"/>
      <c r="C15" s="303" t="s">
        <v>360</v>
      </c>
      <c r="D15" s="57" t="s">
        <v>404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3"/>
      <c r="B16" s="273"/>
      <c r="C16" s="304"/>
      <c r="D16" s="57" t="s">
        <v>402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1">
        <v>5</v>
      </c>
      <c r="B17" s="286" t="s">
        <v>361</v>
      </c>
      <c r="C17" s="298" t="s">
        <v>405</v>
      </c>
      <c r="D17" s="54" t="s">
        <v>406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3"/>
      <c r="B18" s="286"/>
      <c r="C18" s="299"/>
      <c r="D18" s="54" t="s">
        <v>402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1">
        <v>6</v>
      </c>
      <c r="B19" s="286"/>
      <c r="C19" s="298" t="s">
        <v>363</v>
      </c>
      <c r="D19" s="57" t="s">
        <v>404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3"/>
      <c r="B20" s="286"/>
      <c r="C20" s="299"/>
      <c r="D20" s="57" t="s">
        <v>402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1">
        <v>7</v>
      </c>
      <c r="B21" s="271" t="s">
        <v>364</v>
      </c>
      <c r="C21" s="298" t="s">
        <v>365</v>
      </c>
      <c r="D21" s="57" t="s">
        <v>407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3"/>
      <c r="B22" s="273"/>
      <c r="C22" s="299"/>
      <c r="D22" s="80" t="s">
        <v>402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0" t="s">
        <v>409</v>
      </c>
      <c r="E26" s="300"/>
      <c r="F26" s="300"/>
      <c r="G26" s="300"/>
      <c r="H26" s="300"/>
      <c r="I26" s="300"/>
      <c r="J26" s="300"/>
      <c r="K26" s="300"/>
      <c r="L26" s="69"/>
      <c r="R26" s="87"/>
    </row>
    <row r="27" spans="1:18" outlineLevel="1" x14ac:dyDescent="0.25">
      <c r="D27" s="88"/>
      <c r="E27" s="88" t="s">
        <v>369</v>
      </c>
      <c r="F27" s="88" t="s">
        <v>370</v>
      </c>
      <c r="G27" s="88" t="s">
        <v>371</v>
      </c>
      <c r="H27" s="89" t="s">
        <v>372</v>
      </c>
      <c r="I27" s="89" t="s">
        <v>373</v>
      </c>
      <c r="J27" s="89" t="s">
        <v>374</v>
      </c>
      <c r="K27" s="60" t="s">
        <v>375</v>
      </c>
    </row>
    <row r="28" spans="1:18" outlineLevel="1" x14ac:dyDescent="0.25">
      <c r="D28" s="294" t="s">
        <v>376</v>
      </c>
      <c r="E28" s="292">
        <v>6.09</v>
      </c>
      <c r="F28" s="296">
        <v>6.63</v>
      </c>
      <c r="G28" s="292">
        <v>5.77</v>
      </c>
      <c r="H28" s="290">
        <v>5.77</v>
      </c>
      <c r="I28" s="290">
        <v>6.35</v>
      </c>
      <c r="J28" s="292">
        <v>5.77</v>
      </c>
      <c r="K28" s="90">
        <v>6.29</v>
      </c>
      <c r="L28" t="s">
        <v>377</v>
      </c>
    </row>
    <row r="29" spans="1:18" outlineLevel="1" x14ac:dyDescent="0.25">
      <c r="D29" s="295"/>
      <c r="E29" s="293"/>
      <c r="F29" s="297"/>
      <c r="G29" s="293"/>
      <c r="H29" s="291"/>
      <c r="I29" s="291"/>
      <c r="J29" s="293"/>
      <c r="K29" s="90">
        <v>6.56</v>
      </c>
      <c r="L29" t="s">
        <v>378</v>
      </c>
    </row>
    <row r="30" spans="1:18" outlineLevel="1" x14ac:dyDescent="0.25">
      <c r="D30" s="91" t="s">
        <v>379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4" t="s">
        <v>353</v>
      </c>
      <c r="E31" s="292">
        <v>11.37</v>
      </c>
      <c r="F31" s="296">
        <v>13.56</v>
      </c>
      <c r="G31" s="292">
        <v>15.91</v>
      </c>
      <c r="H31" s="290">
        <v>15.91</v>
      </c>
      <c r="I31" s="290">
        <v>14.03</v>
      </c>
      <c r="J31" s="292">
        <v>15.91</v>
      </c>
      <c r="K31" s="90">
        <v>8.2899999999999991</v>
      </c>
      <c r="L31" t="s">
        <v>377</v>
      </c>
    </row>
    <row r="32" spans="1:18" outlineLevel="1" x14ac:dyDescent="0.25">
      <c r="D32" s="295"/>
      <c r="E32" s="293"/>
      <c r="F32" s="297"/>
      <c r="G32" s="293"/>
      <c r="H32" s="291"/>
      <c r="I32" s="291"/>
      <c r="J32" s="293"/>
      <c r="K32" s="90">
        <v>11.84</v>
      </c>
      <c r="L32" t="s">
        <v>378</v>
      </c>
    </row>
    <row r="33" spans="4:12" ht="15" customHeight="1" outlineLevel="1" x14ac:dyDescent="0.25">
      <c r="D33" s="92" t="s">
        <v>380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410</v>
      </c>
    </row>
    <row r="34" spans="4:12" outlineLevel="1" x14ac:dyDescent="0.25">
      <c r="D34" s="92" t="s">
        <v>381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410</v>
      </c>
    </row>
    <row r="35" spans="4:12" outlineLevel="1" x14ac:dyDescent="0.25">
      <c r="D35" s="91" t="s">
        <v>319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4" t="s">
        <v>10</v>
      </c>
      <c r="B2" s="214"/>
      <c r="C2" s="214"/>
      <c r="D2" s="214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1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7"/>
    </row>
    <row r="5" spans="1:4" x14ac:dyDescent="0.25">
      <c r="A5" s="5"/>
      <c r="B5" s="1"/>
      <c r="C5" s="1"/>
    </row>
    <row r="6" spans="1:4" x14ac:dyDescent="0.25">
      <c r="A6" s="214" t="s">
        <v>12</v>
      </c>
      <c r="B6" s="214"/>
      <c r="C6" s="214"/>
      <c r="D6" s="21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8" t="s">
        <v>5</v>
      </c>
      <c r="B15" s="219" t="s">
        <v>15</v>
      </c>
      <c r="C15" s="219"/>
      <c r="D15" s="219"/>
    </row>
    <row r="16" spans="1:4" x14ac:dyDescent="0.25">
      <c r="A16" s="218"/>
      <c r="B16" s="218" t="s">
        <v>17</v>
      </c>
      <c r="C16" s="219" t="s">
        <v>28</v>
      </c>
      <c r="D16" s="219"/>
    </row>
    <row r="17" spans="1:4" ht="39.200000000000003" customHeight="1" x14ac:dyDescent="0.25">
      <c r="A17" s="218"/>
      <c r="B17" s="21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0" t="s">
        <v>29</v>
      </c>
      <c r="B2" s="220"/>
      <c r="C2" s="220"/>
      <c r="D2" s="220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7" zoomScale="55" zoomScaleNormal="55" workbookViewId="0">
      <selection activeCell="D28" sqref="D28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47" style="113" customWidth="1"/>
    <col min="5" max="5" width="37.42578125" style="113" customWidth="1"/>
    <col min="6" max="6" width="9.140625" style="113"/>
  </cols>
  <sheetData>
    <row r="3" spans="2:5" x14ac:dyDescent="0.25">
      <c r="B3" s="221" t="s">
        <v>45</v>
      </c>
      <c r="C3" s="221"/>
      <c r="D3" s="221"/>
    </row>
    <row r="4" spans="2:5" x14ac:dyDescent="0.25">
      <c r="B4" s="222" t="s">
        <v>46</v>
      </c>
      <c r="C4" s="222"/>
      <c r="D4" s="222"/>
    </row>
    <row r="5" spans="2:5" ht="84.2" customHeight="1" x14ac:dyDescent="0.25">
      <c r="B5" s="224" t="s">
        <v>47</v>
      </c>
      <c r="C5" s="224"/>
      <c r="D5" s="224"/>
    </row>
    <row r="6" spans="2:5" ht="18.75" customHeight="1" x14ac:dyDescent="0.25">
      <c r="B6" s="178"/>
      <c r="C6" s="178"/>
      <c r="D6" s="178"/>
    </row>
    <row r="7" spans="2:5" ht="64.5" customHeight="1" x14ac:dyDescent="0.25">
      <c r="B7" s="223" t="s">
        <v>48</v>
      </c>
      <c r="C7" s="223"/>
      <c r="D7" s="223"/>
    </row>
    <row r="8" spans="2:5" ht="31.7" customHeight="1" x14ac:dyDescent="0.25">
      <c r="B8" s="223" t="s">
        <v>49</v>
      </c>
      <c r="C8" s="223"/>
      <c r="D8" s="223"/>
    </row>
    <row r="9" spans="2:5" ht="15.75" customHeight="1" x14ac:dyDescent="0.25">
      <c r="B9" s="223" t="s">
        <v>50</v>
      </c>
      <c r="C9" s="223"/>
      <c r="D9" s="223"/>
    </row>
    <row r="10" spans="2:5" x14ac:dyDescent="0.25">
      <c r="B10" s="150"/>
    </row>
    <row r="11" spans="2:5" x14ac:dyDescent="0.25">
      <c r="B11" s="117" t="s">
        <v>33</v>
      </c>
      <c r="C11" s="117" t="s">
        <v>51</v>
      </c>
      <c r="D11" s="117" t="s">
        <v>52</v>
      </c>
      <c r="E11" s="158"/>
    </row>
    <row r="12" spans="2:5" ht="96.75" customHeight="1" x14ac:dyDescent="0.25">
      <c r="B12" s="117">
        <v>1</v>
      </c>
      <c r="C12" s="121" t="s">
        <v>53</v>
      </c>
      <c r="D12" s="117" t="s">
        <v>54</v>
      </c>
    </row>
    <row r="13" spans="2:5" x14ac:dyDescent="0.25">
      <c r="B13" s="117">
        <v>2</v>
      </c>
      <c r="C13" s="121" t="s">
        <v>55</v>
      </c>
      <c r="D13" s="117" t="s">
        <v>56</v>
      </c>
    </row>
    <row r="14" spans="2:5" x14ac:dyDescent="0.25">
      <c r="B14" s="117">
        <v>3</v>
      </c>
      <c r="C14" s="121" t="s">
        <v>57</v>
      </c>
      <c r="D14" s="117" t="s">
        <v>58</v>
      </c>
    </row>
    <row r="15" spans="2:5" x14ac:dyDescent="0.25">
      <c r="B15" s="117">
        <v>4</v>
      </c>
      <c r="C15" s="121" t="s">
        <v>59</v>
      </c>
      <c r="D15" s="117">
        <v>1</v>
      </c>
    </row>
    <row r="16" spans="2:5" ht="116.45" customHeight="1" x14ac:dyDescent="0.25">
      <c r="B16" s="117">
        <v>5</v>
      </c>
      <c r="C16" s="111" t="s">
        <v>60</v>
      </c>
      <c r="D16" s="117" t="s">
        <v>61</v>
      </c>
    </row>
    <row r="17" spans="2:5" ht="79.5" customHeight="1" x14ac:dyDescent="0.25">
      <c r="B17" s="117">
        <v>6</v>
      </c>
      <c r="C17" s="111" t="s">
        <v>62</v>
      </c>
      <c r="D17" s="213">
        <v>635.05237480000005</v>
      </c>
      <c r="E17" s="177"/>
    </row>
    <row r="18" spans="2:5" x14ac:dyDescent="0.25">
      <c r="B18" s="157" t="s">
        <v>63</v>
      </c>
      <c r="C18" s="121" t="s">
        <v>64</v>
      </c>
      <c r="D18" s="213">
        <v>29.651639200000002</v>
      </c>
    </row>
    <row r="19" spans="2:5" ht="15.75" customHeight="1" x14ac:dyDescent="0.25">
      <c r="B19" s="157" t="s">
        <v>65</v>
      </c>
      <c r="C19" s="121" t="s">
        <v>66</v>
      </c>
      <c r="D19" s="213">
        <v>605.40073559999996</v>
      </c>
    </row>
    <row r="20" spans="2:5" ht="16.5" customHeight="1" x14ac:dyDescent="0.25">
      <c r="B20" s="157" t="s">
        <v>67</v>
      </c>
      <c r="C20" s="121" t="s">
        <v>68</v>
      </c>
      <c r="D20" s="213"/>
    </row>
    <row r="21" spans="2:5" ht="35.450000000000003" customHeight="1" x14ac:dyDescent="0.25">
      <c r="B21" s="157" t="s">
        <v>69</v>
      </c>
      <c r="C21" s="156" t="s">
        <v>70</v>
      </c>
      <c r="D21" s="213"/>
    </row>
    <row r="22" spans="2:5" x14ac:dyDescent="0.25">
      <c r="B22" s="117">
        <v>7</v>
      </c>
      <c r="C22" s="156" t="s">
        <v>71</v>
      </c>
      <c r="D22" s="205" t="s">
        <v>72</v>
      </c>
      <c r="E22" s="154"/>
    </row>
    <row r="23" spans="2:5" ht="123" customHeight="1" x14ac:dyDescent="0.25">
      <c r="B23" s="117">
        <v>8</v>
      </c>
      <c r="C23" s="155" t="s">
        <v>73</v>
      </c>
      <c r="D23" s="213">
        <v>635.05237480000005</v>
      </c>
      <c r="E23" s="177"/>
    </row>
    <row r="24" spans="2:5" ht="60.75" customHeight="1" x14ac:dyDescent="0.25">
      <c r="B24" s="117">
        <v>9</v>
      </c>
      <c r="C24" s="111" t="s">
        <v>74</v>
      </c>
      <c r="D24" s="213">
        <v>635.05237480000005</v>
      </c>
      <c r="E24" s="154"/>
    </row>
    <row r="25" spans="2:5" ht="48.2" customHeight="1" x14ac:dyDescent="0.25">
      <c r="B25" s="117">
        <v>10</v>
      </c>
      <c r="C25" s="121" t="s">
        <v>75</v>
      </c>
      <c r="D25" s="209"/>
    </row>
    <row r="26" spans="2:5" x14ac:dyDescent="0.25">
      <c r="B26" s="153"/>
      <c r="C26" s="152"/>
      <c r="D26" s="152"/>
    </row>
    <row r="27" spans="2:5" ht="37.5" customHeight="1" x14ac:dyDescent="0.25">
      <c r="B27" s="151"/>
    </row>
    <row r="28" spans="2:5" x14ac:dyDescent="0.25">
      <c r="B28" s="113" t="s">
        <v>76</v>
      </c>
    </row>
    <row r="29" spans="2:5" x14ac:dyDescent="0.25">
      <c r="B29" s="151" t="s">
        <v>77</v>
      </c>
    </row>
    <row r="31" spans="2:5" x14ac:dyDescent="0.25">
      <c r="B31" s="113" t="s">
        <v>78</v>
      </c>
    </row>
    <row r="32" spans="2:5" x14ac:dyDescent="0.25">
      <c r="B32" s="151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0" sqref="F20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1:12" x14ac:dyDescent="0.25">
      <c r="B3" s="221" t="s">
        <v>80</v>
      </c>
      <c r="C3" s="221"/>
      <c r="D3" s="221"/>
      <c r="E3" s="221"/>
      <c r="F3" s="221"/>
      <c r="G3" s="221"/>
      <c r="H3" s="221"/>
      <c r="I3" s="221"/>
      <c r="J3" s="221"/>
      <c r="K3" s="151"/>
    </row>
    <row r="4" spans="1:12" x14ac:dyDescent="0.25">
      <c r="B4" s="222" t="s">
        <v>81</v>
      </c>
      <c r="C4" s="222"/>
      <c r="D4" s="222"/>
      <c r="E4" s="222"/>
      <c r="F4" s="222"/>
      <c r="G4" s="222"/>
      <c r="H4" s="222"/>
      <c r="I4" s="222"/>
      <c r="J4" s="222"/>
      <c r="K4" s="222"/>
    </row>
    <row r="5" spans="1:12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2" ht="29.25" customHeight="1" x14ac:dyDescent="0.25">
      <c r="B6" s="223" t="str">
        <f>'Прил.1 Сравнит табл'!B7:D7</f>
        <v xml:space="preserve">Наименование разрабатываемого показателя УНЦ - Постоянная часть ПС ПЧЗ ВЧС и КИП ЗПС 500 кВ </v>
      </c>
      <c r="C6" s="223"/>
      <c r="D6" s="223"/>
      <c r="E6" s="223"/>
      <c r="F6" s="223"/>
      <c r="G6" s="223"/>
      <c r="H6" s="223"/>
      <c r="I6" s="223"/>
      <c r="J6" s="223"/>
      <c r="K6" s="223"/>
    </row>
    <row r="7" spans="1:12" x14ac:dyDescent="0.25">
      <c r="B7" s="223" t="str">
        <f>'Прил.1 Сравнит табл'!B9:D9</f>
        <v>Единица измерения  — 1 ПС</v>
      </c>
      <c r="C7" s="223"/>
      <c r="D7" s="223"/>
      <c r="E7" s="223"/>
      <c r="F7" s="223"/>
      <c r="G7" s="223"/>
      <c r="H7" s="223"/>
      <c r="I7" s="223"/>
      <c r="J7" s="223"/>
      <c r="K7" s="223"/>
    </row>
    <row r="8" spans="1:12" ht="18.75" customHeight="1" x14ac:dyDescent="0.25">
      <c r="B8" s="127"/>
    </row>
    <row r="9" spans="1:12" ht="15.75" customHeight="1" x14ac:dyDescent="0.25">
      <c r="A9" s="204"/>
      <c r="B9" s="228" t="s">
        <v>33</v>
      </c>
      <c r="C9" s="228" t="s">
        <v>82</v>
      </c>
      <c r="D9" s="228" t="s">
        <v>52</v>
      </c>
      <c r="E9" s="228"/>
      <c r="F9" s="228"/>
      <c r="G9" s="228"/>
      <c r="H9" s="228"/>
      <c r="I9" s="228"/>
      <c r="J9" s="228"/>
      <c r="K9" s="204"/>
      <c r="L9" s="204"/>
    </row>
    <row r="10" spans="1:12" ht="15.75" customHeight="1" x14ac:dyDescent="0.25">
      <c r="A10" s="204"/>
      <c r="B10" s="228"/>
      <c r="C10" s="228"/>
      <c r="D10" s="228" t="s">
        <v>83</v>
      </c>
      <c r="E10" s="228" t="s">
        <v>84</v>
      </c>
      <c r="F10" s="228" t="s">
        <v>85</v>
      </c>
      <c r="G10" s="228"/>
      <c r="H10" s="228"/>
      <c r="I10" s="228"/>
      <c r="J10" s="228"/>
      <c r="K10" s="204"/>
      <c r="L10" s="204"/>
    </row>
    <row r="11" spans="1:12" ht="83.25" customHeight="1" x14ac:dyDescent="0.25">
      <c r="A11" s="204"/>
      <c r="B11" s="228"/>
      <c r="C11" s="228"/>
      <c r="D11" s="228"/>
      <c r="E11" s="228"/>
      <c r="F11" s="205" t="s">
        <v>86</v>
      </c>
      <c r="G11" s="205" t="s">
        <v>87</v>
      </c>
      <c r="H11" s="205" t="s">
        <v>43</v>
      </c>
      <c r="I11" s="205" t="s">
        <v>88</v>
      </c>
      <c r="J11" s="205" t="s">
        <v>89</v>
      </c>
      <c r="K11" s="204"/>
      <c r="L11" s="204"/>
    </row>
    <row r="12" spans="1:12" ht="49.5" customHeight="1" x14ac:dyDescent="0.25">
      <c r="A12" s="204"/>
      <c r="B12" s="206">
        <v>1</v>
      </c>
      <c r="C12" s="207" t="s">
        <v>90</v>
      </c>
      <c r="D12" s="208"/>
      <c r="E12" s="209"/>
      <c r="F12" s="229">
        <v>29.651639200000002</v>
      </c>
      <c r="G12" s="230"/>
      <c r="H12" s="210">
        <v>605.40073559999996</v>
      </c>
      <c r="I12" s="210"/>
      <c r="J12" s="211">
        <v>635.05237480000005</v>
      </c>
      <c r="K12" s="204"/>
      <c r="L12" s="204"/>
    </row>
    <row r="13" spans="1:12" ht="15.75" customHeight="1" x14ac:dyDescent="0.25">
      <c r="A13" s="204"/>
      <c r="B13" s="225" t="s">
        <v>91</v>
      </c>
      <c r="C13" s="225"/>
      <c r="D13" s="225"/>
      <c r="E13" s="225"/>
      <c r="F13" s="226">
        <v>29.651639200000002</v>
      </c>
      <c r="G13" s="227"/>
      <c r="H13" s="212">
        <v>605.40073559999996</v>
      </c>
      <c r="I13" s="212"/>
      <c r="J13" s="212">
        <v>635.05237480000005</v>
      </c>
      <c r="K13" s="204"/>
      <c r="L13" s="204"/>
    </row>
    <row r="14" spans="1:12" ht="28.5" customHeight="1" x14ac:dyDescent="0.25">
      <c r="A14" s="204"/>
      <c r="B14" s="225" t="s">
        <v>92</v>
      </c>
      <c r="C14" s="225"/>
      <c r="D14" s="225"/>
      <c r="E14" s="225"/>
      <c r="F14" s="226">
        <v>29.651639200000002</v>
      </c>
      <c r="G14" s="227"/>
      <c r="H14" s="212">
        <v>605.40073559999996</v>
      </c>
      <c r="I14" s="212"/>
      <c r="J14" s="212">
        <v>635.05237480000005</v>
      </c>
      <c r="K14" s="204"/>
      <c r="L14" s="204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zoomScale="55" zoomScaleSheetLayoutView="55" workbookViewId="0">
      <selection activeCell="E177" sqref="E177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10" width="9.140625" style="113"/>
    <col min="11" max="11" width="15" style="113" customWidth="1"/>
    <col min="12" max="12" width="9.140625" style="113"/>
  </cols>
  <sheetData>
    <row r="2" spans="1:13" x14ac:dyDescent="0.25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</row>
    <row r="3" spans="1:13" x14ac:dyDescent="0.25">
      <c r="A3" s="221" t="s">
        <v>94</v>
      </c>
      <c r="B3" s="221"/>
      <c r="C3" s="221"/>
      <c r="D3" s="221"/>
      <c r="E3" s="221"/>
      <c r="F3" s="221"/>
      <c r="G3" s="221"/>
      <c r="H3" s="221"/>
    </row>
    <row r="4" spans="1:13" x14ac:dyDescent="0.25">
      <c r="A4" s="222" t="s">
        <v>95</v>
      </c>
      <c r="B4" s="222"/>
      <c r="C4" s="222"/>
      <c r="D4" s="222"/>
      <c r="E4" s="222"/>
      <c r="F4" s="222"/>
      <c r="G4" s="222"/>
      <c r="H4" s="222"/>
    </row>
    <row r="5" spans="1:13" ht="18.75" customHeight="1" x14ac:dyDescent="0.25">
      <c r="A5" s="189"/>
      <c r="B5" s="189"/>
      <c r="C5" s="232" t="s">
        <v>96</v>
      </c>
      <c r="D5" s="232"/>
      <c r="E5" s="232"/>
      <c r="F5" s="232"/>
      <c r="G5" s="232"/>
      <c r="H5" s="232"/>
    </row>
    <row r="6" spans="1:13" x14ac:dyDescent="0.25">
      <c r="A6" s="150"/>
    </row>
    <row r="7" spans="1:13" x14ac:dyDescent="0.25">
      <c r="A7" s="231" t="s">
        <v>97</v>
      </c>
      <c r="B7" s="231"/>
      <c r="C7" s="231"/>
      <c r="D7" s="231"/>
      <c r="E7" s="231"/>
      <c r="F7" s="231"/>
      <c r="G7" s="231"/>
      <c r="H7" s="231"/>
    </row>
    <row r="8" spans="1:13" x14ac:dyDescent="0.25">
      <c r="A8" s="160"/>
      <c r="B8" s="160"/>
      <c r="C8" s="160"/>
      <c r="D8" s="160"/>
      <c r="E8" s="160"/>
      <c r="F8" s="160"/>
      <c r="G8" s="160"/>
      <c r="H8" s="160"/>
    </row>
    <row r="9" spans="1:13" ht="38.25" customHeight="1" x14ac:dyDescent="0.25">
      <c r="A9" s="228" t="s">
        <v>98</v>
      </c>
      <c r="B9" s="228" t="s">
        <v>99</v>
      </c>
      <c r="C9" s="228" t="s">
        <v>100</v>
      </c>
      <c r="D9" s="228" t="s">
        <v>101</v>
      </c>
      <c r="E9" s="228" t="s">
        <v>102</v>
      </c>
      <c r="F9" s="228" t="s">
        <v>103</v>
      </c>
      <c r="G9" s="228" t="s">
        <v>104</v>
      </c>
      <c r="H9" s="228"/>
    </row>
    <row r="10" spans="1:13" ht="40.700000000000003" customHeight="1" x14ac:dyDescent="0.25">
      <c r="A10" s="228"/>
      <c r="B10" s="228"/>
      <c r="C10" s="228"/>
      <c r="D10" s="228"/>
      <c r="E10" s="228"/>
      <c r="F10" s="228"/>
      <c r="G10" s="117" t="s">
        <v>105</v>
      </c>
      <c r="H10" s="117" t="s">
        <v>106</v>
      </c>
    </row>
    <row r="11" spans="1:13" x14ac:dyDescent="0.25">
      <c r="A11" s="166">
        <v>1</v>
      </c>
      <c r="B11" s="166"/>
      <c r="C11" s="166">
        <v>2</v>
      </c>
      <c r="D11" s="166" t="s">
        <v>107</v>
      </c>
      <c r="E11" s="166">
        <v>4</v>
      </c>
      <c r="F11" s="166">
        <v>5</v>
      </c>
      <c r="G11" s="166">
        <v>6</v>
      </c>
      <c r="H11" s="166">
        <v>7</v>
      </c>
    </row>
    <row r="12" spans="1:13" s="162" customFormat="1" x14ac:dyDescent="0.25">
      <c r="A12" s="234" t="s">
        <v>108</v>
      </c>
      <c r="B12" s="235"/>
      <c r="C12" s="236"/>
      <c r="D12" s="236"/>
      <c r="E12" s="235"/>
      <c r="F12" s="185">
        <f>SUM(F13:F15)</f>
        <v>272.39</v>
      </c>
      <c r="G12" s="10"/>
      <c r="H12" s="185">
        <f>SUM(H13:H15)</f>
        <v>2741.87</v>
      </c>
    </row>
    <row r="13" spans="1:13" x14ac:dyDescent="0.25">
      <c r="A13" s="180">
        <v>1</v>
      </c>
      <c r="B13" s="165"/>
      <c r="C13" s="182" t="s">
        <v>109</v>
      </c>
      <c r="D13" s="181" t="s">
        <v>110</v>
      </c>
      <c r="E13" s="180" t="s">
        <v>111</v>
      </c>
      <c r="F13" s="188">
        <v>174</v>
      </c>
      <c r="G13" s="179">
        <v>10.35</v>
      </c>
      <c r="H13" s="179">
        <f>ROUND(F13*G13,2)</f>
        <v>1800.9</v>
      </c>
      <c r="M13" s="190">
        <f>(SUM(K13:K15)/F12)</f>
        <v>0</v>
      </c>
    </row>
    <row r="14" spans="1:13" x14ac:dyDescent="0.25">
      <c r="A14" s="180">
        <v>2</v>
      </c>
      <c r="B14" s="165"/>
      <c r="C14" s="182" t="s">
        <v>112</v>
      </c>
      <c r="D14" s="181" t="s">
        <v>113</v>
      </c>
      <c r="E14" s="180" t="s">
        <v>111</v>
      </c>
      <c r="F14" s="188">
        <v>93.3</v>
      </c>
      <c r="G14" s="179">
        <v>9.6199999999999992</v>
      </c>
      <c r="H14" s="179">
        <f>ROUND(F14*G14,2)</f>
        <v>897.55</v>
      </c>
    </row>
    <row r="15" spans="1:13" x14ac:dyDescent="0.25">
      <c r="A15" s="180">
        <v>3</v>
      </c>
      <c r="B15" s="165"/>
      <c r="C15" s="182" t="s">
        <v>114</v>
      </c>
      <c r="D15" s="181" t="s">
        <v>115</v>
      </c>
      <c r="E15" s="180" t="s">
        <v>111</v>
      </c>
      <c r="F15" s="188">
        <v>5.09</v>
      </c>
      <c r="G15" s="179">
        <v>8.5299999999999994</v>
      </c>
      <c r="H15" s="179">
        <f>ROUND(F15*G15,2)</f>
        <v>43.42</v>
      </c>
    </row>
    <row r="16" spans="1:13" x14ac:dyDescent="0.25">
      <c r="A16" s="233" t="s">
        <v>116</v>
      </c>
      <c r="B16" s="233"/>
      <c r="C16" s="233"/>
      <c r="D16" s="233"/>
      <c r="E16" s="233"/>
      <c r="F16" s="164"/>
      <c r="G16" s="163"/>
      <c r="H16" s="185">
        <f>H17</f>
        <v>143.49</v>
      </c>
    </row>
    <row r="17" spans="1:12" x14ac:dyDescent="0.25">
      <c r="A17" s="180">
        <v>4</v>
      </c>
      <c r="B17" s="161"/>
      <c r="C17" s="182">
        <v>2</v>
      </c>
      <c r="D17" s="181" t="s">
        <v>117</v>
      </c>
      <c r="E17" s="180" t="s">
        <v>111</v>
      </c>
      <c r="F17" s="188">
        <v>13.2</v>
      </c>
      <c r="G17" s="179"/>
      <c r="H17" s="187">
        <v>143.49</v>
      </c>
    </row>
    <row r="18" spans="1:12" s="162" customFormat="1" x14ac:dyDescent="0.25">
      <c r="A18" s="234" t="s">
        <v>118</v>
      </c>
      <c r="B18" s="235"/>
      <c r="C18" s="236"/>
      <c r="D18" s="236"/>
      <c r="E18" s="235"/>
      <c r="F18" s="164"/>
      <c r="G18" s="163"/>
      <c r="H18" s="185">
        <f>SUM(H19:H23)</f>
        <v>1263.6099999999999</v>
      </c>
    </row>
    <row r="19" spans="1:12" x14ac:dyDescent="0.25">
      <c r="A19" s="180">
        <v>5</v>
      </c>
      <c r="B19" s="161"/>
      <c r="C19" s="182" t="s">
        <v>119</v>
      </c>
      <c r="D19" s="181" t="s">
        <v>120</v>
      </c>
      <c r="E19" s="180" t="s">
        <v>121</v>
      </c>
      <c r="F19" s="180">
        <v>8.7200000000000006</v>
      </c>
      <c r="G19" s="186">
        <v>89.99</v>
      </c>
      <c r="H19" s="179">
        <f>ROUND(F19*G19,2)</f>
        <v>784.71</v>
      </c>
      <c r="I19" s="184"/>
      <c r="J19" s="184"/>
      <c r="L19" s="184"/>
    </row>
    <row r="20" spans="1:12" s="162" customFormat="1" ht="25.5" customHeight="1" x14ac:dyDescent="0.25">
      <c r="A20" s="180">
        <v>6</v>
      </c>
      <c r="B20" s="161"/>
      <c r="C20" s="182" t="s">
        <v>122</v>
      </c>
      <c r="D20" s="181" t="s">
        <v>123</v>
      </c>
      <c r="E20" s="180" t="s">
        <v>121</v>
      </c>
      <c r="F20" s="180">
        <v>2</v>
      </c>
      <c r="G20" s="186">
        <v>111.99</v>
      </c>
      <c r="H20" s="179">
        <f>ROUND(F20*G20,2)</f>
        <v>223.98</v>
      </c>
      <c r="I20" s="184"/>
      <c r="J20" s="184"/>
      <c r="L20" s="184"/>
    </row>
    <row r="21" spans="1:12" x14ac:dyDescent="0.25">
      <c r="A21" s="180">
        <v>7</v>
      </c>
      <c r="B21" s="161"/>
      <c r="C21" s="182" t="s">
        <v>124</v>
      </c>
      <c r="D21" s="181" t="s">
        <v>125</v>
      </c>
      <c r="E21" s="180" t="s">
        <v>121</v>
      </c>
      <c r="F21" s="180">
        <v>2.48</v>
      </c>
      <c r="G21" s="186">
        <v>65.709999999999994</v>
      </c>
      <c r="H21" s="179">
        <f>ROUND(F21*G21,2)</f>
        <v>162.96</v>
      </c>
      <c r="I21" s="184"/>
      <c r="J21" s="184"/>
      <c r="L21" s="184"/>
    </row>
    <row r="22" spans="1:12" ht="25.5" customHeight="1" x14ac:dyDescent="0.25">
      <c r="A22" s="180">
        <v>8</v>
      </c>
      <c r="B22" s="161"/>
      <c r="C22" s="182" t="s">
        <v>126</v>
      </c>
      <c r="D22" s="181" t="s">
        <v>127</v>
      </c>
      <c r="E22" s="180" t="s">
        <v>121</v>
      </c>
      <c r="F22" s="180">
        <v>22</v>
      </c>
      <c r="G22" s="186">
        <v>3.28</v>
      </c>
      <c r="H22" s="179">
        <f>ROUND(F22*G22,2)</f>
        <v>72.16</v>
      </c>
      <c r="I22" s="184"/>
      <c r="J22" s="184"/>
      <c r="L22" s="184"/>
    </row>
    <row r="23" spans="1:12" x14ac:dyDescent="0.25">
      <c r="A23" s="180">
        <v>9</v>
      </c>
      <c r="B23" s="161"/>
      <c r="C23" s="182" t="s">
        <v>128</v>
      </c>
      <c r="D23" s="181" t="s">
        <v>129</v>
      </c>
      <c r="E23" s="180" t="s">
        <v>121</v>
      </c>
      <c r="F23" s="180">
        <v>22</v>
      </c>
      <c r="G23" s="186">
        <v>0.9</v>
      </c>
      <c r="H23" s="179">
        <f>ROUND(F23*G23,2)</f>
        <v>19.8</v>
      </c>
      <c r="I23" s="184"/>
      <c r="J23" s="184"/>
      <c r="L23" s="184"/>
    </row>
    <row r="24" spans="1:12" ht="15" customHeight="1" x14ac:dyDescent="0.25">
      <c r="A24" s="233" t="s">
        <v>43</v>
      </c>
      <c r="B24" s="233"/>
      <c r="C24" s="233"/>
      <c r="D24" s="233"/>
      <c r="E24" s="233"/>
      <c r="F24" s="10"/>
      <c r="G24" s="10"/>
      <c r="H24" s="185">
        <f>SUM(H25:H33)</f>
        <v>141448.76999999999</v>
      </c>
    </row>
    <row r="25" spans="1:12" ht="25.5" customHeight="1" x14ac:dyDescent="0.25">
      <c r="A25" s="183">
        <v>10</v>
      </c>
      <c r="B25" s="98"/>
      <c r="C25" s="182" t="s">
        <v>130</v>
      </c>
      <c r="D25" s="181" t="s">
        <v>131</v>
      </c>
      <c r="E25" s="180" t="s">
        <v>132</v>
      </c>
      <c r="F25" s="180">
        <v>1</v>
      </c>
      <c r="G25" s="179">
        <v>76833.2</v>
      </c>
      <c r="H25" s="179">
        <f t="shared" ref="H25:H33" si="0">ROUND(F25*G25,2)</f>
        <v>76833.2</v>
      </c>
      <c r="I25" s="176"/>
    </row>
    <row r="26" spans="1:12" ht="127.5" customHeight="1" x14ac:dyDescent="0.25">
      <c r="A26" s="183">
        <v>11</v>
      </c>
      <c r="B26" s="98"/>
      <c r="C26" s="182" t="s">
        <v>130</v>
      </c>
      <c r="D26" s="181" t="s">
        <v>133</v>
      </c>
      <c r="E26" s="180" t="s">
        <v>132</v>
      </c>
      <c r="F26" s="180">
        <v>1</v>
      </c>
      <c r="G26" s="179">
        <v>45724.79</v>
      </c>
      <c r="H26" s="179">
        <f t="shared" si="0"/>
        <v>45724.79</v>
      </c>
      <c r="I26" s="176"/>
    </row>
    <row r="27" spans="1:12" ht="25.5" customHeight="1" x14ac:dyDescent="0.25">
      <c r="A27" s="183">
        <v>12</v>
      </c>
      <c r="B27" s="98"/>
      <c r="C27" s="182" t="s">
        <v>130</v>
      </c>
      <c r="D27" s="181" t="s">
        <v>134</v>
      </c>
      <c r="E27" s="180" t="s">
        <v>132</v>
      </c>
      <c r="F27" s="180">
        <v>1</v>
      </c>
      <c r="G27" s="179">
        <v>12353.19</v>
      </c>
      <c r="H27" s="179">
        <f t="shared" si="0"/>
        <v>12353.19</v>
      </c>
      <c r="I27" s="176"/>
    </row>
    <row r="28" spans="1:12" ht="25.5" customHeight="1" x14ac:dyDescent="0.25">
      <c r="A28" s="183">
        <v>13</v>
      </c>
      <c r="B28" s="98"/>
      <c r="C28" s="182" t="s">
        <v>130</v>
      </c>
      <c r="D28" s="181" t="s">
        <v>135</v>
      </c>
      <c r="E28" s="180" t="s">
        <v>132</v>
      </c>
      <c r="F28" s="180">
        <v>1</v>
      </c>
      <c r="G28" s="179">
        <v>2858.19</v>
      </c>
      <c r="H28" s="179">
        <f t="shared" si="0"/>
        <v>2858.19</v>
      </c>
      <c r="I28" s="176"/>
    </row>
    <row r="29" spans="1:12" ht="15" customHeight="1" x14ac:dyDescent="0.25">
      <c r="A29" s="183">
        <v>14</v>
      </c>
      <c r="B29" s="98"/>
      <c r="C29" s="182" t="s">
        <v>130</v>
      </c>
      <c r="D29" s="181" t="s">
        <v>136</v>
      </c>
      <c r="E29" s="180" t="s">
        <v>132</v>
      </c>
      <c r="F29" s="180">
        <v>1</v>
      </c>
      <c r="G29" s="179">
        <v>1914.21</v>
      </c>
      <c r="H29" s="179">
        <f t="shared" si="0"/>
        <v>1914.21</v>
      </c>
      <c r="I29" s="176"/>
    </row>
    <row r="30" spans="1:12" ht="15" customHeight="1" x14ac:dyDescent="0.25">
      <c r="A30" s="183">
        <v>15</v>
      </c>
      <c r="B30" s="98"/>
      <c r="C30" s="182" t="s">
        <v>130</v>
      </c>
      <c r="D30" s="181" t="s">
        <v>137</v>
      </c>
      <c r="E30" s="180" t="s">
        <v>132</v>
      </c>
      <c r="F30" s="180">
        <v>1</v>
      </c>
      <c r="G30" s="179">
        <v>761.5</v>
      </c>
      <c r="H30" s="179">
        <f t="shared" si="0"/>
        <v>761.5</v>
      </c>
      <c r="I30" s="176"/>
    </row>
    <row r="31" spans="1:12" ht="15" customHeight="1" x14ac:dyDescent="0.25">
      <c r="A31" s="183">
        <v>16</v>
      </c>
      <c r="B31" s="98"/>
      <c r="C31" s="182" t="s">
        <v>130</v>
      </c>
      <c r="D31" s="181" t="s">
        <v>138</v>
      </c>
      <c r="E31" s="180" t="s">
        <v>132</v>
      </c>
      <c r="F31" s="180">
        <v>1</v>
      </c>
      <c r="G31" s="179">
        <v>506.76</v>
      </c>
      <c r="H31" s="179">
        <f t="shared" si="0"/>
        <v>506.76</v>
      </c>
      <c r="I31" s="176"/>
    </row>
    <row r="32" spans="1:12" ht="15" customHeight="1" x14ac:dyDescent="0.25">
      <c r="A32" s="183">
        <v>17</v>
      </c>
      <c r="B32" s="98"/>
      <c r="C32" s="182" t="s">
        <v>130</v>
      </c>
      <c r="D32" s="181" t="s">
        <v>139</v>
      </c>
      <c r="E32" s="180" t="s">
        <v>132</v>
      </c>
      <c r="F32" s="180">
        <v>1</v>
      </c>
      <c r="G32" s="179">
        <v>358.48</v>
      </c>
      <c r="H32" s="179">
        <f t="shared" si="0"/>
        <v>358.48</v>
      </c>
      <c r="I32" s="176"/>
    </row>
    <row r="33" spans="1:11" ht="15" customHeight="1" x14ac:dyDescent="0.25">
      <c r="A33" s="183">
        <v>18</v>
      </c>
      <c r="B33" s="98"/>
      <c r="C33" s="182" t="s">
        <v>130</v>
      </c>
      <c r="D33" s="181" t="s">
        <v>140</v>
      </c>
      <c r="E33" s="180" t="s">
        <v>132</v>
      </c>
      <c r="F33" s="180">
        <v>1</v>
      </c>
      <c r="G33" s="179">
        <v>138.44999999999999</v>
      </c>
      <c r="H33" s="179">
        <f t="shared" si="0"/>
        <v>138.44999999999999</v>
      </c>
      <c r="I33" s="176"/>
    </row>
    <row r="34" spans="1:11" x14ac:dyDescent="0.25">
      <c r="A34" s="234" t="s">
        <v>141</v>
      </c>
      <c r="B34" s="235"/>
      <c r="C34" s="236"/>
      <c r="D34" s="236"/>
      <c r="E34" s="235"/>
      <c r="F34" s="164"/>
      <c r="G34" s="163"/>
      <c r="H34" s="185">
        <f>SUM(H36:H41)</f>
        <v>285.64</v>
      </c>
    </row>
    <row r="35" spans="1:11" ht="15" customHeight="1" x14ac:dyDescent="0.25">
      <c r="A35" s="183">
        <v>19</v>
      </c>
      <c r="B35" s="98"/>
      <c r="C35" s="182" t="s">
        <v>142</v>
      </c>
      <c r="D35" s="181" t="s">
        <v>143</v>
      </c>
      <c r="E35" s="180" t="s">
        <v>144</v>
      </c>
      <c r="F35" s="180">
        <v>1</v>
      </c>
      <c r="G35" s="179">
        <v>8830.6299999999992</v>
      </c>
      <c r="H35" s="179">
        <f t="shared" ref="H35:H41" si="1">ROUND(F35*G35,2)</f>
        <v>8830.6299999999992</v>
      </c>
      <c r="I35" s="176"/>
    </row>
    <row r="36" spans="1:11" ht="25.5" customHeight="1" x14ac:dyDescent="0.25">
      <c r="A36" s="183">
        <v>20</v>
      </c>
      <c r="B36" s="161"/>
      <c r="C36" s="182" t="s">
        <v>145</v>
      </c>
      <c r="D36" s="181" t="s">
        <v>146</v>
      </c>
      <c r="E36" s="180" t="s">
        <v>147</v>
      </c>
      <c r="F36" s="180">
        <v>2.7320000000000001E-3</v>
      </c>
      <c r="G36" s="179">
        <v>68050</v>
      </c>
      <c r="H36" s="179">
        <f t="shared" si="1"/>
        <v>185.91</v>
      </c>
      <c r="I36" s="176"/>
      <c r="J36" s="184"/>
      <c r="K36" s="184"/>
    </row>
    <row r="37" spans="1:11" x14ac:dyDescent="0.25">
      <c r="A37" s="183">
        <v>21</v>
      </c>
      <c r="B37" s="161"/>
      <c r="C37" s="182" t="s">
        <v>148</v>
      </c>
      <c r="D37" s="181" t="s">
        <v>149</v>
      </c>
      <c r="E37" s="180" t="s">
        <v>147</v>
      </c>
      <c r="F37" s="180">
        <v>7.1999999999999998E-3</v>
      </c>
      <c r="G37" s="179">
        <v>7826.9</v>
      </c>
      <c r="H37" s="179">
        <f t="shared" si="1"/>
        <v>56.35</v>
      </c>
      <c r="I37" s="176"/>
      <c r="J37" s="184"/>
      <c r="K37" s="184"/>
    </row>
    <row r="38" spans="1:11" x14ac:dyDescent="0.25">
      <c r="A38" s="183">
        <v>22</v>
      </c>
      <c r="B38" s="161"/>
      <c r="C38" s="182" t="s">
        <v>150</v>
      </c>
      <c r="D38" s="181" t="s">
        <v>151</v>
      </c>
      <c r="E38" s="180" t="s">
        <v>152</v>
      </c>
      <c r="F38" s="180">
        <v>0.245</v>
      </c>
      <c r="G38" s="179">
        <v>120</v>
      </c>
      <c r="H38" s="179">
        <f t="shared" si="1"/>
        <v>29.4</v>
      </c>
      <c r="I38" s="176"/>
      <c r="J38" s="184"/>
      <c r="K38" s="184"/>
    </row>
    <row r="39" spans="1:11" x14ac:dyDescent="0.25">
      <c r="A39" s="183">
        <v>23</v>
      </c>
      <c r="B39" s="161"/>
      <c r="C39" s="182" t="s">
        <v>153</v>
      </c>
      <c r="D39" s="181" t="s">
        <v>154</v>
      </c>
      <c r="E39" s="180" t="s">
        <v>147</v>
      </c>
      <c r="F39" s="180">
        <v>1.1000000000000001E-3</v>
      </c>
      <c r="G39" s="179">
        <v>12430</v>
      </c>
      <c r="H39" s="179">
        <f t="shared" si="1"/>
        <v>13.67</v>
      </c>
      <c r="I39" s="176"/>
      <c r="J39" s="184"/>
    </row>
    <row r="40" spans="1:11" x14ac:dyDescent="0.25">
      <c r="A40" s="183">
        <v>24</v>
      </c>
      <c r="B40" s="161"/>
      <c r="C40" s="182" t="s">
        <v>155</v>
      </c>
      <c r="D40" s="181" t="s">
        <v>156</v>
      </c>
      <c r="E40" s="180" t="s">
        <v>157</v>
      </c>
      <c r="F40" s="180">
        <v>1.9E-3</v>
      </c>
      <c r="G40" s="179">
        <v>155</v>
      </c>
      <c r="H40" s="179">
        <f t="shared" si="1"/>
        <v>0.28999999999999998</v>
      </c>
      <c r="I40" s="176"/>
      <c r="J40" s="184"/>
    </row>
    <row r="41" spans="1:11" ht="38.25" customHeight="1" x14ac:dyDescent="0.25">
      <c r="A41" s="183">
        <v>25</v>
      </c>
      <c r="B41" s="161"/>
      <c r="C41" s="182" t="s">
        <v>158</v>
      </c>
      <c r="D41" s="181" t="s">
        <v>159</v>
      </c>
      <c r="E41" s="180" t="s">
        <v>157</v>
      </c>
      <c r="F41" s="180">
        <v>2.0000000000000001E-4</v>
      </c>
      <c r="G41" s="179">
        <v>91.29</v>
      </c>
      <c r="H41" s="179">
        <f t="shared" si="1"/>
        <v>0.02</v>
      </c>
      <c r="I41" s="176"/>
      <c r="J41" s="184"/>
    </row>
    <row r="44" spans="1:11" x14ac:dyDescent="0.25">
      <c r="B44" s="113" t="s">
        <v>93</v>
      </c>
    </row>
    <row r="45" spans="1:11" x14ac:dyDescent="0.25">
      <c r="B45" s="151" t="s">
        <v>77</v>
      </c>
    </row>
    <row r="47" spans="1:11" x14ac:dyDescent="0.25">
      <c r="B47" s="113" t="s">
        <v>78</v>
      </c>
    </row>
    <row r="48" spans="1:11" x14ac:dyDescent="0.25">
      <c r="B48" s="151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7" workbookViewId="0">
      <selection activeCell="E58" sqref="E58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4" t="s">
        <v>161</v>
      </c>
      <c r="C5" s="214"/>
      <c r="D5" s="214"/>
      <c r="E5" s="214"/>
    </row>
    <row r="6" spans="2:5" x14ac:dyDescent="0.25">
      <c r="B6" s="174"/>
      <c r="C6" s="4"/>
      <c r="D6" s="4"/>
      <c r="E6" s="4"/>
    </row>
    <row r="7" spans="2:5" ht="25.5" customHeight="1" x14ac:dyDescent="0.25">
      <c r="B7" s="237" t="s">
        <v>162</v>
      </c>
      <c r="C7" s="237"/>
      <c r="D7" s="237"/>
      <c r="E7" s="237"/>
    </row>
    <row r="8" spans="2:5" x14ac:dyDescent="0.25">
      <c r="B8" s="238" t="s">
        <v>50</v>
      </c>
      <c r="C8" s="238"/>
      <c r="D8" s="238"/>
      <c r="E8" s="238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163</v>
      </c>
      <c r="C10" s="2" t="s">
        <v>164</v>
      </c>
      <c r="D10" s="2" t="s">
        <v>165</v>
      </c>
      <c r="E10" s="2" t="s">
        <v>166</v>
      </c>
    </row>
    <row r="11" spans="2:5" x14ac:dyDescent="0.25">
      <c r="B11" s="99" t="s">
        <v>167</v>
      </c>
      <c r="C11" s="168">
        <f>'Прил.5 Расчет СМР и ОБ'!J14</f>
        <v>126544.97</v>
      </c>
      <c r="D11" s="169">
        <f t="shared" ref="D11:D18" si="0">C11/$C$24</f>
        <v>0.29646733937479147</v>
      </c>
      <c r="E11" s="169">
        <f t="shared" ref="E11:E18" si="1">C11/$C$40</f>
        <v>8.6015293236600482E-2</v>
      </c>
    </row>
    <row r="12" spans="2:5" x14ac:dyDescent="0.25">
      <c r="B12" s="99" t="s">
        <v>168</v>
      </c>
      <c r="C12" s="168">
        <f>'Прил.5 Расчет СМР и ОБ'!J22</f>
        <v>15782.210000000001</v>
      </c>
      <c r="D12" s="169">
        <f t="shared" si="0"/>
        <v>3.6974285174307821E-2</v>
      </c>
      <c r="E12" s="169">
        <f t="shared" si="1"/>
        <v>1.0727502018228054E-2</v>
      </c>
    </row>
    <row r="13" spans="2:5" x14ac:dyDescent="0.25">
      <c r="B13" s="99" t="s">
        <v>169</v>
      </c>
      <c r="C13" s="168">
        <f>'Прил.5 Расчет СМР и ОБ'!J25</f>
        <v>1238.5999999999999</v>
      </c>
      <c r="D13" s="169">
        <f t="shared" si="0"/>
        <v>2.9017703868404782E-3</v>
      </c>
      <c r="E13" s="169">
        <f t="shared" si="1"/>
        <v>8.4190262325601207E-4</v>
      </c>
    </row>
    <row r="14" spans="2:5" x14ac:dyDescent="0.25">
      <c r="B14" s="99" t="s">
        <v>170</v>
      </c>
      <c r="C14" s="168">
        <f>C13+C12</f>
        <v>17020.810000000001</v>
      </c>
      <c r="D14" s="169">
        <f t="shared" si="0"/>
        <v>3.9876055561148302E-2</v>
      </c>
      <c r="E14" s="169">
        <f t="shared" si="1"/>
        <v>1.1569404641484066E-2</v>
      </c>
    </row>
    <row r="15" spans="2:5" x14ac:dyDescent="0.25">
      <c r="B15" s="99" t="s">
        <v>171</v>
      </c>
      <c r="C15" s="168">
        <f>'Прил.5 Расчет СМР и ОБ'!J16</f>
        <v>6355.14</v>
      </c>
      <c r="D15" s="169">
        <f t="shared" si="0"/>
        <v>1.4888710686440657E-2</v>
      </c>
      <c r="E15" s="169">
        <f t="shared" si="1"/>
        <v>4.3197231044398623E-3</v>
      </c>
    </row>
    <row r="16" spans="2:5" x14ac:dyDescent="0.25">
      <c r="B16" s="99" t="s">
        <v>172</v>
      </c>
      <c r="C16" s="168">
        <f>'Прил.5 Расчет СМР и ОБ'!J45</f>
        <v>70998.27</v>
      </c>
      <c r="D16" s="169">
        <f t="shared" si="0"/>
        <v>0.16633350347400674</v>
      </c>
      <c r="E16" s="169">
        <f t="shared" si="1"/>
        <v>4.8259026125979841E-2</v>
      </c>
    </row>
    <row r="17" spans="2:7" x14ac:dyDescent="0.25">
      <c r="B17" s="99" t="s">
        <v>173</v>
      </c>
      <c r="C17" s="168">
        <f>'Прил.5 Расчет СМР и ОБ'!J52</f>
        <v>2296.6499999999996</v>
      </c>
      <c r="D17" s="169">
        <f t="shared" si="0"/>
        <v>5.380551395880174E-3</v>
      </c>
      <c r="E17" s="169">
        <f t="shared" si="1"/>
        <v>1.5610815918786693E-3</v>
      </c>
      <c r="G17" s="173"/>
    </row>
    <row r="18" spans="2:7" x14ac:dyDescent="0.25">
      <c r="B18" s="99" t="s">
        <v>174</v>
      </c>
      <c r="C18" s="168">
        <f>C17+C16</f>
        <v>73294.92</v>
      </c>
      <c r="D18" s="169">
        <f t="shared" si="0"/>
        <v>0.17171405486988689</v>
      </c>
      <c r="E18" s="169">
        <f t="shared" si="1"/>
        <v>4.9820107717858504E-2</v>
      </c>
    </row>
    <row r="19" spans="2:7" x14ac:dyDescent="0.25">
      <c r="B19" s="99" t="s">
        <v>175</v>
      </c>
      <c r="C19" s="168">
        <f>C18+C14+C11</f>
        <v>216860.7</v>
      </c>
      <c r="D19" s="169"/>
      <c r="E19" s="99"/>
    </row>
    <row r="20" spans="2:7" x14ac:dyDescent="0.25">
      <c r="B20" s="99" t="s">
        <v>176</v>
      </c>
      <c r="C20" s="168">
        <f>ROUND(C21*(C11+C15),2)</f>
        <v>86385.07</v>
      </c>
      <c r="D20" s="169">
        <f>C20/$C$24</f>
        <v>0.20238142902562717</v>
      </c>
      <c r="E20" s="169">
        <f>C20/$C$40</f>
        <v>5.8717759602094494E-2</v>
      </c>
    </row>
    <row r="21" spans="2:7" x14ac:dyDescent="0.25">
      <c r="B21" s="99" t="s">
        <v>177</v>
      </c>
      <c r="C21" s="172">
        <f>'Прил.5 Расчет СМР и ОБ'!D56</f>
        <v>0.65</v>
      </c>
      <c r="D21" s="169"/>
      <c r="E21" s="99"/>
    </row>
    <row r="22" spans="2:7" x14ac:dyDescent="0.25">
      <c r="B22" s="99" t="s">
        <v>178</v>
      </c>
      <c r="C22" s="168">
        <f>ROUND(C23*(C11+C15),2)</f>
        <v>123597.1</v>
      </c>
      <c r="D22" s="169">
        <f>C22/$C$24</f>
        <v>0.28956112116854621</v>
      </c>
      <c r="E22" s="169">
        <f>C22/$C$40</f>
        <v>8.4011563633808864E-2</v>
      </c>
    </row>
    <row r="23" spans="2:7" x14ac:dyDescent="0.25">
      <c r="B23" s="99" t="s">
        <v>179</v>
      </c>
      <c r="C23" s="172">
        <f>'Прил.5 Расчет СМР и ОБ'!D55</f>
        <v>0.93</v>
      </c>
      <c r="D23" s="169"/>
      <c r="E23" s="99"/>
    </row>
    <row r="24" spans="2:7" x14ac:dyDescent="0.25">
      <c r="B24" s="99" t="s">
        <v>180</v>
      </c>
      <c r="C24" s="168">
        <f>C19+C20+C22</f>
        <v>426842.87</v>
      </c>
      <c r="D24" s="169">
        <f>C24/$C$24</f>
        <v>1</v>
      </c>
      <c r="E24" s="169">
        <f>C24/$C$40</f>
        <v>0.29013412883184642</v>
      </c>
    </row>
    <row r="25" spans="2:7" ht="25.5" customHeight="1" x14ac:dyDescent="0.25">
      <c r="B25" s="99" t="s">
        <v>181</v>
      </c>
      <c r="C25" s="168">
        <f>'Прил.5 Расчет СМР и ОБ'!J40</f>
        <v>885469.3</v>
      </c>
      <c r="D25" s="169"/>
      <c r="E25" s="169">
        <f>C25/$C$40</f>
        <v>0.60187221579417471</v>
      </c>
    </row>
    <row r="26" spans="2:7" ht="25.5" customHeight="1" x14ac:dyDescent="0.25">
      <c r="B26" s="99" t="s">
        <v>182</v>
      </c>
      <c r="C26" s="168">
        <f>'Прил.5 Расчет СМР и ОБ'!J41</f>
        <v>885469.3</v>
      </c>
      <c r="D26" s="169"/>
      <c r="E26" s="169">
        <f>C26/$C$40</f>
        <v>0.60187221579417471</v>
      </c>
    </row>
    <row r="27" spans="2:7" x14ac:dyDescent="0.25">
      <c r="B27" s="99" t="s">
        <v>183</v>
      </c>
      <c r="C27" s="171">
        <f>C24+C25</f>
        <v>1312312.17</v>
      </c>
      <c r="D27" s="169"/>
      <c r="E27" s="169">
        <f>C27/$C$40</f>
        <v>0.89200634462602102</v>
      </c>
    </row>
    <row r="28" spans="2:7" ht="33" customHeight="1" x14ac:dyDescent="0.25">
      <c r="B28" s="99" t="s">
        <v>184</v>
      </c>
      <c r="C28" s="99"/>
      <c r="D28" s="99"/>
      <c r="E28" s="99"/>
      <c r="F28" s="170"/>
    </row>
    <row r="29" spans="2:7" ht="25.5" customHeight="1" x14ac:dyDescent="0.25">
      <c r="B29" s="99" t="s">
        <v>185</v>
      </c>
      <c r="C29" s="171">
        <f>ROUND(C24*3.9%,2)</f>
        <v>16646.87</v>
      </c>
      <c r="D29" s="99"/>
      <c r="E29" s="169">
        <f t="shared" ref="E29:E38" si="2">C29/$C$40</f>
        <v>1.1315229712580178E-2</v>
      </c>
    </row>
    <row r="30" spans="2:7" ht="38.25" customHeight="1" x14ac:dyDescent="0.25">
      <c r="B30" s="99" t="s">
        <v>186</v>
      </c>
      <c r="C30" s="171">
        <f>ROUND((C24+C29)*2.1%,2)</f>
        <v>9313.2800000000007</v>
      </c>
      <c r="D30" s="99"/>
      <c r="E30" s="169">
        <f t="shared" si="2"/>
        <v>6.3304334434989128E-3</v>
      </c>
      <c r="F30" s="170"/>
    </row>
    <row r="31" spans="2:7" x14ac:dyDescent="0.25">
      <c r="B31" s="99" t="s">
        <v>187</v>
      </c>
      <c r="C31" s="171">
        <v>57410</v>
      </c>
      <c r="D31" s="99"/>
      <c r="E31" s="169">
        <f t="shared" si="2"/>
        <v>3.9022791539744597E-2</v>
      </c>
    </row>
    <row r="32" spans="2:7" ht="25.5" customHeight="1" x14ac:dyDescent="0.25">
      <c r="B32" s="99" t="s">
        <v>188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189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190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191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192</v>
      </c>
      <c r="C36" s="171">
        <f>ROUND((C27+C32+C33+C34+C35+C29+C31+C30)*2.14%,2)</f>
        <v>29867.599999999999</v>
      </c>
      <c r="D36" s="99"/>
      <c r="E36" s="169">
        <f t="shared" si="2"/>
        <v>2.0301639585307011E-2</v>
      </c>
      <c r="L36" s="170"/>
    </row>
    <row r="37" spans="2:12" x14ac:dyDescent="0.25">
      <c r="B37" s="99" t="s">
        <v>193</v>
      </c>
      <c r="C37" s="171">
        <f>ROUND((C27+C32+C33+C34+C35+C29+C31+C30)*0.2%,2)</f>
        <v>2791.36</v>
      </c>
      <c r="D37" s="99"/>
      <c r="E37" s="169">
        <f t="shared" si="2"/>
        <v>1.8973464447375279E-3</v>
      </c>
      <c r="L37" s="170"/>
    </row>
    <row r="38" spans="2:12" ht="38.25" customHeight="1" x14ac:dyDescent="0.25">
      <c r="B38" s="99" t="s">
        <v>194</v>
      </c>
      <c r="C38" s="168">
        <f>C27+C32+C33+C34+C35+C29+C31+C30+C36+C37</f>
        <v>1428341.2800000003</v>
      </c>
      <c r="D38" s="99"/>
      <c r="E38" s="169">
        <f t="shared" si="2"/>
        <v>0.97087378535188951</v>
      </c>
    </row>
    <row r="39" spans="2:12" ht="13.7" customHeight="1" x14ac:dyDescent="0.25">
      <c r="B39" s="99" t="s">
        <v>195</v>
      </c>
      <c r="C39" s="168">
        <f>ROUND(C38*3%,2)</f>
        <v>42850.239999999998</v>
      </c>
      <c r="D39" s="99"/>
      <c r="E39" s="169">
        <f>C39/$C$38</f>
        <v>3.0000001120180458E-2</v>
      </c>
    </row>
    <row r="40" spans="2:12" x14ac:dyDescent="0.25">
      <c r="B40" s="99" t="s">
        <v>196</v>
      </c>
      <c r="C40" s="168">
        <f>C39+C38</f>
        <v>1471191.5200000003</v>
      </c>
      <c r="D40" s="99"/>
      <c r="E40" s="169">
        <f>C40/$C$40</f>
        <v>1</v>
      </c>
    </row>
    <row r="41" spans="2:12" x14ac:dyDescent="0.25">
      <c r="B41" s="99" t="s">
        <v>197</v>
      </c>
      <c r="C41" s="168">
        <f>C40/'Прил.5 Расчет СМР и ОБ'!E59</f>
        <v>1471191.5200000003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198</v>
      </c>
      <c r="C43" s="4"/>
      <c r="D43" s="4"/>
      <c r="E43" s="4"/>
    </row>
    <row r="44" spans="2:12" x14ac:dyDescent="0.25">
      <c r="B44" s="167" t="s">
        <v>199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200</v>
      </c>
      <c r="C46" s="4"/>
      <c r="D46" s="4"/>
      <c r="E46" s="4"/>
    </row>
    <row r="47" spans="2:12" x14ac:dyDescent="0.25">
      <c r="B47" s="238" t="s">
        <v>201</v>
      </c>
      <c r="C47" s="23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70" zoomScaleSheetLayoutView="70" workbookViewId="0">
      <selection activeCell="U42" sqref="U4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3" t="s">
        <v>202</v>
      </c>
      <c r="I2" s="253"/>
      <c r="J2" s="25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4" t="s">
        <v>203</v>
      </c>
      <c r="B4" s="214"/>
      <c r="C4" s="214"/>
      <c r="D4" s="214"/>
      <c r="E4" s="214"/>
      <c r="F4" s="214"/>
      <c r="G4" s="214"/>
      <c r="H4" s="214"/>
      <c r="I4" s="214"/>
      <c r="J4" s="214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204</v>
      </c>
      <c r="B6" s="144"/>
      <c r="C6" s="144"/>
      <c r="D6" s="257" t="s">
        <v>205</v>
      </c>
      <c r="E6" s="257"/>
      <c r="F6" s="257"/>
      <c r="G6" s="257"/>
      <c r="H6" s="257"/>
      <c r="I6" s="257"/>
      <c r="J6" s="257"/>
    </row>
    <row r="7" spans="1:14" s="4" customFormat="1" ht="12.75" customHeight="1" x14ac:dyDescent="0.2">
      <c r="A7" s="217" t="s">
        <v>50</v>
      </c>
      <c r="B7" s="237"/>
      <c r="C7" s="237"/>
      <c r="D7" s="237"/>
      <c r="E7" s="237"/>
      <c r="F7" s="237"/>
      <c r="G7" s="237"/>
      <c r="H7" s="237"/>
      <c r="I7" s="43"/>
      <c r="J7" s="43"/>
    </row>
    <row r="8" spans="1:14" s="4" customFormat="1" ht="13.7" customHeight="1" x14ac:dyDescent="0.2">
      <c r="A8" s="217"/>
      <c r="B8" s="237"/>
      <c r="C8" s="237"/>
      <c r="D8" s="237"/>
      <c r="E8" s="237"/>
      <c r="F8" s="237"/>
      <c r="G8" s="237"/>
      <c r="H8" s="237"/>
    </row>
    <row r="9" spans="1:14" ht="27" customHeight="1" x14ac:dyDescent="0.25">
      <c r="A9" s="245" t="s">
        <v>13</v>
      </c>
      <c r="B9" s="245" t="s">
        <v>100</v>
      </c>
      <c r="C9" s="245" t="s">
        <v>163</v>
      </c>
      <c r="D9" s="245" t="s">
        <v>102</v>
      </c>
      <c r="E9" s="240" t="s">
        <v>206</v>
      </c>
      <c r="F9" s="254" t="s">
        <v>104</v>
      </c>
      <c r="G9" s="255"/>
      <c r="H9" s="240" t="s">
        <v>207</v>
      </c>
      <c r="I9" s="254" t="s">
        <v>208</v>
      </c>
      <c r="J9" s="255"/>
      <c r="M9" s="12"/>
      <c r="N9" s="12"/>
    </row>
    <row r="10" spans="1:14" ht="28.5" customHeight="1" x14ac:dyDescent="0.25">
      <c r="A10" s="245"/>
      <c r="B10" s="245"/>
      <c r="C10" s="245"/>
      <c r="D10" s="245"/>
      <c r="E10" s="256"/>
      <c r="F10" s="2" t="s">
        <v>209</v>
      </c>
      <c r="G10" s="2" t="s">
        <v>106</v>
      </c>
      <c r="H10" s="256"/>
      <c r="I10" s="2" t="s">
        <v>209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33" t="s">
        <v>210</v>
      </c>
      <c r="C12" s="244"/>
      <c r="D12" s="245"/>
      <c r="E12" s="246"/>
      <c r="F12" s="247"/>
      <c r="G12" s="247"/>
      <c r="H12" s="248"/>
      <c r="I12" s="133"/>
      <c r="J12" s="133"/>
    </row>
    <row r="13" spans="1:14" ht="25.5" customHeight="1" x14ac:dyDescent="0.25">
      <c r="A13" s="2">
        <v>1</v>
      </c>
      <c r="B13" s="143" t="s">
        <v>211</v>
      </c>
      <c r="C13" s="8" t="s">
        <v>212</v>
      </c>
      <c r="D13" s="2" t="s">
        <v>213</v>
      </c>
      <c r="E13" s="134">
        <f>G13/F13</f>
        <v>272.55168986083498</v>
      </c>
      <c r="F13" s="26">
        <v>10.06</v>
      </c>
      <c r="G13" s="26">
        <f>Прил.3!H12</f>
        <v>2741.87</v>
      </c>
      <c r="H13" s="136">
        <f>G13/G14</f>
        <v>1</v>
      </c>
      <c r="I13" s="26">
        <f>ФОТр.тек.!E13</f>
        <v>464.29715230005002</v>
      </c>
      <c r="J13" s="26">
        <f>ROUND(I13*E13,2)</f>
        <v>126544.97</v>
      </c>
    </row>
    <row r="14" spans="1:14" s="12" customFormat="1" ht="25.5" customHeight="1" x14ac:dyDescent="0.2">
      <c r="A14" s="2"/>
      <c r="B14" s="2"/>
      <c r="C14" s="98" t="s">
        <v>214</v>
      </c>
      <c r="D14" s="2" t="s">
        <v>213</v>
      </c>
      <c r="E14" s="134">
        <f>SUM(E13:E13)</f>
        <v>272.55168986083498</v>
      </c>
      <c r="F14" s="26"/>
      <c r="G14" s="26">
        <f>SUM(G13:G13)</f>
        <v>2741.87</v>
      </c>
      <c r="H14" s="132">
        <v>1</v>
      </c>
      <c r="I14" s="133"/>
      <c r="J14" s="26">
        <f>SUM(J13:J13)</f>
        <v>126544.97</v>
      </c>
    </row>
    <row r="15" spans="1:14" s="12" customFormat="1" ht="14.25" customHeight="1" x14ac:dyDescent="0.2">
      <c r="A15" s="2"/>
      <c r="B15" s="244" t="s">
        <v>116</v>
      </c>
      <c r="C15" s="244"/>
      <c r="D15" s="245"/>
      <c r="E15" s="246"/>
      <c r="F15" s="247"/>
      <c r="G15" s="247"/>
      <c r="H15" s="248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116</v>
      </c>
      <c r="D16" s="2" t="s">
        <v>213</v>
      </c>
      <c r="E16" s="134">
        <v>13.2</v>
      </c>
      <c r="F16" s="26">
        <f>G16/E16</f>
        <v>10.870454545454546</v>
      </c>
      <c r="G16" s="26">
        <f>Прил.3!H16</f>
        <v>143.49</v>
      </c>
      <c r="H16" s="132">
        <v>1</v>
      </c>
      <c r="I16" s="26">
        <f>ROUND(F16*Прил.10!D11,2)</f>
        <v>481.45</v>
      </c>
      <c r="J16" s="26">
        <f>ROUND(I16*E16,2)</f>
        <v>6355.14</v>
      </c>
    </row>
    <row r="17" spans="1:10" s="12" customFormat="1" ht="14.25" customHeight="1" x14ac:dyDescent="0.2">
      <c r="A17" s="2"/>
      <c r="B17" s="233" t="s">
        <v>118</v>
      </c>
      <c r="C17" s="244"/>
      <c r="D17" s="245"/>
      <c r="E17" s="246"/>
      <c r="F17" s="247"/>
      <c r="G17" s="247"/>
      <c r="H17" s="248"/>
      <c r="I17" s="133"/>
      <c r="J17" s="133"/>
    </row>
    <row r="18" spans="1:10" s="12" customFormat="1" ht="14.25" customHeight="1" x14ac:dyDescent="0.2">
      <c r="A18" s="2"/>
      <c r="B18" s="244" t="s">
        <v>215</v>
      </c>
      <c r="C18" s="244"/>
      <c r="D18" s="245"/>
      <c r="E18" s="246"/>
      <c r="F18" s="247"/>
      <c r="G18" s="247"/>
      <c r="H18" s="248"/>
      <c r="I18" s="133"/>
      <c r="J18" s="133"/>
    </row>
    <row r="19" spans="1:10" s="12" customFormat="1" ht="14.25" customHeight="1" x14ac:dyDescent="0.2">
      <c r="A19" s="2">
        <v>3</v>
      </c>
      <c r="B19" s="143" t="s">
        <v>119</v>
      </c>
      <c r="C19" s="8" t="s">
        <v>120</v>
      </c>
      <c r="D19" s="2" t="s">
        <v>121</v>
      </c>
      <c r="E19" s="134">
        <v>8.7200000000000006</v>
      </c>
      <c r="F19" s="97">
        <v>89.99</v>
      </c>
      <c r="G19" s="26">
        <f>ROUND(E19*F19,2)</f>
        <v>784.71</v>
      </c>
      <c r="H19" s="136">
        <f>G19/$G$26</f>
        <v>0.62100648143018811</v>
      </c>
      <c r="I19" s="26">
        <f>ROUND(F19*Прил.10!$D$12,2)</f>
        <v>1212.17</v>
      </c>
      <c r="J19" s="26">
        <f>ROUND(I19*E19,2)</f>
        <v>10570.12</v>
      </c>
    </row>
    <row r="20" spans="1:10" s="12" customFormat="1" ht="25.5" customHeight="1" x14ac:dyDescent="0.2">
      <c r="A20" s="2">
        <v>4</v>
      </c>
      <c r="B20" s="143" t="s">
        <v>122</v>
      </c>
      <c r="C20" s="8" t="s">
        <v>123</v>
      </c>
      <c r="D20" s="2" t="s">
        <v>121</v>
      </c>
      <c r="E20" s="134">
        <v>2</v>
      </c>
      <c r="F20" s="97">
        <v>111.99</v>
      </c>
      <c r="G20" s="26">
        <f>ROUND(E20*F20,2)</f>
        <v>223.98</v>
      </c>
      <c r="H20" s="136">
        <f>G20/$G$26</f>
        <v>0.17725405781847245</v>
      </c>
      <c r="I20" s="26">
        <f>ROUND(F20*Прил.10!$D$12,2)</f>
        <v>1508.51</v>
      </c>
      <c r="J20" s="26">
        <f>ROUND(I20*E20,2)</f>
        <v>3017.02</v>
      </c>
    </row>
    <row r="21" spans="1:10" s="12" customFormat="1" ht="25.5" customHeight="1" x14ac:dyDescent="0.2">
      <c r="A21" s="2">
        <v>5</v>
      </c>
      <c r="B21" s="143" t="s">
        <v>124</v>
      </c>
      <c r="C21" s="8" t="s">
        <v>125</v>
      </c>
      <c r="D21" s="2" t="s">
        <v>121</v>
      </c>
      <c r="E21" s="134">
        <v>2.48</v>
      </c>
      <c r="F21" s="97">
        <v>65.709999999999994</v>
      </c>
      <c r="G21" s="26">
        <f>ROUND(E21*F21,2)</f>
        <v>162.96</v>
      </c>
      <c r="H21" s="136">
        <f>G21/$G$26</f>
        <v>0.1289638416916612</v>
      </c>
      <c r="I21" s="26">
        <f>ROUND(F21*Прил.10!$D$12,2)</f>
        <v>885.11</v>
      </c>
      <c r="J21" s="26">
        <f>ROUND(I21*E21,2)</f>
        <v>2195.0700000000002</v>
      </c>
    </row>
    <row r="22" spans="1:10" s="12" customFormat="1" ht="14.25" customHeight="1" x14ac:dyDescent="0.2">
      <c r="A22" s="2"/>
      <c r="B22" s="2"/>
      <c r="C22" s="8" t="s">
        <v>216</v>
      </c>
      <c r="D22" s="2"/>
      <c r="E22" s="134"/>
      <c r="F22" s="26"/>
      <c r="G22" s="26">
        <f>SUM(G19:G21)</f>
        <v>1171.6500000000001</v>
      </c>
      <c r="H22" s="132">
        <f>G22/G26</f>
        <v>0.92722438094032178</v>
      </c>
      <c r="I22" s="135"/>
      <c r="J22" s="26">
        <f>SUM(J19:J21)</f>
        <v>15782.210000000001</v>
      </c>
    </row>
    <row r="23" spans="1:10" s="12" customFormat="1" ht="25.5" hidden="1" customHeight="1" outlineLevel="1" x14ac:dyDescent="0.2">
      <c r="A23" s="2">
        <v>6</v>
      </c>
      <c r="B23" s="143" t="s">
        <v>126</v>
      </c>
      <c r="C23" s="8" t="s">
        <v>127</v>
      </c>
      <c r="D23" s="2" t="s">
        <v>121</v>
      </c>
      <c r="E23" s="134">
        <v>22</v>
      </c>
      <c r="F23" s="97">
        <v>3.28</v>
      </c>
      <c r="G23" s="26">
        <f>ROUND(E23*F23,2)</f>
        <v>72.16</v>
      </c>
      <c r="H23" s="136">
        <f>G23/$G$26</f>
        <v>5.7106227396111132E-2</v>
      </c>
      <c r="I23" s="26">
        <f>ROUND(F23*Прил.10!$D$12,2)</f>
        <v>44.18</v>
      </c>
      <c r="J23" s="26">
        <f>ROUND(I23*E23,2)</f>
        <v>971.96</v>
      </c>
    </row>
    <row r="24" spans="1:10" s="12" customFormat="1" ht="25.5" hidden="1" customHeight="1" outlineLevel="1" x14ac:dyDescent="0.2">
      <c r="A24" s="2">
        <v>7</v>
      </c>
      <c r="B24" s="143" t="s">
        <v>128</v>
      </c>
      <c r="C24" s="8" t="s">
        <v>129</v>
      </c>
      <c r="D24" s="2" t="s">
        <v>121</v>
      </c>
      <c r="E24" s="134">
        <v>22</v>
      </c>
      <c r="F24" s="97">
        <v>0.9</v>
      </c>
      <c r="G24" s="26">
        <f>ROUND(E24*F24,2)</f>
        <v>19.8</v>
      </c>
      <c r="H24" s="136">
        <f>G24/$G$26</f>
        <v>1.5669391663567081E-2</v>
      </c>
      <c r="I24" s="26">
        <f>ROUND(F24*Прил.10!$D$12,2)</f>
        <v>12.12</v>
      </c>
      <c r="J24" s="26">
        <f>ROUND(I24*E24,2)</f>
        <v>266.64</v>
      </c>
    </row>
    <row r="25" spans="1:10" s="12" customFormat="1" ht="14.25" customHeight="1" collapsed="1" x14ac:dyDescent="0.2">
      <c r="A25" s="2"/>
      <c r="B25" s="2"/>
      <c r="C25" s="8" t="s">
        <v>217</v>
      </c>
      <c r="D25" s="2"/>
      <c r="E25" s="131"/>
      <c r="F25" s="26"/>
      <c r="G25" s="135">
        <f>SUM(G23:G24)</f>
        <v>91.96</v>
      </c>
      <c r="H25" s="136">
        <f>G25/G26</f>
        <v>7.2775619059678207E-2</v>
      </c>
      <c r="I25" s="26"/>
      <c r="J25" s="26">
        <f>SUM(J23:J24)</f>
        <v>1238.5999999999999</v>
      </c>
    </row>
    <row r="26" spans="1:10" s="12" customFormat="1" ht="25.5" customHeight="1" x14ac:dyDescent="0.2">
      <c r="A26" s="2"/>
      <c r="B26" s="2"/>
      <c r="C26" s="98" t="s">
        <v>218</v>
      </c>
      <c r="D26" s="2"/>
      <c r="E26" s="131"/>
      <c r="F26" s="26"/>
      <c r="G26" s="26">
        <f>G25+G22</f>
        <v>1263.6100000000001</v>
      </c>
      <c r="H26" s="137">
        <v>1</v>
      </c>
      <c r="I26" s="138"/>
      <c r="J26" s="139">
        <f>J25+J22</f>
        <v>17020.810000000001</v>
      </c>
    </row>
    <row r="27" spans="1:10" s="12" customFormat="1" ht="14.25" customHeight="1" x14ac:dyDescent="0.2">
      <c r="A27" s="2"/>
      <c r="B27" s="233" t="s">
        <v>43</v>
      </c>
      <c r="C27" s="233"/>
      <c r="D27" s="249"/>
      <c r="E27" s="250"/>
      <c r="F27" s="251"/>
      <c r="G27" s="251"/>
      <c r="H27" s="252"/>
      <c r="I27" s="133"/>
      <c r="J27" s="133"/>
    </row>
    <row r="28" spans="1:10" x14ac:dyDescent="0.25">
      <c r="A28" s="2"/>
      <c r="B28" s="244" t="s">
        <v>219</v>
      </c>
      <c r="C28" s="244"/>
      <c r="D28" s="245"/>
      <c r="E28" s="246"/>
      <c r="F28" s="247"/>
      <c r="G28" s="247"/>
      <c r="H28" s="248"/>
      <c r="I28" s="133"/>
      <c r="J28" s="133"/>
    </row>
    <row r="29" spans="1:10" s="12" customFormat="1" ht="25.5" customHeight="1" x14ac:dyDescent="0.2">
      <c r="A29" s="2">
        <v>8</v>
      </c>
      <c r="B29" s="182" t="s">
        <v>130</v>
      </c>
      <c r="C29" s="8" t="s">
        <v>220</v>
      </c>
      <c r="D29" s="2" t="s">
        <v>132</v>
      </c>
      <c r="E29" s="140">
        <v>1</v>
      </c>
      <c r="F29" s="97">
        <f>Прил.3!G25</f>
        <v>76833.2</v>
      </c>
      <c r="G29" s="26">
        <f>ROUND(E29*F29,2)</f>
        <v>76833.2</v>
      </c>
      <c r="H29" s="136">
        <f t="shared" ref="H29:H40" si="0">G29/$G$40</f>
        <v>0.54318747345770491</v>
      </c>
      <c r="I29" s="26">
        <f>ROUND(F29*Прил.10!$D$14,2)</f>
        <v>480975.83</v>
      </c>
      <c r="J29" s="26">
        <f>ROUND(I29*E29,2)</f>
        <v>480975.83</v>
      </c>
    </row>
    <row r="30" spans="1:10" s="12" customFormat="1" ht="25.5" customHeight="1" x14ac:dyDescent="0.2">
      <c r="A30" s="2">
        <v>9</v>
      </c>
      <c r="B30" s="182" t="s">
        <v>130</v>
      </c>
      <c r="C30" s="8" t="s">
        <v>221</v>
      </c>
      <c r="D30" s="2" t="s">
        <v>132</v>
      </c>
      <c r="E30" s="140">
        <v>1</v>
      </c>
      <c r="F30" s="97">
        <f>Прил.3!G26</f>
        <v>45724.79</v>
      </c>
      <c r="G30" s="26">
        <f>ROUND(E30*F30,2)</f>
        <v>45724.79</v>
      </c>
      <c r="H30" s="136">
        <f t="shared" si="0"/>
        <v>0.32326042849294484</v>
      </c>
      <c r="I30" s="26">
        <f>ROUND(F30*Прил.10!$D$14,2)</f>
        <v>286237.19</v>
      </c>
      <c r="J30" s="26">
        <f>ROUND(I30*E30,2)</f>
        <v>286237.19</v>
      </c>
    </row>
    <row r="31" spans="1:10" x14ac:dyDescent="0.25">
      <c r="A31" s="2"/>
      <c r="B31" s="2"/>
      <c r="C31" s="8" t="s">
        <v>222</v>
      </c>
      <c r="D31" s="2"/>
      <c r="E31" s="140"/>
      <c r="F31" s="97"/>
      <c r="G31" s="26">
        <f>SUM(G29:G30)</f>
        <v>122557.98999999999</v>
      </c>
      <c r="H31" s="136">
        <f t="shared" si="0"/>
        <v>0.86644790195064969</v>
      </c>
      <c r="I31" s="135"/>
      <c r="J31" s="26">
        <f>SUM(J29:J30)</f>
        <v>767213.02</v>
      </c>
    </row>
    <row r="32" spans="1:10" s="12" customFormat="1" ht="25.5" hidden="1" customHeight="1" outlineLevel="1" x14ac:dyDescent="0.2">
      <c r="A32" s="2">
        <v>10</v>
      </c>
      <c r="B32" s="182" t="s">
        <v>130</v>
      </c>
      <c r="C32" s="8" t="s">
        <v>223</v>
      </c>
      <c r="D32" s="2" t="s">
        <v>224</v>
      </c>
      <c r="E32" s="140">
        <v>1</v>
      </c>
      <c r="F32" s="97">
        <f>Прил.3!G27</f>
        <v>12353.19</v>
      </c>
      <c r="G32" s="26">
        <f t="shared" ref="G32:G38" si="1">ROUND(E32*F32,2)</f>
        <v>12353.19</v>
      </c>
      <c r="H32" s="136">
        <f t="shared" si="0"/>
        <v>8.733331509351408E-2</v>
      </c>
      <c r="I32" s="26">
        <f>ROUND(F32*Прил.10!$D$14,2)</f>
        <v>77330.97</v>
      </c>
      <c r="J32" s="26">
        <f t="shared" ref="J32:J38" si="2">ROUND(I32*E32,2)</f>
        <v>77330.97</v>
      </c>
    </row>
    <row r="33" spans="1:10" s="12" customFormat="1" ht="25.5" hidden="1" customHeight="1" outlineLevel="1" x14ac:dyDescent="0.2">
      <c r="A33" s="2">
        <v>11</v>
      </c>
      <c r="B33" s="182" t="s">
        <v>130</v>
      </c>
      <c r="C33" s="8" t="s">
        <v>225</v>
      </c>
      <c r="D33" s="2" t="s">
        <v>224</v>
      </c>
      <c r="E33" s="140">
        <v>1</v>
      </c>
      <c r="F33" s="97">
        <f>Прил.3!G28</f>
        <v>2858.19</v>
      </c>
      <c r="G33" s="26">
        <f t="shared" si="1"/>
        <v>2858.19</v>
      </c>
      <c r="H33" s="136">
        <f t="shared" si="0"/>
        <v>2.020653838135178E-2</v>
      </c>
      <c r="I33" s="26">
        <f>ROUND(F33*Прил.10!$D$14,2)</f>
        <v>17892.27</v>
      </c>
      <c r="J33" s="26">
        <f t="shared" si="2"/>
        <v>17892.27</v>
      </c>
    </row>
    <row r="34" spans="1:10" s="12" customFormat="1" ht="14.25" hidden="1" customHeight="1" outlineLevel="1" x14ac:dyDescent="0.2">
      <c r="A34" s="2">
        <v>12</v>
      </c>
      <c r="B34" s="182" t="s">
        <v>130</v>
      </c>
      <c r="C34" s="8" t="s">
        <v>226</v>
      </c>
      <c r="D34" s="2" t="s">
        <v>224</v>
      </c>
      <c r="E34" s="140">
        <v>1</v>
      </c>
      <c r="F34" s="97">
        <f>Прил.3!G29</f>
        <v>1914.21</v>
      </c>
      <c r="G34" s="26">
        <f t="shared" si="1"/>
        <v>1914.21</v>
      </c>
      <c r="H34" s="136">
        <f t="shared" si="0"/>
        <v>1.3532885439724928E-2</v>
      </c>
      <c r="I34" s="26">
        <f>ROUND(F34*Прил.10!$D$14,2)</f>
        <v>11982.95</v>
      </c>
      <c r="J34" s="26">
        <f t="shared" si="2"/>
        <v>11982.95</v>
      </c>
    </row>
    <row r="35" spans="1:10" s="12" customFormat="1" ht="14.25" hidden="1" customHeight="1" outlineLevel="1" x14ac:dyDescent="0.2">
      <c r="A35" s="2">
        <v>13</v>
      </c>
      <c r="B35" s="182" t="s">
        <v>130</v>
      </c>
      <c r="C35" s="8" t="s">
        <v>137</v>
      </c>
      <c r="D35" s="2" t="s">
        <v>224</v>
      </c>
      <c r="E35" s="140">
        <v>1</v>
      </c>
      <c r="F35" s="97">
        <f>Прил.3!G30</f>
        <v>761.5</v>
      </c>
      <c r="G35" s="26">
        <f t="shared" si="1"/>
        <v>761.5</v>
      </c>
      <c r="H35" s="136">
        <f t="shared" si="0"/>
        <v>5.3835745620128056E-3</v>
      </c>
      <c r="I35" s="26">
        <f>ROUND(F35*Прил.10!$D$14,2)</f>
        <v>4766.99</v>
      </c>
      <c r="J35" s="26">
        <f t="shared" si="2"/>
        <v>4766.99</v>
      </c>
    </row>
    <row r="36" spans="1:10" s="12" customFormat="1" ht="14.25" hidden="1" customHeight="1" outlineLevel="1" x14ac:dyDescent="0.2">
      <c r="A36" s="2">
        <v>14</v>
      </c>
      <c r="B36" s="182" t="s">
        <v>130</v>
      </c>
      <c r="C36" s="8" t="s">
        <v>138</v>
      </c>
      <c r="D36" s="2" t="s">
        <v>224</v>
      </c>
      <c r="E36" s="140">
        <v>1</v>
      </c>
      <c r="F36" s="97">
        <f>Прил.3!G31</f>
        <v>506.76</v>
      </c>
      <c r="G36" s="26">
        <f t="shared" si="1"/>
        <v>506.76</v>
      </c>
      <c r="H36" s="136">
        <f t="shared" si="0"/>
        <v>3.5826398490421659E-3</v>
      </c>
      <c r="I36" s="26">
        <f>ROUND(F36*Прил.10!$D$14,2)</f>
        <v>3172.32</v>
      </c>
      <c r="J36" s="26">
        <f t="shared" si="2"/>
        <v>3172.32</v>
      </c>
    </row>
    <row r="37" spans="1:10" s="12" customFormat="1" ht="14.25" hidden="1" customHeight="1" outlineLevel="1" x14ac:dyDescent="0.2">
      <c r="A37" s="2">
        <v>15</v>
      </c>
      <c r="B37" s="182" t="s">
        <v>130</v>
      </c>
      <c r="C37" s="8" t="s">
        <v>139</v>
      </c>
      <c r="D37" s="2" t="s">
        <v>224</v>
      </c>
      <c r="E37" s="140">
        <v>1</v>
      </c>
      <c r="F37" s="97">
        <f>Прил.3!G32</f>
        <v>358.48</v>
      </c>
      <c r="G37" s="26">
        <f t="shared" si="1"/>
        <v>358.48</v>
      </c>
      <c r="H37" s="136">
        <f t="shared" si="0"/>
        <v>2.5343451201449122E-3</v>
      </c>
      <c r="I37" s="26">
        <f>ROUND(F37*Прил.10!$D$14,2)</f>
        <v>2244.08</v>
      </c>
      <c r="J37" s="26">
        <f t="shared" si="2"/>
        <v>2244.08</v>
      </c>
    </row>
    <row r="38" spans="1:10" s="12" customFormat="1" ht="14.25" hidden="1" customHeight="1" outlineLevel="1" x14ac:dyDescent="0.2">
      <c r="A38" s="2">
        <v>16</v>
      </c>
      <c r="B38" s="182" t="s">
        <v>130</v>
      </c>
      <c r="C38" s="8" t="s">
        <v>140</v>
      </c>
      <c r="D38" s="2" t="s">
        <v>224</v>
      </c>
      <c r="E38" s="140">
        <v>1</v>
      </c>
      <c r="F38" s="97">
        <f>Прил.3!G33</f>
        <v>138.44999999999999</v>
      </c>
      <c r="G38" s="26">
        <f t="shared" si="1"/>
        <v>138.44999999999999</v>
      </c>
      <c r="H38" s="136">
        <f t="shared" si="0"/>
        <v>9.7879960355964912E-4</v>
      </c>
      <c r="I38" s="26">
        <f>ROUND(F38*Прил.10!$D$14,2)</f>
        <v>866.7</v>
      </c>
      <c r="J38" s="26">
        <f t="shared" si="2"/>
        <v>866.7</v>
      </c>
    </row>
    <row r="39" spans="1:10" collapsed="1" x14ac:dyDescent="0.25">
      <c r="A39" s="2"/>
      <c r="B39" s="2"/>
      <c r="C39" s="8" t="s">
        <v>227</v>
      </c>
      <c r="D39" s="2"/>
      <c r="E39" s="134"/>
      <c r="F39" s="97"/>
      <c r="G39" s="26">
        <f>SUM(G32:G38)</f>
        <v>18890.78</v>
      </c>
      <c r="H39" s="136">
        <f t="shared" si="0"/>
        <v>0.13355209804935031</v>
      </c>
      <c r="I39" s="135"/>
      <c r="J39" s="26">
        <f>SUM(J32:J38)</f>
        <v>118256.28000000001</v>
      </c>
    </row>
    <row r="40" spans="1:10" x14ac:dyDescent="0.25">
      <c r="A40" s="2"/>
      <c r="B40" s="2"/>
      <c r="C40" s="98" t="s">
        <v>228</v>
      </c>
      <c r="D40" s="2"/>
      <c r="E40" s="131"/>
      <c r="F40" s="97"/>
      <c r="G40" s="26">
        <f>G31+G39</f>
        <v>141448.76999999999</v>
      </c>
      <c r="H40" s="136">
        <f t="shared" si="0"/>
        <v>1</v>
      </c>
      <c r="I40" s="135"/>
      <c r="J40" s="26">
        <f>J39+J31</f>
        <v>885469.3</v>
      </c>
    </row>
    <row r="41" spans="1:10" ht="25.5" customHeight="1" x14ac:dyDescent="0.25">
      <c r="A41" s="2"/>
      <c r="B41" s="2"/>
      <c r="C41" s="8" t="s">
        <v>229</v>
      </c>
      <c r="D41" s="2"/>
      <c r="E41" s="140"/>
      <c r="F41" s="97"/>
      <c r="G41" s="26">
        <f>'Прил.6 Расчет ОБ'!G21</f>
        <v>141448.77000000002</v>
      </c>
      <c r="H41" s="132"/>
      <c r="I41" s="135"/>
      <c r="J41" s="26">
        <f>J40</f>
        <v>885469.3</v>
      </c>
    </row>
    <row r="42" spans="1:10" s="12" customFormat="1" ht="14.25" customHeight="1" x14ac:dyDescent="0.2">
      <c r="A42" s="2"/>
      <c r="B42" s="233" t="s">
        <v>141</v>
      </c>
      <c r="C42" s="233"/>
      <c r="D42" s="249"/>
      <c r="E42" s="250"/>
      <c r="F42" s="251"/>
      <c r="G42" s="251"/>
      <c r="H42" s="252"/>
      <c r="I42" s="133"/>
      <c r="J42" s="133"/>
    </row>
    <row r="43" spans="1:10" s="12" customFormat="1" ht="14.25" customHeight="1" x14ac:dyDescent="0.2">
      <c r="A43" s="130"/>
      <c r="B43" s="239" t="s">
        <v>230</v>
      </c>
      <c r="C43" s="239"/>
      <c r="D43" s="240"/>
      <c r="E43" s="241"/>
      <c r="F43" s="242"/>
      <c r="G43" s="242"/>
      <c r="H43" s="243"/>
      <c r="I43" s="146"/>
      <c r="J43" s="146"/>
    </row>
    <row r="44" spans="1:10" s="12" customFormat="1" ht="25.5" customHeight="1" x14ac:dyDescent="0.2">
      <c r="A44" s="2">
        <v>17</v>
      </c>
      <c r="B44" s="2" t="s">
        <v>142</v>
      </c>
      <c r="C44" s="8" t="s">
        <v>143</v>
      </c>
      <c r="D44" s="2" t="s">
        <v>144</v>
      </c>
      <c r="E44" s="140">
        <v>1</v>
      </c>
      <c r="F44" s="97">
        <v>8830.6299999999992</v>
      </c>
      <c r="G44" s="26">
        <f>ROUND(E44*F44,2)</f>
        <v>8830.6299999999992</v>
      </c>
      <c r="H44" s="136">
        <f t="shared" ref="H44:H53" si="3">G44/$G$53</f>
        <v>0.96866700964319841</v>
      </c>
      <c r="I44" s="26">
        <f>ROUND(F44*Прил.10!$D$13,2)</f>
        <v>70998.27</v>
      </c>
      <c r="J44" s="26">
        <f>ROUND(I44*E44,2)</f>
        <v>70998.27</v>
      </c>
    </row>
    <row r="45" spans="1:10" s="12" customFormat="1" ht="14.25" customHeight="1" x14ac:dyDescent="0.2">
      <c r="A45" s="147"/>
      <c r="B45" s="148"/>
      <c r="C45" s="149" t="s">
        <v>231</v>
      </c>
      <c r="D45" s="147"/>
      <c r="E45" s="191"/>
      <c r="F45" s="139"/>
      <c r="G45" s="139">
        <f>SUM(G44:G44)</f>
        <v>8830.6299999999992</v>
      </c>
      <c r="H45" s="136">
        <f t="shared" si="3"/>
        <v>0.96866700964319841</v>
      </c>
      <c r="I45" s="26"/>
      <c r="J45" s="139">
        <f>SUM(J44:J44)</f>
        <v>70998.27</v>
      </c>
    </row>
    <row r="46" spans="1:10" s="12" customFormat="1" ht="25.5" hidden="1" customHeight="1" outlineLevel="1" x14ac:dyDescent="0.2">
      <c r="A46" s="2">
        <v>18</v>
      </c>
      <c r="B46" s="2" t="s">
        <v>145</v>
      </c>
      <c r="C46" s="8" t="s">
        <v>146</v>
      </c>
      <c r="D46" s="2" t="s">
        <v>147</v>
      </c>
      <c r="E46" s="140">
        <v>2.7320000000000001E-3</v>
      </c>
      <c r="F46" s="97">
        <v>68050</v>
      </c>
      <c r="G46" s="26">
        <f t="shared" ref="G46:G51" si="4">ROUND(E46*F46,2)</f>
        <v>185.91</v>
      </c>
      <c r="H46" s="136">
        <f t="shared" si="3"/>
        <v>2.0393209064672287E-2</v>
      </c>
      <c r="I46" s="26">
        <f>ROUND(F46*Прил.10!$D$13,2)</f>
        <v>547122</v>
      </c>
      <c r="J46" s="26">
        <f t="shared" ref="J46:J51" si="5">ROUND(I46*E46,2)</f>
        <v>1494.74</v>
      </c>
    </row>
    <row r="47" spans="1:10" s="12" customFormat="1" ht="14.25" hidden="1" customHeight="1" outlineLevel="1" x14ac:dyDescent="0.2">
      <c r="A47" s="2">
        <v>19</v>
      </c>
      <c r="B47" s="2" t="s">
        <v>148</v>
      </c>
      <c r="C47" s="8" t="s">
        <v>149</v>
      </c>
      <c r="D47" s="2" t="s">
        <v>147</v>
      </c>
      <c r="E47" s="140">
        <v>7.1999999999999998E-3</v>
      </c>
      <c r="F47" s="97">
        <v>7826.9</v>
      </c>
      <c r="G47" s="26">
        <f t="shared" si="4"/>
        <v>56.35</v>
      </c>
      <c r="H47" s="136">
        <f t="shared" si="3"/>
        <v>6.1812561497191299E-3</v>
      </c>
      <c r="I47" s="26">
        <f>ROUND(F47*Прил.10!$D$13,2)</f>
        <v>62928.28</v>
      </c>
      <c r="J47" s="26">
        <f t="shared" si="5"/>
        <v>453.08</v>
      </c>
    </row>
    <row r="48" spans="1:10" s="12" customFormat="1" ht="14.25" hidden="1" customHeight="1" outlineLevel="1" x14ac:dyDescent="0.2">
      <c r="A48" s="2">
        <v>20</v>
      </c>
      <c r="B48" s="2" t="s">
        <v>150</v>
      </c>
      <c r="C48" s="8" t="s">
        <v>151</v>
      </c>
      <c r="D48" s="2" t="s">
        <v>152</v>
      </c>
      <c r="E48" s="140">
        <v>0.245</v>
      </c>
      <c r="F48" s="97">
        <v>120</v>
      </c>
      <c r="G48" s="26">
        <f t="shared" si="4"/>
        <v>29.4</v>
      </c>
      <c r="H48" s="136">
        <f t="shared" si="3"/>
        <v>3.2250032085491109E-3</v>
      </c>
      <c r="I48" s="26">
        <f>ROUND(F48*Прил.10!$D$13,2)</f>
        <v>964.8</v>
      </c>
      <c r="J48" s="26">
        <f t="shared" si="5"/>
        <v>236.38</v>
      </c>
    </row>
    <row r="49" spans="1:10" s="12" customFormat="1" ht="14.25" hidden="1" customHeight="1" outlineLevel="1" x14ac:dyDescent="0.2">
      <c r="A49" s="2">
        <v>21</v>
      </c>
      <c r="B49" s="2" t="s">
        <v>153</v>
      </c>
      <c r="C49" s="8" t="s">
        <v>154</v>
      </c>
      <c r="D49" s="2" t="s">
        <v>147</v>
      </c>
      <c r="E49" s="140">
        <v>1.1000000000000001E-3</v>
      </c>
      <c r="F49" s="97">
        <v>12430</v>
      </c>
      <c r="G49" s="26">
        <f t="shared" si="4"/>
        <v>13.67</v>
      </c>
      <c r="H49" s="136">
        <f t="shared" si="3"/>
        <v>1.4995167979886513E-3</v>
      </c>
      <c r="I49" s="26">
        <f>ROUND(F49*Прил.10!$D$13,2)</f>
        <v>99937.2</v>
      </c>
      <c r="J49" s="26">
        <f t="shared" si="5"/>
        <v>109.93</v>
      </c>
    </row>
    <row r="50" spans="1:10" s="12" customFormat="1" ht="14.25" hidden="1" customHeight="1" outlineLevel="1" x14ac:dyDescent="0.2">
      <c r="A50" s="2">
        <v>22</v>
      </c>
      <c r="B50" s="2" t="s">
        <v>155</v>
      </c>
      <c r="C50" s="8" t="s">
        <v>156</v>
      </c>
      <c r="D50" s="2" t="s">
        <v>157</v>
      </c>
      <c r="E50" s="140">
        <v>1.9E-3</v>
      </c>
      <c r="F50" s="97">
        <v>155</v>
      </c>
      <c r="G50" s="26">
        <f t="shared" si="4"/>
        <v>0.28999999999999998</v>
      </c>
      <c r="H50" s="136">
        <f t="shared" si="3"/>
        <v>3.1811256138749734E-5</v>
      </c>
      <c r="I50" s="26">
        <f>ROUND(F50*Прил.10!$D$13,2)</f>
        <v>1246.2</v>
      </c>
      <c r="J50" s="26">
        <f t="shared" si="5"/>
        <v>2.37</v>
      </c>
    </row>
    <row r="51" spans="1:10" s="12" customFormat="1" ht="51" hidden="1" customHeight="1" outlineLevel="1" x14ac:dyDescent="0.2">
      <c r="A51" s="2">
        <v>23</v>
      </c>
      <c r="B51" s="2" t="s">
        <v>158</v>
      </c>
      <c r="C51" s="8" t="s">
        <v>159</v>
      </c>
      <c r="D51" s="2" t="s">
        <v>157</v>
      </c>
      <c r="E51" s="140">
        <v>2.0000000000000001E-4</v>
      </c>
      <c r="F51" s="97">
        <v>91.29</v>
      </c>
      <c r="G51" s="26">
        <f t="shared" si="4"/>
        <v>0.02</v>
      </c>
      <c r="H51" s="136">
        <f t="shared" si="3"/>
        <v>2.1938797337068782E-6</v>
      </c>
      <c r="I51" s="26">
        <f>ROUND(F51*Прил.10!$D$13,2)</f>
        <v>733.97</v>
      </c>
      <c r="J51" s="26">
        <f t="shared" si="5"/>
        <v>0.15</v>
      </c>
    </row>
    <row r="52" spans="1:10" s="12" customFormat="1" ht="14.25" customHeight="1" collapsed="1" x14ac:dyDescent="0.2">
      <c r="A52" s="2"/>
      <c r="B52" s="2"/>
      <c r="C52" s="8" t="s">
        <v>232</v>
      </c>
      <c r="D52" s="2"/>
      <c r="E52" s="140"/>
      <c r="F52" s="97"/>
      <c r="G52" s="26">
        <f>SUM(G46:G51)</f>
        <v>285.64</v>
      </c>
      <c r="H52" s="136">
        <f t="shared" si="3"/>
        <v>3.1332990356801635E-2</v>
      </c>
      <c r="I52" s="26"/>
      <c r="J52" s="26">
        <f>SUM(J46:J51)</f>
        <v>2296.6499999999996</v>
      </c>
    </row>
    <row r="53" spans="1:10" s="12" customFormat="1" ht="14.25" customHeight="1" x14ac:dyDescent="0.2">
      <c r="A53" s="2"/>
      <c r="B53" s="2"/>
      <c r="C53" s="98" t="s">
        <v>233</v>
      </c>
      <c r="D53" s="2"/>
      <c r="E53" s="131"/>
      <c r="F53" s="97"/>
      <c r="G53" s="26">
        <f>G45+G52</f>
        <v>9116.2699999999986</v>
      </c>
      <c r="H53" s="132">
        <f t="shared" si="3"/>
        <v>1</v>
      </c>
      <c r="I53" s="26"/>
      <c r="J53" s="26">
        <f>J45+J52</f>
        <v>73294.92</v>
      </c>
    </row>
    <row r="54" spans="1:10" s="12" customFormat="1" ht="14.25" customHeight="1" x14ac:dyDescent="0.2">
      <c r="A54" s="2"/>
      <c r="B54" s="2"/>
      <c r="C54" s="8" t="s">
        <v>234</v>
      </c>
      <c r="D54" s="2"/>
      <c r="E54" s="131"/>
      <c r="F54" s="97"/>
      <c r="G54" s="26">
        <f>G14+G26+G53</f>
        <v>13121.749999999998</v>
      </c>
      <c r="H54" s="132"/>
      <c r="I54" s="26"/>
      <c r="J54" s="26">
        <f>J14+J26+J53</f>
        <v>216860.7</v>
      </c>
    </row>
    <row r="55" spans="1:10" s="12" customFormat="1" ht="14.25" customHeight="1" x14ac:dyDescent="0.2">
      <c r="A55" s="2"/>
      <c r="B55" s="2"/>
      <c r="C55" s="8" t="s">
        <v>235</v>
      </c>
      <c r="D55" s="141">
        <f>ROUND(G55/(G$16+$G$14),2)</f>
        <v>0.93</v>
      </c>
      <c r="E55" s="131"/>
      <c r="F55" s="97"/>
      <c r="G55" s="26">
        <v>2682.94</v>
      </c>
      <c r="H55" s="132"/>
      <c r="I55" s="26"/>
      <c r="J55" s="26">
        <f>ROUND(D55*(J14+J16),2)</f>
        <v>123597.1</v>
      </c>
    </row>
    <row r="56" spans="1:10" s="12" customFormat="1" ht="14.25" customHeight="1" x14ac:dyDescent="0.2">
      <c r="A56" s="2"/>
      <c r="B56" s="2"/>
      <c r="C56" s="8" t="s">
        <v>236</v>
      </c>
      <c r="D56" s="141">
        <f>ROUND(G56/(G$14+G$16),2)</f>
        <v>0.65</v>
      </c>
      <c r="E56" s="131"/>
      <c r="F56" s="97"/>
      <c r="G56" s="26">
        <v>1875.47</v>
      </c>
      <c r="H56" s="132"/>
      <c r="I56" s="26"/>
      <c r="J56" s="26">
        <f>ROUND(D56*(J14+J16),2)</f>
        <v>86385.07</v>
      </c>
    </row>
    <row r="57" spans="1:10" s="12" customFormat="1" ht="14.25" customHeight="1" x14ac:dyDescent="0.2">
      <c r="A57" s="2"/>
      <c r="B57" s="2"/>
      <c r="C57" s="8" t="s">
        <v>237</v>
      </c>
      <c r="D57" s="2"/>
      <c r="E57" s="131"/>
      <c r="F57" s="97"/>
      <c r="G57" s="26">
        <f>G14+G26+G53+G55+G56</f>
        <v>17680.16</v>
      </c>
      <c r="H57" s="132"/>
      <c r="I57" s="26"/>
      <c r="J57" s="26">
        <f>J14+J26+J53+J55+J56</f>
        <v>426842.87000000005</v>
      </c>
    </row>
    <row r="58" spans="1:10" s="12" customFormat="1" ht="14.25" customHeight="1" x14ac:dyDescent="0.2">
      <c r="A58" s="2"/>
      <c r="B58" s="2"/>
      <c r="C58" s="8" t="s">
        <v>238</v>
      </c>
      <c r="D58" s="2"/>
      <c r="E58" s="131"/>
      <c r="F58" s="97"/>
      <c r="G58" s="26">
        <f>G57+G40</f>
        <v>159128.93</v>
      </c>
      <c r="H58" s="132"/>
      <c r="I58" s="26"/>
      <c r="J58" s="26">
        <f>J57+J40</f>
        <v>1312312.1700000002</v>
      </c>
    </row>
    <row r="59" spans="1:10" s="12" customFormat="1" ht="34.5" customHeight="1" x14ac:dyDescent="0.2">
      <c r="A59" s="2"/>
      <c r="B59" s="2"/>
      <c r="C59" s="8" t="s">
        <v>197</v>
      </c>
      <c r="D59" s="2" t="s">
        <v>239</v>
      </c>
      <c r="E59" s="131">
        <v>1</v>
      </c>
      <c r="F59" s="97"/>
      <c r="G59" s="26">
        <f>G58/E59</f>
        <v>159128.93</v>
      </c>
      <c r="H59" s="132"/>
      <c r="I59" s="26"/>
      <c r="J59" s="26">
        <f>J58/E59</f>
        <v>1312312.1700000002</v>
      </c>
    </row>
    <row r="61" spans="1:10" s="12" customFormat="1" ht="14.25" customHeight="1" x14ac:dyDescent="0.2">
      <c r="A61" s="4" t="s">
        <v>240</v>
      </c>
    </row>
    <row r="62" spans="1:10" s="12" customFormat="1" ht="14.25" customHeight="1" x14ac:dyDescent="0.2">
      <c r="A62" s="27" t="s">
        <v>77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241</v>
      </c>
    </row>
    <row r="65" spans="1:1" s="12" customFormat="1" ht="14.25" customHeight="1" x14ac:dyDescent="0.2">
      <c r="A65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workbookViewId="0">
      <selection activeCell="D25" sqref="D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8" t="s">
        <v>242</v>
      </c>
      <c r="B1" s="258"/>
      <c r="C1" s="258"/>
      <c r="D1" s="258"/>
      <c r="E1" s="258"/>
      <c r="F1" s="258"/>
      <c r="G1" s="258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4" t="s">
        <v>243</v>
      </c>
      <c r="B3" s="214"/>
      <c r="C3" s="214"/>
      <c r="D3" s="214"/>
      <c r="E3" s="214"/>
      <c r="F3" s="214"/>
      <c r="G3" s="214"/>
    </row>
    <row r="4" spans="1:7" ht="25.5" customHeight="1" x14ac:dyDescent="0.25">
      <c r="A4" s="217" t="s">
        <v>244</v>
      </c>
      <c r="B4" s="217"/>
      <c r="C4" s="217"/>
      <c r="D4" s="217"/>
      <c r="E4" s="217"/>
      <c r="F4" s="217"/>
      <c r="G4" s="217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3" t="s">
        <v>13</v>
      </c>
      <c r="B6" s="263" t="s">
        <v>100</v>
      </c>
      <c r="C6" s="263" t="s">
        <v>163</v>
      </c>
      <c r="D6" s="263" t="s">
        <v>102</v>
      </c>
      <c r="E6" s="240" t="s">
        <v>206</v>
      </c>
      <c r="F6" s="263" t="s">
        <v>104</v>
      </c>
      <c r="G6" s="263"/>
    </row>
    <row r="7" spans="1:7" x14ac:dyDescent="0.25">
      <c r="A7" s="263"/>
      <c r="B7" s="263"/>
      <c r="C7" s="263"/>
      <c r="D7" s="263"/>
      <c r="E7" s="256"/>
      <c r="F7" s="2" t="s">
        <v>209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59" t="s">
        <v>245</v>
      </c>
      <c r="C9" s="260"/>
      <c r="D9" s="260"/>
      <c r="E9" s="260"/>
      <c r="F9" s="260"/>
      <c r="G9" s="261"/>
    </row>
    <row r="10" spans="1:7" ht="27" customHeight="1" x14ac:dyDescent="0.25">
      <c r="A10" s="2"/>
      <c r="B10" s="98"/>
      <c r="C10" s="8" t="s">
        <v>246</v>
      </c>
      <c r="D10" s="98"/>
      <c r="E10" s="100"/>
      <c r="F10" s="97"/>
      <c r="G10" s="97">
        <v>0</v>
      </c>
    </row>
    <row r="11" spans="1:7" x14ac:dyDescent="0.25">
      <c r="A11" s="2"/>
      <c r="B11" s="244" t="s">
        <v>247</v>
      </c>
      <c r="C11" s="244"/>
      <c r="D11" s="244"/>
      <c r="E11" s="262"/>
      <c r="F11" s="247"/>
      <c r="G11" s="247"/>
    </row>
    <row r="12" spans="1:7" ht="33" customHeight="1" x14ac:dyDescent="0.25">
      <c r="A12" s="2">
        <v>1</v>
      </c>
      <c r="B12" s="182" t="s">
        <v>130</v>
      </c>
      <c r="C12" s="8" t="str">
        <f>'Прил.5 Расчет СМР и ОБ'!C29</f>
        <v>Устройство тестирования сигналов РЗ и ПА AES Testbox</v>
      </c>
      <c r="D12" s="2" t="str">
        <f>'Прил.5 Расчет СМР и ОБ'!D29</f>
        <v>шт</v>
      </c>
      <c r="E12" s="140">
        <f>'Прил.5 Расчет СМР и ОБ'!E29</f>
        <v>1</v>
      </c>
      <c r="F12" s="97">
        <f>'Прил.5 Расчет СМР и ОБ'!F29</f>
        <v>76833.2</v>
      </c>
      <c r="G12" s="26">
        <f t="shared" ref="G12:G20" si="0">ROUND(E12*F12,2)</f>
        <v>76833.2</v>
      </c>
    </row>
    <row r="13" spans="1:7" ht="33" customHeight="1" x14ac:dyDescent="0.25">
      <c r="A13" s="2">
        <v>2</v>
      </c>
      <c r="B13" s="182" t="s">
        <v>130</v>
      </c>
      <c r="C13" s="8" t="str">
        <f>'Прил.5 Расчет СМР и ОБ'!C30</f>
        <v>Многофункциональный селективный измеритель уровня сигнала  ЛЭП-500</v>
      </c>
      <c r="D13" s="2" t="str">
        <f>'Прил.5 Расчет СМР и ОБ'!D30</f>
        <v>шт</v>
      </c>
      <c r="E13" s="140">
        <f>'Прил.5 Расчет СМР и ОБ'!E30</f>
        <v>1</v>
      </c>
      <c r="F13" s="97">
        <f>'Прил.5 Расчет СМР и ОБ'!F30</f>
        <v>45724.79</v>
      </c>
      <c r="G13" s="26">
        <f t="shared" si="0"/>
        <v>45724.79</v>
      </c>
    </row>
    <row r="14" spans="1:7" ht="33" customHeight="1" x14ac:dyDescent="0.25">
      <c r="A14" s="2">
        <v>3</v>
      </c>
      <c r="B14" s="182" t="s">
        <v>130</v>
      </c>
      <c r="C14" s="8" t="str">
        <f>'Прил.5 Расчет СМР и ОБ'!C32</f>
        <v xml:space="preserve">Анализатор ВЧ-связи по ЛЭП  и PLC AnCom A-7 /307 </v>
      </c>
      <c r="D14" s="2" t="str">
        <f>'Прил.5 Расчет СМР и ОБ'!D32</f>
        <v>шт.</v>
      </c>
      <c r="E14" s="140">
        <f>'Прил.5 Расчет СМР и ОБ'!E32</f>
        <v>1</v>
      </c>
      <c r="F14" s="97">
        <f>'Прил.5 Расчет СМР и ОБ'!F32</f>
        <v>12353.19</v>
      </c>
      <c r="G14" s="26">
        <f t="shared" si="0"/>
        <v>12353.19</v>
      </c>
    </row>
    <row r="15" spans="1:7" ht="33" customHeight="1" x14ac:dyDescent="0.25">
      <c r="A15" s="2">
        <v>4</v>
      </c>
      <c r="B15" s="182" t="s">
        <v>130</v>
      </c>
      <c r="C15" s="8" t="str">
        <f>'Прил.5 Расчет СМР и ОБ'!C33</f>
        <v>Дооснащение анализаторов  AnCom A-7  - Опция "TRAKT"</v>
      </c>
      <c r="D15" s="2" t="str">
        <f>'Прил.5 Расчет СМР и ОБ'!D33</f>
        <v>шт.</v>
      </c>
      <c r="E15" s="140">
        <f>'Прил.5 Расчет СМР и ОБ'!E33</f>
        <v>1</v>
      </c>
      <c r="F15" s="97">
        <f>'Прил.5 Расчет СМР и ОБ'!F33</f>
        <v>2858.19</v>
      </c>
      <c r="G15" s="26">
        <f t="shared" si="0"/>
        <v>2858.19</v>
      </c>
    </row>
    <row r="16" spans="1:7" ht="33" customHeight="1" x14ac:dyDescent="0.25">
      <c r="A16" s="2">
        <v>5</v>
      </c>
      <c r="B16" s="182" t="s">
        <v>130</v>
      </c>
      <c r="C16" s="8" t="str">
        <f>'Прил.5 Расчет СМР и ОБ'!C34</f>
        <v>Осцилограф GDS-2062</v>
      </c>
      <c r="D16" s="2" t="str">
        <f>'Прил.5 Расчет СМР и ОБ'!D34</f>
        <v>шт.</v>
      </c>
      <c r="E16" s="140">
        <f>'Прил.5 Расчет СМР и ОБ'!E34</f>
        <v>1</v>
      </c>
      <c r="F16" s="97">
        <f>'Прил.5 Расчет СМР и ОБ'!F34</f>
        <v>1914.21</v>
      </c>
      <c r="G16" s="26">
        <f t="shared" si="0"/>
        <v>1914.21</v>
      </c>
    </row>
    <row r="17" spans="1:7" ht="33" customHeight="1" x14ac:dyDescent="0.25">
      <c r="A17" s="2">
        <v>6</v>
      </c>
      <c r="B17" s="182" t="s">
        <v>130</v>
      </c>
      <c r="C17" s="8" t="str">
        <f>'Прил.5 Расчет СМР и ОБ'!C35</f>
        <v>Цифровой мультиметр MD9050</v>
      </c>
      <c r="D17" s="2" t="str">
        <f>'Прил.5 Расчет СМР и ОБ'!D35</f>
        <v>шт.</v>
      </c>
      <c r="E17" s="140">
        <f>'Прил.5 Расчет СМР и ОБ'!E35</f>
        <v>1</v>
      </c>
      <c r="F17" s="97">
        <f>'Прил.5 Расчет СМР и ОБ'!F35</f>
        <v>761.5</v>
      </c>
      <c r="G17" s="26">
        <f t="shared" si="0"/>
        <v>761.5</v>
      </c>
    </row>
    <row r="18" spans="1:7" ht="33" customHeight="1" x14ac:dyDescent="0.25">
      <c r="A18" s="2">
        <v>7</v>
      </c>
      <c r="B18" s="182" t="s">
        <v>130</v>
      </c>
      <c r="C18" s="8" t="str">
        <f>'Прил.5 Расчет СМР и ОБ'!C36</f>
        <v>Логический пробник</v>
      </c>
      <c r="D18" s="2" t="str">
        <f>'Прил.5 Расчет СМР и ОБ'!D36</f>
        <v>шт.</v>
      </c>
      <c r="E18" s="140">
        <f>'Прил.5 Расчет СМР и ОБ'!E36</f>
        <v>1</v>
      </c>
      <c r="F18" s="97">
        <f>'Прил.5 Расчет СМР и ОБ'!F36</f>
        <v>506.76</v>
      </c>
      <c r="G18" s="26">
        <f t="shared" si="0"/>
        <v>506.76</v>
      </c>
    </row>
    <row r="19" spans="1:7" ht="33" customHeight="1" x14ac:dyDescent="0.25">
      <c r="A19" s="2">
        <v>8</v>
      </c>
      <c r="B19" s="182" t="s">
        <v>130</v>
      </c>
      <c r="C19" s="8" t="str">
        <f>'Прил.5 Расчет СМР и ОБ'!C37</f>
        <v>Генератор сигналов Г4-117</v>
      </c>
      <c r="D19" s="2" t="str">
        <f>'Прил.5 Расчет СМР и ОБ'!D37</f>
        <v>шт.</v>
      </c>
      <c r="E19" s="140">
        <f>'Прил.5 Расчет СМР и ОБ'!E37</f>
        <v>1</v>
      </c>
      <c r="F19" s="97">
        <f>'Прил.5 Расчет СМР и ОБ'!F37</f>
        <v>358.48</v>
      </c>
      <c r="G19" s="26">
        <f t="shared" si="0"/>
        <v>358.48</v>
      </c>
    </row>
    <row r="20" spans="1:7" ht="33" customHeight="1" x14ac:dyDescent="0.25">
      <c r="A20" s="2">
        <v>9</v>
      </c>
      <c r="B20" s="182" t="s">
        <v>130</v>
      </c>
      <c r="C20" s="8" t="str">
        <f>'Прил.5 Расчет СМР и ОБ'!C38</f>
        <v>Милливольт-миллиамперметр М1109</v>
      </c>
      <c r="D20" s="2" t="str">
        <f>'Прил.5 Расчет СМР и ОБ'!D38</f>
        <v>шт.</v>
      </c>
      <c r="E20" s="140">
        <f>'Прил.5 Расчет СМР и ОБ'!E38</f>
        <v>1</v>
      </c>
      <c r="F20" s="97">
        <f>'Прил.5 Расчет СМР и ОБ'!F38</f>
        <v>138.44999999999999</v>
      </c>
      <c r="G20" s="26">
        <f t="shared" si="0"/>
        <v>138.44999999999999</v>
      </c>
    </row>
    <row r="21" spans="1:7" ht="25.5" customHeight="1" x14ac:dyDescent="0.25">
      <c r="A21" s="2"/>
      <c r="B21" s="8"/>
      <c r="C21" s="8" t="s">
        <v>248</v>
      </c>
      <c r="D21" s="8"/>
      <c r="E21" s="41"/>
      <c r="F21" s="97"/>
      <c r="G21" s="26">
        <f>SUM(G12:G20)</f>
        <v>141448.77000000002</v>
      </c>
    </row>
    <row r="22" spans="1:7" ht="19.5" customHeight="1" x14ac:dyDescent="0.25">
      <c r="A22" s="2"/>
      <c r="B22" s="8"/>
      <c r="C22" s="8" t="s">
        <v>249</v>
      </c>
      <c r="D22" s="8"/>
      <c r="E22" s="41"/>
      <c r="F22" s="97"/>
      <c r="G22" s="26">
        <f>G10+G21</f>
        <v>141448.77000000002</v>
      </c>
    </row>
    <row r="23" spans="1:7" x14ac:dyDescent="0.25">
      <c r="A23" s="24"/>
      <c r="B23" s="101"/>
      <c r="C23" s="24"/>
      <c r="D23" s="24"/>
      <c r="E23" s="24"/>
      <c r="F23" s="24"/>
      <c r="G23" s="24"/>
    </row>
    <row r="24" spans="1:7" x14ac:dyDescent="0.25">
      <c r="A24" s="4" t="s">
        <v>240</v>
      </c>
      <c r="B24" s="12"/>
      <c r="C24" s="12"/>
      <c r="D24" s="24"/>
      <c r="E24" s="24"/>
      <c r="F24" s="24"/>
      <c r="G24" s="24"/>
    </row>
    <row r="25" spans="1:7" x14ac:dyDescent="0.25">
      <c r="A25" s="27" t="s">
        <v>77</v>
      </c>
      <c r="B25" s="12"/>
      <c r="C25" s="12"/>
      <c r="D25" s="24"/>
      <c r="E25" s="24"/>
      <c r="F25" s="24"/>
      <c r="G25" s="24"/>
    </row>
    <row r="26" spans="1:7" x14ac:dyDescent="0.25">
      <c r="A26" s="4"/>
      <c r="B26" s="12"/>
      <c r="C26" s="12"/>
      <c r="D26" s="24"/>
      <c r="E26" s="24"/>
      <c r="F26" s="24"/>
      <c r="G26" s="24"/>
    </row>
    <row r="27" spans="1:7" x14ac:dyDescent="0.25">
      <c r="A27" s="4" t="s">
        <v>241</v>
      </c>
      <c r="B27" s="12"/>
      <c r="C27" s="12"/>
      <c r="D27" s="24"/>
      <c r="E27" s="24"/>
      <c r="F27" s="24"/>
      <c r="G27" s="24"/>
    </row>
    <row r="28" spans="1:7" x14ac:dyDescent="0.25">
      <c r="A28" s="27" t="s">
        <v>79</v>
      </c>
      <c r="B28" s="12"/>
      <c r="C28" s="12"/>
      <c r="D28" s="24"/>
      <c r="E28" s="24"/>
      <c r="F28" s="24"/>
      <c r="G28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2023-11-27T05:19:35Z</cp:lastPrinted>
  <dcterms:created xsi:type="dcterms:W3CDTF">2020-09-30T08:50:27Z</dcterms:created>
  <dcterms:modified xsi:type="dcterms:W3CDTF">2023-11-27T05:19:47Z</dcterms:modified>
  <cp:category/>
</cp:coreProperties>
</file>