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26A59C1A-AB7E-4B1D-B4AB-7558B51E7864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Прил.3!$A$1:$H$83</definedName>
    <definedName name="_xlnm.Print_Area" localSheetId="3">'Прил.4 РМ'!$A$1:$E$48</definedName>
    <definedName name="_xlnm.Print_Area" localSheetId="4">'Прил.5 Расчет СМР и ОБ'!$A$1:$J$100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D5" i="7"/>
  <c r="F23" i="6"/>
  <c r="E23" i="6"/>
  <c r="G23" i="6" s="1"/>
  <c r="D23" i="6"/>
  <c r="C23" i="6"/>
  <c r="B23" i="6"/>
  <c r="F22" i="6"/>
  <c r="E22" i="6"/>
  <c r="G22" i="6" s="1"/>
  <c r="D22" i="6"/>
  <c r="C22" i="6"/>
  <c r="B22" i="6"/>
  <c r="F21" i="6"/>
  <c r="E21" i="6"/>
  <c r="G21" i="6" s="1"/>
  <c r="D21" i="6"/>
  <c r="C21" i="6"/>
  <c r="B21" i="6"/>
  <c r="F20" i="6"/>
  <c r="E20" i="6"/>
  <c r="G20" i="6" s="1"/>
  <c r="D20" i="6"/>
  <c r="C20" i="6"/>
  <c r="B20" i="6"/>
  <c r="F19" i="6"/>
  <c r="E19" i="6"/>
  <c r="G19" i="6" s="1"/>
  <c r="D19" i="6"/>
  <c r="C19" i="6"/>
  <c r="B19" i="6"/>
  <c r="F18" i="6"/>
  <c r="E18" i="6"/>
  <c r="G18" i="6" s="1"/>
  <c r="D18" i="6"/>
  <c r="C18" i="6"/>
  <c r="B18" i="6"/>
  <c r="F17" i="6"/>
  <c r="E17" i="6"/>
  <c r="G17" i="6" s="1"/>
  <c r="D17" i="6"/>
  <c r="C17" i="6"/>
  <c r="B17" i="6"/>
  <c r="F16" i="6"/>
  <c r="E16" i="6"/>
  <c r="G16" i="6" s="1"/>
  <c r="D16" i="6"/>
  <c r="C16" i="6"/>
  <c r="B16" i="6"/>
  <c r="F15" i="6"/>
  <c r="E15" i="6"/>
  <c r="G15" i="6" s="1"/>
  <c r="D15" i="6"/>
  <c r="C15" i="6"/>
  <c r="B15" i="6"/>
  <c r="F14" i="6"/>
  <c r="E14" i="6"/>
  <c r="G14" i="6" s="1"/>
  <c r="D14" i="6"/>
  <c r="C14" i="6"/>
  <c r="B14" i="6"/>
  <c r="A6" i="6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J83" i="5" s="1"/>
  <c r="C17" i="4" s="1"/>
  <c r="G50" i="5"/>
  <c r="J48" i="5"/>
  <c r="I48" i="5"/>
  <c r="G48" i="5"/>
  <c r="J47" i="5"/>
  <c r="I47" i="5"/>
  <c r="G47" i="5"/>
  <c r="I46" i="5"/>
  <c r="J46" i="5" s="1"/>
  <c r="G46" i="5"/>
  <c r="I45" i="5"/>
  <c r="J45" i="5" s="1"/>
  <c r="G45" i="5"/>
  <c r="J44" i="5"/>
  <c r="J49" i="5" s="1"/>
  <c r="I44" i="5"/>
  <c r="G44" i="5"/>
  <c r="G49" i="5" s="1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G39" i="5" s="1"/>
  <c r="I32" i="5"/>
  <c r="J32" i="5" s="1"/>
  <c r="G32" i="5"/>
  <c r="I30" i="5"/>
  <c r="J30" i="5" s="1"/>
  <c r="G30" i="5"/>
  <c r="J29" i="5"/>
  <c r="I29" i="5"/>
  <c r="G29" i="5"/>
  <c r="I28" i="5"/>
  <c r="J28" i="5" s="1"/>
  <c r="G28" i="5"/>
  <c r="G31" i="5" s="1"/>
  <c r="G24" i="5"/>
  <c r="J23" i="5"/>
  <c r="I23" i="5"/>
  <c r="G23" i="5"/>
  <c r="I22" i="5"/>
  <c r="J22" i="5" s="1"/>
  <c r="J24" i="5" s="1"/>
  <c r="C13" i="4" s="1"/>
  <c r="G22" i="5"/>
  <c r="G21" i="5"/>
  <c r="G25" i="5" s="1"/>
  <c r="J20" i="5"/>
  <c r="I20" i="5"/>
  <c r="G20" i="5"/>
  <c r="I19" i="5"/>
  <c r="J19" i="5" s="1"/>
  <c r="J21" i="5" s="1"/>
  <c r="G19" i="5"/>
  <c r="I16" i="5"/>
  <c r="J16" i="5" s="1"/>
  <c r="C15" i="4" s="1"/>
  <c r="G16" i="5"/>
  <c r="J14" i="5"/>
  <c r="G14" i="5"/>
  <c r="E14" i="5"/>
  <c r="J13" i="5"/>
  <c r="I13" i="5"/>
  <c r="G13" i="5"/>
  <c r="H13" i="5" s="1"/>
  <c r="A7" i="5"/>
  <c r="C23" i="4"/>
  <c r="C21" i="4"/>
  <c r="B8" i="4"/>
  <c r="B7" i="4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19" i="3"/>
  <c r="F19" i="3"/>
  <c r="H18" i="3"/>
  <c r="H17" i="3"/>
  <c r="H16" i="3"/>
  <c r="H15" i="3"/>
  <c r="H14" i="3"/>
  <c r="H13" i="3"/>
  <c r="H12" i="3"/>
  <c r="F12" i="3"/>
  <c r="A7" i="3"/>
  <c r="J14" i="2"/>
  <c r="H14" i="2"/>
  <c r="F14" i="2"/>
  <c r="B7" i="2"/>
  <c r="B6" i="2"/>
  <c r="D24" i="1"/>
  <c r="D23" i="1"/>
  <c r="D19" i="1"/>
  <c r="D18" i="1"/>
  <c r="D17" i="1"/>
  <c r="H24" i="5" l="1"/>
  <c r="H34" i="5"/>
  <c r="C16" i="4"/>
  <c r="J84" i="5"/>
  <c r="H45" i="5"/>
  <c r="H66" i="5"/>
  <c r="H40" i="5"/>
  <c r="G40" i="5"/>
  <c r="H28" i="5" s="1"/>
  <c r="H31" i="5"/>
  <c r="J25" i="5"/>
  <c r="C12" i="4"/>
  <c r="J31" i="5"/>
  <c r="H32" i="5"/>
  <c r="H35" i="5"/>
  <c r="H38" i="5"/>
  <c r="H48" i="5"/>
  <c r="H22" i="5"/>
  <c r="H19" i="5"/>
  <c r="H30" i="5"/>
  <c r="H37" i="5"/>
  <c r="G24" i="6"/>
  <c r="H59" i="5"/>
  <c r="C18" i="4"/>
  <c r="G88" i="5"/>
  <c r="G89" i="5" s="1"/>
  <c r="G90" i="5" s="1"/>
  <c r="H20" i="5"/>
  <c r="H23" i="5"/>
  <c r="H29" i="5"/>
  <c r="J39" i="5"/>
  <c r="J40" i="5" s="1"/>
  <c r="C25" i="4" s="1"/>
  <c r="H55" i="5"/>
  <c r="H76" i="5"/>
  <c r="J87" i="5"/>
  <c r="H39" i="5"/>
  <c r="H36" i="5"/>
  <c r="G84" i="5"/>
  <c r="H62" i="5" s="1"/>
  <c r="H49" i="5"/>
  <c r="H21" i="5"/>
  <c r="G83" i="5"/>
  <c r="J85" i="5"/>
  <c r="H33" i="5"/>
  <c r="J86" i="5"/>
  <c r="C11" i="4"/>
  <c r="G41" i="5" l="1"/>
  <c r="G25" i="6"/>
  <c r="H78" i="5"/>
  <c r="H60" i="5"/>
  <c r="H74" i="5"/>
  <c r="H81" i="5"/>
  <c r="H75" i="5"/>
  <c r="H57" i="5"/>
  <c r="H65" i="5"/>
  <c r="H73" i="5"/>
  <c r="H50" i="5"/>
  <c r="H67" i="5"/>
  <c r="H79" i="5"/>
  <c r="H71" i="5"/>
  <c r="H72" i="5"/>
  <c r="H54" i="5"/>
  <c r="H47" i="5"/>
  <c r="H46" i="5"/>
  <c r="H52" i="5"/>
  <c r="H63" i="5"/>
  <c r="H80" i="5"/>
  <c r="H70" i="5"/>
  <c r="H83" i="5"/>
  <c r="J88" i="5"/>
  <c r="J89" i="5" s="1"/>
  <c r="J90" i="5" s="1"/>
  <c r="H44" i="5"/>
  <c r="H61" i="5"/>
  <c r="H77" i="5"/>
  <c r="H64" i="5"/>
  <c r="C20" i="4"/>
  <c r="G85" i="5"/>
  <c r="H82" i="5"/>
  <c r="H58" i="5"/>
  <c r="H68" i="5"/>
  <c r="C22" i="4"/>
  <c r="H56" i="5"/>
  <c r="C14" i="4"/>
  <c r="H69" i="5"/>
  <c r="H51" i="5"/>
  <c r="H53" i="5"/>
  <c r="C19" i="4" l="1"/>
  <c r="C24" i="4" s="1"/>
  <c r="D22" i="4"/>
  <c r="D20" i="4"/>
  <c r="J41" i="5"/>
  <c r="C26" i="4" s="1"/>
  <c r="H41" i="5"/>
  <c r="C29" i="4" l="1"/>
  <c r="C27" i="4"/>
  <c r="D24" i="4"/>
  <c r="C30" i="4"/>
  <c r="D13" i="4"/>
  <c r="D15" i="4"/>
  <c r="D17" i="4"/>
  <c r="D16" i="4"/>
  <c r="D11" i="4"/>
  <c r="D18" i="4"/>
  <c r="D12" i="4"/>
  <c r="D14" i="4"/>
  <c r="C36" i="4" l="1"/>
  <c r="C38" i="4" s="1"/>
  <c r="C37" i="4"/>
  <c r="C39" i="4" l="1"/>
  <c r="C40" i="4" l="1"/>
  <c r="E39" i="4"/>
  <c r="C41" i="4" l="1"/>
  <c r="D11" i="7" s="1"/>
  <c r="E34" i="4"/>
  <c r="E40" i="4"/>
  <c r="E33" i="4"/>
  <c r="E32" i="4"/>
  <c r="E31" i="4"/>
  <c r="E35" i="4"/>
  <c r="E15" i="4"/>
  <c r="E13" i="4"/>
  <c r="E17" i="4"/>
  <c r="E16" i="4"/>
  <c r="E25" i="4"/>
  <c r="E12" i="4"/>
  <c r="E11" i="4"/>
  <c r="E18" i="4"/>
  <c r="E22" i="4"/>
  <c r="E20" i="4"/>
  <c r="E14" i="4"/>
  <c r="E26" i="4"/>
  <c r="E24" i="4"/>
  <c r="E30" i="4"/>
  <c r="E27" i="4"/>
  <c r="E29" i="4"/>
  <c r="E38" i="4"/>
  <c r="E37" i="4"/>
  <c r="E36" i="4"/>
</calcChain>
</file>

<file path=xl/sharedStrings.xml><?xml version="1.0" encoding="utf-8"?>
<sst xmlns="http://schemas.openxmlformats.org/spreadsheetml/2006/main" count="607" uniqueCount="353">
  <si>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</si>
  <si>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</si>
  <si>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</si>
  <si>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УНЦ: Постоянная часть ПС, СКУД ЗПС 35 кВ</t>
  </si>
  <si>
    <t xml:space="preserve">Сопоставимый уровень цен: </t>
  </si>
  <si>
    <t>3 квартал 2015 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</si>
  <si>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</si>
  <si>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</si>
  <si>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</si>
  <si>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</si>
  <si>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</si>
  <si>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</si>
  <si>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</si>
  <si>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</si>
  <si>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</si>
  <si>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</si>
  <si>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</si>
  <si>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</si>
  <si>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</si>
  <si>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</si>
  <si>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</si>
  <si>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</si>
  <si>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</si>
  <si>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</si>
  <si>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</si>
  <si>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</si>
  <si>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</si>
  <si>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</si>
  <si>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</si>
  <si>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</si>
  <si>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</si>
  <si>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</si>
  <si>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</si>
  <si>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</si>
  <si>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</si>
  <si>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</si>
  <si>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</si>
  <si>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</si>
  <si>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</si>
  <si>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</si>
  <si>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</si>
  <si>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</si>
  <si>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</si>
  <si>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</si>
  <si>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</si>
  <si>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</si>
  <si>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</si>
  <si>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СКУД ЗПС 35 кВ</t>
  </si>
  <si>
    <t>Всего по объекту:</t>
  </si>
  <si>
    <t>Всего по объекту в сопоставимом уровне цен 3 кв. 2015г: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</si>
  <si>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</si>
  <si>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</si>
  <si>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</si>
  <si>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</si>
  <si>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</si>
  <si>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</si>
  <si>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</si>
  <si>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</si>
  <si>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</si>
  <si>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</si>
  <si>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</si>
  <si>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</si>
  <si>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</si>
  <si>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</si>
  <si>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</si>
  <si>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</si>
  <si>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</si>
  <si>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</si>
  <si>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</si>
  <si>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</si>
  <si>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</si>
  <si>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</si>
  <si>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</si>
  <si>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</si>
  <si>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</si>
  <si>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</si>
  <si>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</si>
  <si>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</si>
  <si>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</si>
  <si>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</si>
  <si>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</si>
  <si>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</si>
  <si>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</si>
  <si>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</si>
  <si>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</si>
  <si>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</si>
  <si>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</si>
  <si>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</si>
  <si>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</si>
  <si>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</si>
  <si>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</si>
  <si>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</si>
  <si>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</si>
  <si>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</si>
  <si>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</si>
  <si>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</si>
  <si>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</si>
  <si>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</si>
  <si>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</si>
  <si>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</si>
  <si>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</si>
  <si>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</si>
  <si>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</si>
  <si>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</si>
  <si>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</si>
  <si>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</si>
  <si>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</si>
  <si>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</si>
  <si>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</si>
  <si>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</si>
  <si>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</si>
  <si>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</si>
  <si>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</si>
  <si>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</si>
  <si>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</si>
  <si>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</si>
  <si>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</si>
  <si>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</si>
  <si>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</si>
  <si>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</si>
  <si>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</si>
  <si>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</si>
  <si>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</si>
  <si>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</si>
  <si>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</si>
  <si>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</si>
  <si>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</si>
  <si>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</si>
  <si>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</si>
  <si>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</si>
  <si>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</si>
  <si>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</si>
  <si>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</si>
  <si>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</si>
  <si>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</si>
  <si>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</si>
  <si>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</si>
  <si>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</si>
  <si>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</si>
  <si>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</si>
  <si>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</si>
  <si>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</si>
  <si>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</si>
  <si>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</si>
  <si>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</si>
  <si>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</si>
  <si>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</si>
  <si>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</si>
  <si>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</si>
  <si>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</si>
  <si>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</si>
  <si>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</si>
  <si>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</si>
  <si>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</si>
  <si>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</si>
  <si>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</si>
  <si>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</si>
  <si>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</si>
  <si>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</si>
  <si>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</si>
  <si>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</si>
  <si>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</si>
  <si>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</si>
  <si>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</si>
  <si>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</si>
  <si>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</si>
  <si>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</si>
  <si>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</si>
  <si>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</si>
  <si>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</si>
  <si>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</si>
  <si>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</si>
  <si>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</si>
  <si>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</si>
  <si>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</si>
  <si>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</si>
  <si>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</si>
  <si>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</si>
  <si>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</si>
  <si>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</si>
  <si>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</si>
  <si>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</si>
  <si>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</si>
  <si>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</si>
  <si>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</si>
  <si>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</si>
  <si>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</si>
  <si>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</si>
  <si>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</si>
  <si>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</si>
  <si>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</si>
  <si>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</si>
  <si>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</si>
  <si>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</si>
  <si>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</si>
  <si>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</si>
  <si>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</si>
  <si>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</si>
  <si>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</si>
  <si>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</si>
  <si>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</si>
  <si>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</si>
  <si>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</si>
  <si>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</si>
  <si>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</si>
  <si>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</si>
  <si>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</si>
  <si>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</si>
  <si>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</si>
  <si>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</si>
  <si>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</si>
  <si>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</si>
  <si>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</si>
  <si>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</si>
  <si>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</si>
  <si>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</si>
  <si>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</si>
  <si>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</si>
  <si>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</si>
  <si>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</si>
  <si>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</si>
  <si>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</si>
  <si>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</si>
  <si>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</si>
  <si>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</si>
  <si>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</si>
  <si>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</si>
  <si>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</si>
  <si>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</si>
  <si>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</si>
  <si>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</si>
  <si>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</si>
  <si>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</si>
  <si>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</si>
  <si>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</si>
  <si>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</si>
  <si>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СКУД ЗПС 35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</si>
  <si>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</si>
  <si>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</si>
  <si>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</si>
  <si>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</si>
  <si>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</si>
  <si>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</si>
  <si>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</si>
  <si>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</si>
  <si>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</si>
  <si>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</si>
  <si>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</si>
  <si>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</si>
  <si>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</si>
  <si>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</si>
  <si>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</si>
  <si>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</si>
  <si>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</si>
  <si>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</si>
  <si>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</si>
  <si>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</si>
  <si>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</si>
  <si>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</si>
  <si>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</si>
  <si>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</si>
  <si>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</si>
  <si>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</si>
  <si>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</si>
  <si>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</si>
  <si>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</si>
  <si>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</si>
  <si>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</si>
  <si>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</si>
  <si>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</si>
  <si>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</si>
  <si>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</si>
  <si>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</si>
  <si>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</si>
  <si>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</si>
  <si>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</si>
  <si>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</si>
  <si>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</si>
  <si>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</si>
  <si>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</si>
  <si>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</si>
  <si>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</si>
  <si>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</si>
  <si>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</si>
  <si>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</si>
  <si>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</si>
  <si>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</si>
  <si>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</si>
  <si>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</si>
  <si>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</si>
  <si>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</si>
  <si>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</si>
  <si>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</si>
  <si>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</si>
  <si>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</si>
  <si>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</si>
  <si>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З2_ЗПС_СКУД_35_кВ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</si>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</sst>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00"/>
  </numFmts>
  <fonts count="18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2"/>
      <color rgb="FF000000"/>
      <name val="Calibri"/>
    </font>
    <font>
      <sz val="12"/>
      <color rgb="FFFF0000"/>
      <name val="Times New Roman"/>
    </font>
    <font>
      <sz val="12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2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/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0" fontId="11" fillId="0" borderId="0" xfId="0" applyFont="1"/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0" borderId="2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278280</xdr:colOff>
      <xdr:row>28</xdr:row>
      <xdr:rowOff>186952</xdr:rowOff>
    </xdr:from>
    <xdr:to>
      <xdr:col>2</xdr:col>
      <xdr:colOff>1223082</xdr:colOff>
      <xdr:row>31</xdr:row>
      <xdr:rowOff>17334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CB942F8-3333-4F9D-943F-88CBD6CA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515" y="11247158"/>
          <a:ext cx="944802" cy="525147"/>
        </a:xfrm>
        <a:prstGeom prst="rect">
          <a:avLst/>
        </a:prstGeom>
      </xdr:spPr>
    </xdr:pic>
    <xdr:clientData/>
  </xdr:twoCellAnchor>
  <xdr:twoCellAnchor editAs="oneCell">
    <xdr:from>
      <xdr:col>2</xdr:col>
      <xdr:colOff>383055</xdr:colOff>
      <xdr:row>26</xdr:row>
      <xdr:rowOff>22599</xdr:rowOff>
    </xdr:from>
    <xdr:to>
      <xdr:col>2</xdr:col>
      <xdr:colOff>1049674</xdr:colOff>
      <xdr:row>29</xdr:row>
      <xdr:rowOff>19424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5FB9AD4-E6F1-495D-A83D-74B728A7B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290" y="10679393"/>
          <a:ext cx="666619" cy="691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539750</xdr:colOff>
      <xdr:row>17</xdr:row>
      <xdr:rowOff>174625</xdr:rowOff>
    </xdr:from>
    <xdr:to>
      <xdr:col>2</xdr:col>
      <xdr:colOff>1484552</xdr:colOff>
      <xdr:row>20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64FC900-FEB2-4E95-B1BE-8A8D206A3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5" y="3857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644525</xdr:colOff>
      <xdr:row>15</xdr:row>
      <xdr:rowOff>0</xdr:rowOff>
    </xdr:from>
    <xdr:to>
      <xdr:col>2</xdr:col>
      <xdr:colOff>1311144</xdr:colOff>
      <xdr:row>18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AA13D14-ADB2-496C-AAAF-565C5C28C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3286125"/>
          <a:ext cx="666619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291193</xdr:colOff>
      <xdr:row>78</xdr:row>
      <xdr:rowOff>168729</xdr:rowOff>
    </xdr:from>
    <xdr:to>
      <xdr:col>2</xdr:col>
      <xdr:colOff>1235995</xdr:colOff>
      <xdr:row>81</xdr:row>
      <xdr:rowOff>79260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A7083FF-7748-47D3-801E-F23613A43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157" y="22647729"/>
          <a:ext cx="944802" cy="522852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75</xdr:row>
      <xdr:rowOff>38100</xdr:rowOff>
    </xdr:from>
    <xdr:to>
      <xdr:col>2</xdr:col>
      <xdr:colOff>1076194</xdr:colOff>
      <xdr:row>78</xdr:row>
      <xdr:rowOff>133350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9D0EB75-3819-46D5-9103-6A94721CA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21907500"/>
          <a:ext cx="666619" cy="666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BBBC33A-BAB6-417A-B9A6-DBC59935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925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885825</xdr:colOff>
      <xdr:row>40</xdr:row>
      <xdr:rowOff>123825</xdr:rowOff>
    </xdr:from>
    <xdr:to>
      <xdr:col>1</xdr:col>
      <xdr:colOff>1552444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782FBF9-8897-41AB-9183-AFABF2AAB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811306</xdr:colOff>
      <xdr:row>93</xdr:row>
      <xdr:rowOff>98612</xdr:rowOff>
    </xdr:from>
    <xdr:to>
      <xdr:col>2</xdr:col>
      <xdr:colOff>251158</xdr:colOff>
      <xdr:row>96</xdr:row>
      <xdr:rowOff>51324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DC72CBB-B2DB-4628-A499-77E207EA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306" y="2505411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916081</xdr:colOff>
      <xdr:row>90</xdr:row>
      <xdr:rowOff>98612</xdr:rowOff>
    </xdr:from>
    <xdr:to>
      <xdr:col>2</xdr:col>
      <xdr:colOff>58700</xdr:colOff>
      <xdr:row>94</xdr:row>
      <xdr:rowOff>31936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3C255FB-F17D-4732-896C-F77AEECF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081" y="24482612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27</xdr:row>
      <xdr:rowOff>85725</xdr:rowOff>
    </xdr:from>
    <xdr:to>
      <xdr:col>2</xdr:col>
      <xdr:colOff>344727</xdr:colOff>
      <xdr:row>30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9AC4450-72BC-4DD4-85F1-518AECD96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8048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24</xdr:row>
      <xdr:rowOff>142875</xdr:rowOff>
    </xdr:from>
    <xdr:to>
      <xdr:col>2</xdr:col>
      <xdr:colOff>171319</xdr:colOff>
      <xdr:row>28</xdr:row>
      <xdr:rowOff>19050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67530E7-A13C-4DEA-A41A-A7E0A343C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7477125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114300</xdr:rowOff>
    </xdr:from>
    <xdr:to>
      <xdr:col>1</xdr:col>
      <xdr:colOff>801927</xdr:colOff>
      <xdr:row>16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A5E381E-A520-41BE-83BC-696FE89F7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76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10</xdr:row>
      <xdr:rowOff>781050</xdr:rowOff>
    </xdr:from>
    <xdr:to>
      <xdr:col>1</xdr:col>
      <xdr:colOff>628519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D78C860-99E2-44DE-B386-70FEE43F4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79375</xdr:rowOff>
    </xdr:from>
    <xdr:to>
      <xdr:col>1</xdr:col>
      <xdr:colOff>1754427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EAAA092-1B5B-4EA7-846C-3FAE8E3EF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7090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914400</xdr:colOff>
      <xdr:row>23</xdr:row>
      <xdr:rowOff>79375</xdr:rowOff>
    </xdr:from>
    <xdr:to>
      <xdr:col>1</xdr:col>
      <xdr:colOff>1581019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40A4C8A-70BA-4466-9E72-140C67DD4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4" zoomScale="85" zoomScaleNormal="70" zoomScaleSheetLayoutView="85" workbookViewId="0">
      <selection activeCell="D28" sqref="D28"/>
    </sheetView>
  </sheetViews>
  <sheetFormatPr defaultRowHeight="15.75" x14ac:dyDescent="0.25"/>
  <cols>
    <col min="1" max="2" width="9.140625" style="60" customWidth="1"/>
    <col min="3" max="3" width="36.85546875" style="60" customWidth="1"/>
    <col min="4" max="4" width="36.5703125" style="60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60"/>
      <c r="F1" s="60"/>
      <c r="G1" s="60"/>
      <c r="H1" s="60"/>
      <c r="I1" s="60"/>
    </row>
    <row r="2" spans="2:9" x14ac:dyDescent="0.25">
      <c r="E2" s="60"/>
      <c r="F2" s="60"/>
      <c r="G2" s="60"/>
      <c r="H2" s="60"/>
      <c r="I2" s="60"/>
    </row>
    <row r="3" spans="2:9" x14ac:dyDescent="0.25">
      <c r="B3" s="110" t="s">
        <v>0</v>
      </c>
      <c r="C3" s="110"/>
      <c r="D3" s="110"/>
      <c r="E3" s="60"/>
      <c r="F3" s="60"/>
      <c r="G3" s="60"/>
      <c r="H3" s="60"/>
      <c r="I3" s="60"/>
    </row>
    <row r="4" spans="2:9" x14ac:dyDescent="0.25">
      <c r="B4" s="111" t="s">
        <v>1</v>
      </c>
      <c r="C4" s="111"/>
      <c r="D4" s="111"/>
      <c r="E4" s="60"/>
      <c r="F4" s="60"/>
      <c r="G4" s="60"/>
      <c r="H4" s="60"/>
      <c r="I4" s="60"/>
    </row>
    <row r="5" spans="2:9" ht="66" customHeight="1" x14ac:dyDescent="0.25">
      <c r="B5" s="112" t="s">
        <v>2</v>
      </c>
      <c r="C5" s="112"/>
      <c r="D5" s="112"/>
      <c r="E5" s="60"/>
      <c r="F5" s="60"/>
      <c r="G5" s="60"/>
      <c r="H5" s="60"/>
      <c r="I5" s="60"/>
    </row>
    <row r="6" spans="2:9" x14ac:dyDescent="0.25">
      <c r="B6" s="68"/>
      <c r="C6" s="68"/>
      <c r="D6" s="68"/>
      <c r="E6" s="60"/>
      <c r="F6" s="60"/>
      <c r="G6" s="60"/>
      <c r="H6" s="60"/>
      <c r="I6" s="60"/>
    </row>
    <row r="7" spans="2:9" ht="57" customHeight="1" x14ac:dyDescent="0.25">
      <c r="B7" s="109" t="s">
        <v>3</v>
      </c>
      <c r="C7" s="109"/>
      <c r="D7" s="109"/>
      <c r="E7" s="89"/>
      <c r="F7" s="60"/>
      <c r="G7" s="60"/>
      <c r="H7" s="60"/>
      <c r="I7" s="60"/>
    </row>
    <row r="8" spans="2:9" ht="15.75" customHeight="1" x14ac:dyDescent="0.25">
      <c r="B8" s="67" t="s">
        <v>4</v>
      </c>
      <c r="C8" s="67"/>
      <c r="D8" s="69" t="s">
        <v>5</v>
      </c>
      <c r="E8" s="60"/>
      <c r="F8" s="60"/>
      <c r="G8" s="60"/>
      <c r="H8" s="60"/>
      <c r="I8" s="60"/>
    </row>
    <row r="9" spans="2:9" ht="15.75" customHeight="1" x14ac:dyDescent="0.25">
      <c r="B9" s="109" t="s">
        <v>6</v>
      </c>
      <c r="C9" s="109"/>
      <c r="D9" s="109"/>
      <c r="E9" s="89"/>
      <c r="F9" s="60"/>
      <c r="G9" s="60"/>
      <c r="H9" s="60"/>
      <c r="I9" s="60"/>
    </row>
    <row r="10" spans="2:9" x14ac:dyDescent="0.25">
      <c r="B10" s="66"/>
      <c r="E10" s="60"/>
      <c r="F10" s="60"/>
      <c r="G10" s="60"/>
      <c r="H10" s="60"/>
      <c r="I10" s="60"/>
    </row>
    <row r="11" spans="2:9" x14ac:dyDescent="0.25">
      <c r="B11" s="37" t="s">
        <v>7</v>
      </c>
      <c r="C11" s="37" t="s">
        <v>8</v>
      </c>
      <c r="D11" s="37" t="s">
        <v>9</v>
      </c>
      <c r="E11" s="89"/>
      <c r="F11" s="60"/>
      <c r="G11" s="60"/>
      <c r="H11" s="60"/>
      <c r="I11" s="60"/>
    </row>
    <row r="12" spans="2:9" ht="31.5" customHeight="1" x14ac:dyDescent="0.25">
      <c r="B12" s="37">
        <v>1</v>
      </c>
      <c r="C12" s="90" t="s">
        <v>10</v>
      </c>
      <c r="D12" s="37" t="s">
        <v>11</v>
      </c>
      <c r="E12" s="60"/>
      <c r="F12" s="60"/>
      <c r="G12" s="60"/>
      <c r="H12" s="60"/>
      <c r="I12" s="60"/>
    </row>
    <row r="13" spans="2:9" ht="31.5" customHeight="1" x14ac:dyDescent="0.25">
      <c r="B13" s="37">
        <v>2</v>
      </c>
      <c r="C13" s="90" t="s">
        <v>12</v>
      </c>
      <c r="D13" s="37" t="s">
        <v>13</v>
      </c>
      <c r="E13" s="60"/>
      <c r="F13" s="60"/>
      <c r="G13" s="60"/>
      <c r="H13" s="60"/>
      <c r="I13" s="60"/>
    </row>
    <row r="14" spans="2:9" x14ac:dyDescent="0.25">
      <c r="B14" s="37">
        <v>3</v>
      </c>
      <c r="C14" s="90" t="s">
        <v>14</v>
      </c>
      <c r="D14" s="37" t="s">
        <v>15</v>
      </c>
      <c r="E14" s="60"/>
      <c r="F14" s="60"/>
      <c r="G14" s="60"/>
      <c r="H14" s="60"/>
      <c r="I14" s="60"/>
    </row>
    <row r="15" spans="2:9" x14ac:dyDescent="0.25">
      <c r="B15" s="37">
        <v>4</v>
      </c>
      <c r="C15" s="90" t="s">
        <v>16</v>
      </c>
      <c r="D15" s="37">
        <v>1</v>
      </c>
      <c r="E15" s="60"/>
      <c r="F15" s="60"/>
      <c r="G15" s="60"/>
      <c r="H15" s="60"/>
      <c r="I15" s="60"/>
    </row>
    <row r="16" spans="2:9" ht="100.5" customHeight="1" x14ac:dyDescent="0.25">
      <c r="B16" s="37">
        <v>5</v>
      </c>
      <c r="C16" s="38" t="s">
        <v>17</v>
      </c>
      <c r="D16" s="37" t="s">
        <v>18</v>
      </c>
      <c r="E16" s="60"/>
      <c r="F16" s="60"/>
      <c r="G16" s="60"/>
      <c r="H16" s="60"/>
      <c r="I16" s="60"/>
    </row>
    <row r="17" spans="2:9" ht="82.5" customHeight="1" x14ac:dyDescent="0.25">
      <c r="B17" s="37">
        <v>6</v>
      </c>
      <c r="C17" s="38" t="s">
        <v>19</v>
      </c>
      <c r="D17" s="91">
        <f>D18+D191</f>
        <v>7.2963087</v>
      </c>
      <c r="E17" s="92"/>
      <c r="F17" s="60"/>
      <c r="G17" s="60"/>
      <c r="H17" s="60"/>
      <c r="I17" s="60"/>
    </row>
    <row r="18" spans="2:9" x14ac:dyDescent="0.25">
      <c r="B18" s="93" t="s">
        <v>20</v>
      </c>
      <c r="C18" s="90" t="s">
        <v>21</v>
      </c>
      <c r="D18" s="91">
        <f>'Прил.2 Расч стоим'!F12</f>
        <v>7.2963087</v>
      </c>
      <c r="E18" s="60"/>
      <c r="F18" s="60"/>
      <c r="G18" s="60"/>
      <c r="H18" s="60"/>
      <c r="I18" s="60"/>
    </row>
    <row r="19" spans="2:9" x14ac:dyDescent="0.25">
      <c r="B19" s="93" t="s">
        <v>22</v>
      </c>
      <c r="C19" s="90" t="s">
        <v>23</v>
      </c>
      <c r="D19" s="91">
        <f>'Прил.2 Расч стоим'!H12</f>
        <v>60.263185399999998</v>
      </c>
      <c r="E19" s="60"/>
      <c r="F19" s="60"/>
      <c r="G19" s="60"/>
      <c r="H19" s="60"/>
      <c r="I19" s="60"/>
    </row>
    <row r="20" spans="2:9" x14ac:dyDescent="0.25">
      <c r="B20" s="93" t="s">
        <v>24</v>
      </c>
      <c r="C20" s="90" t="s">
        <v>25</v>
      </c>
      <c r="D20" s="91"/>
      <c r="E20" s="60"/>
      <c r="F20" s="60"/>
      <c r="G20" s="60"/>
      <c r="H20" s="60"/>
      <c r="I20" s="60"/>
    </row>
    <row r="21" spans="2:9" ht="31.5" customHeight="1" x14ac:dyDescent="0.25">
      <c r="B21" s="93" t="s">
        <v>26</v>
      </c>
      <c r="C21" s="94" t="s">
        <v>27</v>
      </c>
      <c r="D21" s="95"/>
      <c r="E21" s="60"/>
      <c r="F21" s="60"/>
      <c r="G21" s="60"/>
      <c r="H21" s="60"/>
      <c r="I21" s="60"/>
    </row>
    <row r="22" spans="2:9" x14ac:dyDescent="0.25">
      <c r="B22" s="37">
        <v>7</v>
      </c>
      <c r="C22" s="94" t="s">
        <v>28</v>
      </c>
      <c r="D22" s="37" t="s">
        <v>5</v>
      </c>
      <c r="E22" s="92"/>
      <c r="F22" s="60"/>
      <c r="G22" s="60"/>
      <c r="H22" s="60"/>
      <c r="I22" s="60"/>
    </row>
    <row r="23" spans="2:9" ht="119.25" customHeight="1" x14ac:dyDescent="0.25">
      <c r="B23" s="37">
        <v>8</v>
      </c>
      <c r="C23" s="96" t="s">
        <v>29</v>
      </c>
      <c r="D23" s="84">
        <f>D17</f>
        <v>7.2963087</v>
      </c>
      <c r="E23" s="60"/>
      <c r="F23" s="60"/>
      <c r="G23" s="60"/>
      <c r="H23" s="60"/>
      <c r="I23" s="60"/>
    </row>
    <row r="24" spans="2:9" ht="47.25" customHeight="1" x14ac:dyDescent="0.25">
      <c r="B24" s="37">
        <v>9</v>
      </c>
      <c r="C24" s="38" t="s">
        <v>30</v>
      </c>
      <c r="D24" s="84">
        <f>D17/D15</f>
        <v>7.2963087</v>
      </c>
      <c r="E24" s="92"/>
      <c r="F24" s="60"/>
      <c r="G24" s="60"/>
      <c r="H24" s="60"/>
      <c r="I24" s="60"/>
    </row>
    <row r="25" spans="2:9" x14ac:dyDescent="0.25">
      <c r="B25" s="37">
        <v>10</v>
      </c>
      <c r="C25" s="90" t="s">
        <v>31</v>
      </c>
      <c r="D25" s="90"/>
      <c r="E25" s="60"/>
      <c r="F25" s="60"/>
      <c r="G25" s="60"/>
      <c r="H25" s="60"/>
      <c r="I25" s="60"/>
    </row>
    <row r="26" spans="2:9" x14ac:dyDescent="0.25">
      <c r="B26" s="88"/>
      <c r="C26" s="97"/>
      <c r="D26" s="97"/>
      <c r="E26" s="60"/>
      <c r="F26" s="60"/>
      <c r="G26" s="60"/>
      <c r="H26" s="60"/>
      <c r="I26" s="60"/>
    </row>
    <row r="27" spans="2:9" x14ac:dyDescent="0.25">
      <c r="B27" s="67"/>
      <c r="E27" s="60"/>
      <c r="F27" s="60"/>
      <c r="G27" s="60"/>
      <c r="H27" s="60"/>
      <c r="I27" s="60"/>
    </row>
    <row r="28" spans="2:9" x14ac:dyDescent="0.25">
      <c r="B28" s="60" t="s">
        <v>32</v>
      </c>
      <c r="E28" s="60"/>
      <c r="F28" s="60"/>
      <c r="G28" s="60"/>
      <c r="H28" s="60"/>
      <c r="I28" s="60"/>
    </row>
    <row r="29" spans="2:9" ht="22.5" customHeight="1" x14ac:dyDescent="0.25">
      <c r="B29" s="77" t="s">
        <v>33</v>
      </c>
      <c r="E29" s="60"/>
      <c r="F29" s="60"/>
      <c r="G29" s="60"/>
      <c r="H29" s="60"/>
      <c r="I29" s="60"/>
    </row>
    <row r="30" spans="2:9" x14ac:dyDescent="0.25">
      <c r="E30" s="60"/>
      <c r="F30" s="60"/>
      <c r="G30" s="60"/>
      <c r="H30" s="60"/>
      <c r="I30" s="60"/>
    </row>
    <row r="31" spans="2:9" x14ac:dyDescent="0.25">
      <c r="B31" s="60" t="s">
        <v>34</v>
      </c>
      <c r="E31" s="60"/>
      <c r="F31" s="60"/>
      <c r="G31" s="60"/>
      <c r="H31" s="60"/>
      <c r="I31" s="60"/>
    </row>
    <row r="32" spans="2:9" ht="22.5" customHeight="1" x14ac:dyDescent="0.25">
      <c r="B32" s="77" t="s">
        <v>35</v>
      </c>
      <c r="E32" s="60"/>
      <c r="F32" s="60"/>
      <c r="G32" s="60"/>
      <c r="H32" s="60"/>
      <c r="I32" s="60"/>
    </row>
    <row r="33" spans="5:9" x14ac:dyDescent="0.25">
      <c r="E33" s="60"/>
      <c r="F33" s="60"/>
      <c r="G33" s="60"/>
      <c r="H33" s="60"/>
      <c r="I33" s="60"/>
    </row>
    <row r="34" spans="5:9" x14ac:dyDescent="0.25">
      <c r="E34" s="60"/>
      <c r="F34" s="60"/>
      <c r="G34" s="60"/>
      <c r="H34" s="60"/>
      <c r="I34" s="60"/>
    </row>
    <row r="35" spans="5:9" x14ac:dyDescent="0.25">
      <c r="E35" s="60"/>
      <c r="F35" s="60"/>
      <c r="G35" s="60"/>
      <c r="H35" s="60"/>
      <c r="I35" s="60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1"/>
  <sheetViews>
    <sheetView view="pageBreakPreview" zoomScale="60" zoomScaleNormal="70" workbookViewId="0">
      <selection activeCell="F16" sqref="F16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</row>
    <row r="2" spans="1:10" ht="15.7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0" ht="15.75" customHeight="1" x14ac:dyDescent="0.25">
      <c r="A3" s="60"/>
      <c r="B3" s="110" t="s">
        <v>36</v>
      </c>
      <c r="C3" s="110"/>
      <c r="D3" s="110"/>
      <c r="E3" s="110"/>
      <c r="F3" s="110"/>
      <c r="G3" s="110"/>
      <c r="H3" s="110"/>
      <c r="I3" s="110"/>
      <c r="J3" s="110"/>
    </row>
    <row r="4" spans="1:10" ht="15.75" customHeight="1" x14ac:dyDescent="0.25">
      <c r="A4" s="60"/>
      <c r="B4" s="111" t="s">
        <v>37</v>
      </c>
      <c r="C4" s="111"/>
      <c r="D4" s="111"/>
      <c r="E4" s="111"/>
      <c r="F4" s="111"/>
      <c r="G4" s="111"/>
      <c r="H4" s="111"/>
      <c r="I4" s="111"/>
      <c r="J4" s="111"/>
    </row>
    <row r="5" spans="1:10" ht="15.75" customHeight="1" x14ac:dyDescent="0.25">
      <c r="A5" s="60"/>
      <c r="B5" s="68"/>
      <c r="C5" s="68"/>
      <c r="D5" s="68"/>
      <c r="E5" s="68"/>
      <c r="F5" s="68"/>
      <c r="G5" s="68"/>
      <c r="H5" s="68"/>
      <c r="I5" s="68"/>
      <c r="J5" s="68"/>
    </row>
    <row r="6" spans="1:10" ht="15.75" customHeight="1" x14ac:dyDescent="0.25">
      <c r="A6" s="60"/>
      <c r="B6" s="115" t="str">
        <f>'Прил.1 Сравнит табл'!B7</f>
        <v>Наименование разрабатываемого показателя УНЦ: Постоянная часть ПС, СКУД ЗПС 35 кВ</v>
      </c>
      <c r="C6" s="115"/>
      <c r="D6" s="115"/>
      <c r="E6" s="115"/>
      <c r="F6" s="115"/>
      <c r="G6" s="115"/>
      <c r="H6" s="115"/>
      <c r="I6" s="115"/>
      <c r="J6" s="115"/>
    </row>
    <row r="7" spans="1:10" ht="15.75" customHeight="1" x14ac:dyDescent="0.25">
      <c r="A7" s="60"/>
      <c r="B7" s="109" t="str">
        <f>'Прил.1 Сравнит табл'!B9</f>
        <v>Единица измерения  — 1 ПС</v>
      </c>
      <c r="C7" s="109"/>
      <c r="D7" s="109"/>
      <c r="E7" s="109"/>
      <c r="F7" s="109"/>
      <c r="G7" s="109"/>
      <c r="H7" s="109"/>
      <c r="I7" s="109"/>
      <c r="J7" s="109"/>
    </row>
    <row r="8" spans="1:10" ht="15.75" customHeight="1" x14ac:dyDescent="0.25">
      <c r="A8" s="60"/>
      <c r="B8" s="66"/>
      <c r="C8" s="60"/>
      <c r="D8" s="60"/>
      <c r="E8" s="60"/>
      <c r="F8" s="60"/>
      <c r="G8" s="60"/>
      <c r="H8" s="60"/>
      <c r="I8" s="60"/>
      <c r="J8" s="60"/>
    </row>
    <row r="9" spans="1:10" ht="15.75" customHeight="1" x14ac:dyDescent="0.25">
      <c r="A9" s="60"/>
      <c r="B9" s="116" t="s">
        <v>7</v>
      </c>
      <c r="C9" s="116" t="s">
        <v>38</v>
      </c>
      <c r="D9" s="116" t="s">
        <v>9</v>
      </c>
      <c r="E9" s="116"/>
      <c r="F9" s="116"/>
      <c r="G9" s="116"/>
      <c r="H9" s="116"/>
      <c r="I9" s="116"/>
      <c r="J9" s="116"/>
    </row>
    <row r="10" spans="1:10" ht="15.75" customHeight="1" x14ac:dyDescent="0.25">
      <c r="A10" s="60"/>
      <c r="B10" s="116"/>
      <c r="C10" s="116"/>
      <c r="D10" s="116" t="s">
        <v>39</v>
      </c>
      <c r="E10" s="116" t="s">
        <v>40</v>
      </c>
      <c r="F10" s="116" t="s">
        <v>41</v>
      </c>
      <c r="G10" s="116"/>
      <c r="H10" s="116"/>
      <c r="I10" s="116"/>
      <c r="J10" s="116"/>
    </row>
    <row r="11" spans="1:10" ht="31.5" customHeight="1" x14ac:dyDescent="0.25">
      <c r="A11" s="60"/>
      <c r="B11" s="116"/>
      <c r="C11" s="117"/>
      <c r="D11" s="117"/>
      <c r="E11" s="117"/>
      <c r="F11" s="70" t="s">
        <v>42</v>
      </c>
      <c r="G11" s="70" t="s">
        <v>43</v>
      </c>
      <c r="H11" s="70" t="s">
        <v>44</v>
      </c>
      <c r="I11" s="70" t="s">
        <v>45</v>
      </c>
      <c r="J11" s="70" t="s">
        <v>46</v>
      </c>
    </row>
    <row r="12" spans="1:10" ht="15.75" customHeight="1" x14ac:dyDescent="0.25">
      <c r="A12" s="60"/>
      <c r="B12" s="106">
        <v>1</v>
      </c>
      <c r="C12" s="108" t="s">
        <v>47</v>
      </c>
      <c r="D12" s="108"/>
      <c r="E12" s="108"/>
      <c r="F12" s="118">
        <v>7.2963087</v>
      </c>
      <c r="G12" s="119"/>
      <c r="H12" s="108">
        <v>60.263185399999998</v>
      </c>
      <c r="I12" s="108"/>
      <c r="J12" s="108"/>
    </row>
    <row r="13" spans="1:10" ht="15.75" customHeight="1" x14ac:dyDescent="0.25">
      <c r="A13" s="60"/>
      <c r="B13" s="113" t="s">
        <v>48</v>
      </c>
      <c r="C13" s="114"/>
      <c r="D13" s="114"/>
      <c r="E13" s="114"/>
      <c r="F13" s="107"/>
      <c r="G13" s="107"/>
      <c r="H13" s="107"/>
      <c r="I13" s="107"/>
      <c r="J13" s="107"/>
    </row>
    <row r="14" spans="1:10" ht="15.75" customHeight="1" x14ac:dyDescent="0.25">
      <c r="A14" s="60"/>
      <c r="B14" s="113" t="s">
        <v>49</v>
      </c>
      <c r="C14" s="113"/>
      <c r="D14" s="113"/>
      <c r="E14" s="113"/>
      <c r="F14" s="120">
        <f>F12</f>
        <v>7.2963087</v>
      </c>
      <c r="G14" s="121"/>
      <c r="H14" s="86">
        <f>H12</f>
        <v>60.263185399999998</v>
      </c>
      <c r="I14" s="86"/>
      <c r="J14" s="86">
        <f>F12+H12</f>
        <v>67.559494099999995</v>
      </c>
    </row>
    <row r="15" spans="1:10" ht="15.75" customHeight="1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7" spans="2:4" ht="15.75" customHeight="1" x14ac:dyDescent="0.25">
      <c r="B17" s="60" t="s">
        <v>32</v>
      </c>
      <c r="C17" s="60"/>
      <c r="D17" s="60"/>
    </row>
    <row r="18" spans="2:4" ht="22.5" customHeight="1" x14ac:dyDescent="0.25">
      <c r="B18" s="77" t="s">
        <v>33</v>
      </c>
      <c r="C18" s="60"/>
      <c r="D18" s="60"/>
    </row>
    <row r="19" spans="2:4" ht="15.75" customHeight="1" x14ac:dyDescent="0.25">
      <c r="B19" s="60"/>
      <c r="C19" s="60"/>
      <c r="D19" s="60"/>
    </row>
    <row r="20" spans="2:4" ht="15.75" customHeight="1" x14ac:dyDescent="0.25">
      <c r="B20" s="60" t="s">
        <v>34</v>
      </c>
      <c r="C20" s="60"/>
      <c r="D20" s="60"/>
    </row>
    <row r="21" spans="2:4" ht="22.5" customHeight="1" x14ac:dyDescent="0.25">
      <c r="B21" s="77" t="s">
        <v>35</v>
      </c>
      <c r="C21" s="60"/>
      <c r="D21" s="60"/>
    </row>
  </sheetData>
  <mergeCells count="14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H82"/>
  <sheetViews>
    <sheetView view="pageBreakPreview" topLeftCell="A55" zoomScale="70" zoomScaleSheetLayoutView="70" workbookViewId="0">
      <selection activeCell="D80" sqref="D80"/>
    </sheetView>
  </sheetViews>
  <sheetFormatPr defaultRowHeight="15.75" x14ac:dyDescent="0.25"/>
  <cols>
    <col min="1" max="1" width="9.140625" style="60" customWidth="1"/>
    <col min="2" max="2" width="12.5703125" style="60" customWidth="1"/>
    <col min="3" max="3" width="22.42578125" style="60" customWidth="1"/>
    <col min="4" max="4" width="49.7109375" style="60" customWidth="1"/>
    <col min="5" max="5" width="10.140625" style="60" customWidth="1"/>
    <col min="6" max="6" width="20.7109375" style="60" customWidth="1"/>
    <col min="7" max="7" width="16.140625" style="60" customWidth="1"/>
    <col min="8" max="8" width="16.7109375" style="60" customWidth="1"/>
  </cols>
  <sheetData>
    <row r="4" spans="1:8" x14ac:dyDescent="0.25">
      <c r="A4" s="110" t="s">
        <v>50</v>
      </c>
      <c r="B4" s="110"/>
      <c r="C4" s="110"/>
      <c r="D4" s="110"/>
      <c r="E4" s="110"/>
      <c r="F4" s="110"/>
      <c r="G4" s="110"/>
      <c r="H4" s="110"/>
    </row>
    <row r="5" spans="1:8" x14ac:dyDescent="0.25">
      <c r="A5" s="111" t="s">
        <v>51</v>
      </c>
      <c r="B5" s="111"/>
      <c r="C5" s="111"/>
      <c r="D5" s="111"/>
      <c r="E5" s="111"/>
      <c r="F5" s="111"/>
      <c r="G5" s="111"/>
      <c r="H5" s="111"/>
    </row>
    <row r="6" spans="1:8" ht="18.75" customHeight="1" x14ac:dyDescent="0.25">
      <c r="A6" s="66"/>
    </row>
    <row r="7" spans="1:8" x14ac:dyDescent="0.25">
      <c r="A7" s="115" t="str">
        <f>'Прил.1 Сравнит табл'!B7</f>
        <v>Наименование разрабатываемого показателя УНЦ: Постоянная часть ПС, СКУД ЗПС 35 кВ</v>
      </c>
      <c r="B7" s="115"/>
      <c r="C7" s="115"/>
      <c r="D7" s="115"/>
      <c r="E7" s="115"/>
      <c r="F7" s="115"/>
      <c r="G7" s="115"/>
      <c r="H7" s="115"/>
    </row>
    <row r="8" spans="1:8" x14ac:dyDescent="0.25">
      <c r="A8" s="69"/>
      <c r="B8" s="69"/>
      <c r="C8" s="69"/>
      <c r="D8" s="69"/>
      <c r="E8" s="69"/>
      <c r="F8" s="69"/>
      <c r="G8" s="69"/>
      <c r="H8" s="69"/>
    </row>
    <row r="9" spans="1:8" ht="15.75" customHeight="1" x14ac:dyDescent="0.25">
      <c r="A9" s="116" t="s">
        <v>52</v>
      </c>
      <c r="B9" s="116" t="s">
        <v>53</v>
      </c>
      <c r="C9" s="116" t="s">
        <v>54</v>
      </c>
      <c r="D9" s="116" t="s">
        <v>55</v>
      </c>
      <c r="E9" s="116" t="s">
        <v>56</v>
      </c>
      <c r="F9" s="116" t="s">
        <v>57</v>
      </c>
      <c r="G9" s="116" t="s">
        <v>58</v>
      </c>
      <c r="H9" s="116"/>
    </row>
    <row r="10" spans="1:8" x14ac:dyDescent="0.25">
      <c r="A10" s="116"/>
      <c r="B10" s="116"/>
      <c r="C10" s="116"/>
      <c r="D10" s="116"/>
      <c r="E10" s="116"/>
      <c r="F10" s="116"/>
      <c r="G10" s="37" t="s">
        <v>59</v>
      </c>
      <c r="H10" s="37" t="s">
        <v>60</v>
      </c>
    </row>
    <row r="11" spans="1:8" x14ac:dyDescent="0.25">
      <c r="A11" s="70">
        <v>1</v>
      </c>
      <c r="B11" s="70"/>
      <c r="C11" s="70">
        <v>2</v>
      </c>
      <c r="D11" s="70" t="s">
        <v>61</v>
      </c>
      <c r="E11" s="70">
        <v>4</v>
      </c>
      <c r="F11" s="70">
        <v>5</v>
      </c>
      <c r="G11" s="70">
        <v>6</v>
      </c>
      <c r="H11" s="70">
        <v>7</v>
      </c>
    </row>
    <row r="12" spans="1:8" x14ac:dyDescent="0.25">
      <c r="A12" s="122" t="s">
        <v>62</v>
      </c>
      <c r="B12" s="123"/>
      <c r="C12" s="124"/>
      <c r="D12" s="124"/>
      <c r="E12" s="123"/>
      <c r="F12" s="71">
        <f>SUM(F13:F18)</f>
        <v>49.309294326322998</v>
      </c>
      <c r="G12" s="71"/>
      <c r="H12" s="71">
        <f>SUM(H13:H18)</f>
        <v>482.31</v>
      </c>
    </row>
    <row r="13" spans="1:8" x14ac:dyDescent="0.25">
      <c r="A13" s="72">
        <v>1</v>
      </c>
      <c r="B13" s="87"/>
      <c r="C13" s="73" t="s">
        <v>63</v>
      </c>
      <c r="D13" s="74" t="s">
        <v>64</v>
      </c>
      <c r="E13" s="72" t="s">
        <v>65</v>
      </c>
      <c r="F13" s="72">
        <v>25.108407526707001</v>
      </c>
      <c r="G13" s="75">
        <v>9.6199999999999992</v>
      </c>
      <c r="H13" s="75">
        <f t="shared" ref="H13:H18" si="0">ROUND(F13*G13,2)</f>
        <v>241.54</v>
      </c>
    </row>
    <row r="14" spans="1:8" ht="15" customHeight="1" x14ac:dyDescent="0.25">
      <c r="A14" s="72">
        <v>2</v>
      </c>
      <c r="B14" s="85"/>
      <c r="C14" s="73" t="s">
        <v>66</v>
      </c>
      <c r="D14" s="74" t="s">
        <v>67</v>
      </c>
      <c r="E14" s="72" t="s">
        <v>65</v>
      </c>
      <c r="F14" s="72">
        <v>8.6592811508131007</v>
      </c>
      <c r="G14" s="75">
        <v>10.35</v>
      </c>
      <c r="H14" s="75">
        <f t="shared" si="0"/>
        <v>89.62</v>
      </c>
    </row>
    <row r="15" spans="1:8" x14ac:dyDescent="0.25">
      <c r="A15" s="72">
        <v>3</v>
      </c>
      <c r="B15" s="85"/>
      <c r="C15" s="73" t="s">
        <v>68</v>
      </c>
      <c r="D15" s="74" t="s">
        <v>69</v>
      </c>
      <c r="E15" s="72" t="s">
        <v>65</v>
      </c>
      <c r="F15" s="72">
        <v>4.8107117504517003</v>
      </c>
      <c r="G15" s="75">
        <v>10.5</v>
      </c>
      <c r="H15" s="75">
        <f t="shared" si="0"/>
        <v>50.51</v>
      </c>
    </row>
    <row r="16" spans="1:8" x14ac:dyDescent="0.25">
      <c r="A16" s="72">
        <v>4</v>
      </c>
      <c r="B16" s="85"/>
      <c r="C16" s="73" t="s">
        <v>70</v>
      </c>
      <c r="D16" s="74" t="s">
        <v>71</v>
      </c>
      <c r="E16" s="72" t="s">
        <v>65</v>
      </c>
      <c r="F16" s="72">
        <v>5.3060647260060003</v>
      </c>
      <c r="G16" s="75">
        <v>9.51</v>
      </c>
      <c r="H16" s="75">
        <f t="shared" si="0"/>
        <v>50.46</v>
      </c>
    </row>
    <row r="17" spans="1:8" x14ac:dyDescent="0.25">
      <c r="A17" s="72">
        <v>5</v>
      </c>
      <c r="B17" s="85"/>
      <c r="C17" s="73" t="s">
        <v>72</v>
      </c>
      <c r="D17" s="74" t="s">
        <v>73</v>
      </c>
      <c r="E17" s="72" t="s">
        <v>65</v>
      </c>
      <c r="F17" s="72">
        <v>3.9214817503292001</v>
      </c>
      <c r="G17" s="75">
        <v>9.4</v>
      </c>
      <c r="H17" s="75">
        <f t="shared" si="0"/>
        <v>36.86</v>
      </c>
    </row>
    <row r="18" spans="1:8" x14ac:dyDescent="0.25">
      <c r="A18" s="72">
        <v>6</v>
      </c>
      <c r="B18" s="85"/>
      <c r="C18" s="73" t="s">
        <v>74</v>
      </c>
      <c r="D18" s="74" t="s">
        <v>75</v>
      </c>
      <c r="E18" s="72" t="s">
        <v>65</v>
      </c>
      <c r="F18" s="72">
        <v>1.5033474220162</v>
      </c>
      <c r="G18" s="75">
        <v>8.86</v>
      </c>
      <c r="H18" s="75">
        <f t="shared" si="0"/>
        <v>13.32</v>
      </c>
    </row>
    <row r="19" spans="1:8" x14ac:dyDescent="0.25">
      <c r="A19" s="122" t="s">
        <v>76</v>
      </c>
      <c r="B19" s="123"/>
      <c r="C19" s="124"/>
      <c r="D19" s="124"/>
      <c r="E19" s="123"/>
      <c r="F19" s="76">
        <f>F20</f>
        <v>0.38850000000000001</v>
      </c>
      <c r="G19" s="71"/>
      <c r="H19" s="71">
        <f>H20</f>
        <v>19.600000000000001</v>
      </c>
    </row>
    <row r="20" spans="1:8" x14ac:dyDescent="0.25">
      <c r="A20" s="72">
        <v>7</v>
      </c>
      <c r="B20" s="85"/>
      <c r="C20" s="81">
        <v>2</v>
      </c>
      <c r="D20" s="74" t="s">
        <v>76</v>
      </c>
      <c r="E20" s="72" t="s">
        <v>65</v>
      </c>
      <c r="F20" s="72">
        <v>0.38850000000000001</v>
      </c>
      <c r="G20" s="75"/>
      <c r="H20" s="75">
        <v>19.600000000000001</v>
      </c>
    </row>
    <row r="21" spans="1:8" x14ac:dyDescent="0.25">
      <c r="A21" s="122" t="s">
        <v>77</v>
      </c>
      <c r="B21" s="123"/>
      <c r="C21" s="124"/>
      <c r="D21" s="124"/>
      <c r="E21" s="123"/>
      <c r="F21" s="76"/>
      <c r="G21" s="71"/>
      <c r="H21" s="71">
        <f>SUM(H22:H25)</f>
        <v>34.979999999999997</v>
      </c>
    </row>
    <row r="22" spans="1:8" ht="31.5" customHeight="1" x14ac:dyDescent="0.25">
      <c r="A22" s="72">
        <v>8</v>
      </c>
      <c r="B22" s="85"/>
      <c r="C22" s="74" t="s">
        <v>78</v>
      </c>
      <c r="D22" s="74" t="s">
        <v>79</v>
      </c>
      <c r="E22" s="72" t="s">
        <v>80</v>
      </c>
      <c r="F22" s="72">
        <v>0.18636897527658999</v>
      </c>
      <c r="G22" s="75">
        <v>115.4</v>
      </c>
      <c r="H22" s="75">
        <f>ROUND(F22*G22,2)</f>
        <v>21.51</v>
      </c>
    </row>
    <row r="23" spans="1:8" ht="31.5" customHeight="1" x14ac:dyDescent="0.25">
      <c r="A23" s="72">
        <v>9</v>
      </c>
      <c r="B23" s="85"/>
      <c r="C23" s="74" t="s">
        <v>81</v>
      </c>
      <c r="D23" s="74" t="s">
        <v>82</v>
      </c>
      <c r="E23" s="72" t="s">
        <v>80</v>
      </c>
      <c r="F23" s="72">
        <v>0.18638366603257001</v>
      </c>
      <c r="G23" s="75">
        <v>65.709999999999994</v>
      </c>
      <c r="H23" s="75">
        <f>ROUND(F23*G23,2)</f>
        <v>12.25</v>
      </c>
    </row>
    <row r="24" spans="1:8" x14ac:dyDescent="0.25">
      <c r="A24" s="72">
        <v>10</v>
      </c>
      <c r="B24" s="85"/>
      <c r="C24" s="74" t="s">
        <v>83</v>
      </c>
      <c r="D24" s="74" t="s">
        <v>84</v>
      </c>
      <c r="E24" s="72" t="s">
        <v>80</v>
      </c>
      <c r="F24" s="72">
        <v>1.2501054255689001E-2</v>
      </c>
      <c r="G24" s="75">
        <v>89.99</v>
      </c>
      <c r="H24" s="75">
        <f>ROUND(F24*G24,2)</f>
        <v>1.1200000000000001</v>
      </c>
    </row>
    <row r="25" spans="1:8" ht="31.5" customHeight="1" x14ac:dyDescent="0.25">
      <c r="A25" s="72">
        <v>11</v>
      </c>
      <c r="B25" s="85"/>
      <c r="C25" s="74" t="s">
        <v>85</v>
      </c>
      <c r="D25" s="74" t="s">
        <v>86</v>
      </c>
      <c r="E25" s="72" t="s">
        <v>80</v>
      </c>
      <c r="F25" s="72">
        <v>3.2788927701217999E-3</v>
      </c>
      <c r="G25" s="75">
        <v>31.26</v>
      </c>
      <c r="H25" s="75">
        <f>ROUND(F25*G25,2)</f>
        <v>0.1</v>
      </c>
    </row>
    <row r="26" spans="1:8" x14ac:dyDescent="0.25">
      <c r="A26" s="122" t="s">
        <v>44</v>
      </c>
      <c r="B26" s="123"/>
      <c r="C26" s="124"/>
      <c r="D26" s="124"/>
      <c r="E26" s="123"/>
      <c r="F26" s="76"/>
      <c r="G26" s="71"/>
      <c r="H26" s="71">
        <f>SUM(H27:H36)</f>
        <v>14417.03</v>
      </c>
    </row>
    <row r="27" spans="1:8" ht="31.5" customHeight="1" x14ac:dyDescent="0.25">
      <c r="A27" s="72">
        <v>12</v>
      </c>
      <c r="B27" s="85"/>
      <c r="C27" s="74" t="s">
        <v>87</v>
      </c>
      <c r="D27" s="74" t="s">
        <v>88</v>
      </c>
      <c r="E27" s="72" t="s">
        <v>89</v>
      </c>
      <c r="F27" s="72">
        <v>0.4000093431542</v>
      </c>
      <c r="G27" s="75">
        <v>19707.400000000001</v>
      </c>
      <c r="H27" s="75">
        <f t="shared" ref="H27:H36" si="1">ROUND(F27*G27,2)</f>
        <v>7883.14</v>
      </c>
    </row>
    <row r="28" spans="1:8" x14ac:dyDescent="0.25">
      <c r="A28" s="72">
        <v>13</v>
      </c>
      <c r="B28" s="85"/>
      <c r="C28" s="74" t="s">
        <v>90</v>
      </c>
      <c r="D28" s="74" t="s">
        <v>91</v>
      </c>
      <c r="E28" s="72" t="s">
        <v>92</v>
      </c>
      <c r="F28" s="72">
        <v>1.2500292084452</v>
      </c>
      <c r="G28" s="75">
        <v>575.80999999999995</v>
      </c>
      <c r="H28" s="75">
        <f t="shared" si="1"/>
        <v>719.78</v>
      </c>
    </row>
    <row r="29" spans="1:8" ht="31.5" customHeight="1" x14ac:dyDescent="0.25">
      <c r="A29" s="72">
        <v>14</v>
      </c>
      <c r="B29" s="85"/>
      <c r="C29" s="74" t="s">
        <v>93</v>
      </c>
      <c r="D29" s="74" t="s">
        <v>94</v>
      </c>
      <c r="E29" s="72" t="s">
        <v>92</v>
      </c>
      <c r="F29" s="72">
        <v>2.0000469838415</v>
      </c>
      <c r="G29" s="75">
        <v>670.8</v>
      </c>
      <c r="H29" s="75">
        <f t="shared" si="1"/>
        <v>1341.63</v>
      </c>
    </row>
    <row r="30" spans="1:8" ht="47.25" customHeight="1" x14ac:dyDescent="0.25">
      <c r="A30" s="72">
        <v>15</v>
      </c>
      <c r="B30" s="85"/>
      <c r="C30" s="74" t="s">
        <v>95</v>
      </c>
      <c r="D30" s="74" t="s">
        <v>96</v>
      </c>
      <c r="E30" s="72" t="s">
        <v>92</v>
      </c>
      <c r="F30" s="72">
        <v>0.75001733605785004</v>
      </c>
      <c r="G30" s="75">
        <v>474.61</v>
      </c>
      <c r="H30" s="75">
        <f t="shared" si="1"/>
        <v>355.97</v>
      </c>
    </row>
    <row r="31" spans="1:8" ht="31.5" customHeight="1" x14ac:dyDescent="0.25">
      <c r="A31" s="72">
        <v>16</v>
      </c>
      <c r="B31" s="85"/>
      <c r="C31" s="74" t="s">
        <v>97</v>
      </c>
      <c r="D31" s="74" t="s">
        <v>98</v>
      </c>
      <c r="E31" s="72" t="s">
        <v>92</v>
      </c>
      <c r="F31" s="72">
        <v>1.7500411828694</v>
      </c>
      <c r="G31" s="75">
        <v>2061.4</v>
      </c>
      <c r="H31" s="75">
        <f t="shared" si="1"/>
        <v>3607.53</v>
      </c>
    </row>
    <row r="32" spans="1:8" ht="31.5" customHeight="1" x14ac:dyDescent="0.25">
      <c r="A32" s="72">
        <v>17</v>
      </c>
      <c r="B32" s="85"/>
      <c r="C32" s="74" t="s">
        <v>99</v>
      </c>
      <c r="D32" s="74" t="s">
        <v>100</v>
      </c>
      <c r="E32" s="72" t="s">
        <v>92</v>
      </c>
      <c r="F32" s="72">
        <v>0.50001155737189995</v>
      </c>
      <c r="G32" s="75">
        <v>188.24</v>
      </c>
      <c r="H32" s="75">
        <f t="shared" si="1"/>
        <v>94.12</v>
      </c>
    </row>
    <row r="33" spans="1:8" ht="31.5" customHeight="1" x14ac:dyDescent="0.25">
      <c r="A33" s="72">
        <v>18</v>
      </c>
      <c r="B33" s="85"/>
      <c r="C33" s="74" t="s">
        <v>101</v>
      </c>
      <c r="D33" s="74" t="s">
        <v>102</v>
      </c>
      <c r="E33" s="72" t="s">
        <v>92</v>
      </c>
      <c r="F33" s="72">
        <v>0.25000581053814003</v>
      </c>
      <c r="G33" s="75">
        <v>210.93</v>
      </c>
      <c r="H33" s="75">
        <f t="shared" si="1"/>
        <v>52.73</v>
      </c>
    </row>
    <row r="34" spans="1:8" ht="31.5" customHeight="1" x14ac:dyDescent="0.25">
      <c r="A34" s="72">
        <v>19</v>
      </c>
      <c r="B34" s="85"/>
      <c r="C34" s="74" t="s">
        <v>103</v>
      </c>
      <c r="D34" s="74" t="s">
        <v>104</v>
      </c>
      <c r="E34" s="72" t="s">
        <v>92</v>
      </c>
      <c r="F34" s="72">
        <v>0.25000590886037</v>
      </c>
      <c r="G34" s="75">
        <v>286.64</v>
      </c>
      <c r="H34" s="75">
        <f t="shared" si="1"/>
        <v>71.66</v>
      </c>
    </row>
    <row r="35" spans="1:8" x14ac:dyDescent="0.25">
      <c r="A35" s="72">
        <v>20</v>
      </c>
      <c r="B35" s="85"/>
      <c r="C35" s="74" t="s">
        <v>105</v>
      </c>
      <c r="D35" s="74" t="s">
        <v>106</v>
      </c>
      <c r="E35" s="72" t="s">
        <v>92</v>
      </c>
      <c r="F35" s="72">
        <v>1.7500376604787999</v>
      </c>
      <c r="G35" s="75">
        <v>164.69</v>
      </c>
      <c r="H35" s="75">
        <f t="shared" si="1"/>
        <v>288.20999999999998</v>
      </c>
    </row>
    <row r="36" spans="1:8" ht="47.25" customHeight="1" x14ac:dyDescent="0.25">
      <c r="A36" s="72">
        <v>21</v>
      </c>
      <c r="B36" s="85"/>
      <c r="C36" s="74" t="s">
        <v>107</v>
      </c>
      <c r="D36" s="74" t="s">
        <v>108</v>
      </c>
      <c r="E36" s="72" t="s">
        <v>92</v>
      </c>
      <c r="F36" s="72">
        <v>0.25000568586652</v>
      </c>
      <c r="G36" s="75">
        <v>9.02</v>
      </c>
      <c r="H36" s="75">
        <f t="shared" si="1"/>
        <v>2.2599999999999998</v>
      </c>
    </row>
    <row r="37" spans="1:8" x14ac:dyDescent="0.25">
      <c r="A37" s="122" t="s">
        <v>109</v>
      </c>
      <c r="B37" s="123"/>
      <c r="C37" s="124"/>
      <c r="D37" s="124"/>
      <c r="E37" s="123"/>
      <c r="F37" s="76"/>
      <c r="G37" s="71"/>
      <c r="H37" s="71">
        <f>SUM(H38:H75)</f>
        <v>697.68</v>
      </c>
    </row>
    <row r="38" spans="1:8" x14ac:dyDescent="0.25">
      <c r="A38" s="72">
        <v>22</v>
      </c>
      <c r="B38" s="85"/>
      <c r="C38" s="74" t="s">
        <v>110</v>
      </c>
      <c r="D38" s="74" t="s">
        <v>111</v>
      </c>
      <c r="E38" s="72" t="s">
        <v>112</v>
      </c>
      <c r="F38" s="72">
        <v>5.7502440868055997E-2</v>
      </c>
      <c r="G38" s="75">
        <v>4760.47</v>
      </c>
      <c r="H38" s="75">
        <f t="shared" ref="H38:H75" si="2">ROUND(F38*G38,2)</f>
        <v>273.74</v>
      </c>
    </row>
    <row r="39" spans="1:8" ht="31.5" customHeight="1" x14ac:dyDescent="0.25">
      <c r="A39" s="72">
        <v>23</v>
      </c>
      <c r="B39" s="85"/>
      <c r="C39" s="74" t="s">
        <v>113</v>
      </c>
      <c r="D39" s="74" t="s">
        <v>114</v>
      </c>
      <c r="E39" s="72" t="s">
        <v>112</v>
      </c>
      <c r="F39" s="72">
        <v>4.3751961637376997E-2</v>
      </c>
      <c r="G39" s="75">
        <v>4863.9799999999996</v>
      </c>
      <c r="H39" s="75">
        <f t="shared" si="2"/>
        <v>212.81</v>
      </c>
    </row>
    <row r="40" spans="1:8" ht="31.5" customHeight="1" x14ac:dyDescent="0.25">
      <c r="A40" s="72">
        <v>24</v>
      </c>
      <c r="B40" s="85"/>
      <c r="C40" s="74" t="s">
        <v>115</v>
      </c>
      <c r="D40" s="74" t="s">
        <v>116</v>
      </c>
      <c r="E40" s="72" t="s">
        <v>112</v>
      </c>
      <c r="F40" s="72">
        <v>3.7500972858992003E-2</v>
      </c>
      <c r="G40" s="75">
        <v>1361.22</v>
      </c>
      <c r="H40" s="75">
        <f t="shared" si="2"/>
        <v>51.05</v>
      </c>
    </row>
    <row r="41" spans="1:8" x14ac:dyDescent="0.25">
      <c r="A41" s="72">
        <v>25</v>
      </c>
      <c r="B41" s="85"/>
      <c r="C41" s="74" t="s">
        <v>117</v>
      </c>
      <c r="D41" s="74" t="s">
        <v>118</v>
      </c>
      <c r="E41" s="72" t="s">
        <v>119</v>
      </c>
      <c r="F41" s="72">
        <v>32.487269613658</v>
      </c>
      <c r="G41" s="75">
        <v>1.1499999999999999</v>
      </c>
      <c r="H41" s="75">
        <f t="shared" si="2"/>
        <v>37.36</v>
      </c>
    </row>
    <row r="42" spans="1:8" ht="15" customHeight="1" x14ac:dyDescent="0.25">
      <c r="A42" s="72">
        <v>26</v>
      </c>
      <c r="B42" s="85"/>
      <c r="C42" s="74" t="s">
        <v>120</v>
      </c>
      <c r="D42" s="74" t="s">
        <v>121</v>
      </c>
      <c r="E42" s="72" t="s">
        <v>122</v>
      </c>
      <c r="F42" s="72">
        <v>1.5001257167281E-3</v>
      </c>
      <c r="G42" s="75">
        <v>15481</v>
      </c>
      <c r="H42" s="75">
        <f t="shared" si="2"/>
        <v>23.22</v>
      </c>
    </row>
    <row r="43" spans="1:8" ht="31.5" customHeight="1" x14ac:dyDescent="0.25">
      <c r="A43" s="72">
        <v>27</v>
      </c>
      <c r="B43" s="85"/>
      <c r="C43" s="74" t="s">
        <v>123</v>
      </c>
      <c r="D43" s="74" t="s">
        <v>124</v>
      </c>
      <c r="E43" s="72" t="s">
        <v>125</v>
      </c>
      <c r="F43" s="72">
        <v>0.15500631560785</v>
      </c>
      <c r="G43" s="75">
        <v>83</v>
      </c>
      <c r="H43" s="75">
        <f t="shared" si="2"/>
        <v>12.87</v>
      </c>
    </row>
    <row r="44" spans="1:8" ht="31.5" customHeight="1" x14ac:dyDescent="0.25">
      <c r="A44" s="72">
        <v>28</v>
      </c>
      <c r="B44" s="85"/>
      <c r="C44" s="74" t="s">
        <v>126</v>
      </c>
      <c r="D44" s="74" t="s">
        <v>127</v>
      </c>
      <c r="E44" s="72" t="s">
        <v>128</v>
      </c>
      <c r="F44" s="72">
        <v>6.5002648480712993E-2</v>
      </c>
      <c r="G44" s="75">
        <v>180</v>
      </c>
      <c r="H44" s="75">
        <f t="shared" si="2"/>
        <v>11.7</v>
      </c>
    </row>
    <row r="45" spans="1:8" ht="15" customHeight="1" x14ac:dyDescent="0.25">
      <c r="A45" s="72">
        <v>29</v>
      </c>
      <c r="B45" s="85"/>
      <c r="C45" s="74" t="s">
        <v>129</v>
      </c>
      <c r="D45" s="74" t="s">
        <v>130</v>
      </c>
      <c r="E45" s="72" t="s">
        <v>131</v>
      </c>
      <c r="F45" s="72">
        <v>9.6203919751455995</v>
      </c>
      <c r="G45" s="75">
        <v>1</v>
      </c>
      <c r="H45" s="75">
        <f t="shared" si="2"/>
        <v>9.6199999999999992</v>
      </c>
    </row>
    <row r="46" spans="1:8" ht="31.5" customHeight="1" x14ac:dyDescent="0.25">
      <c r="A46" s="72">
        <v>30</v>
      </c>
      <c r="B46" s="85"/>
      <c r="C46" s="74" t="s">
        <v>132</v>
      </c>
      <c r="D46" s="74" t="s">
        <v>133</v>
      </c>
      <c r="E46" s="72" t="s">
        <v>122</v>
      </c>
      <c r="F46" s="72">
        <v>1.1601233139202E-4</v>
      </c>
      <c r="G46" s="75">
        <v>65750</v>
      </c>
      <c r="H46" s="75">
        <f t="shared" si="2"/>
        <v>7.63</v>
      </c>
    </row>
    <row r="47" spans="1:8" ht="47.25" customHeight="1" x14ac:dyDescent="0.25">
      <c r="A47" s="72">
        <v>31</v>
      </c>
      <c r="B47" s="85"/>
      <c r="C47" s="74" t="s">
        <v>134</v>
      </c>
      <c r="D47" s="74" t="s">
        <v>135</v>
      </c>
      <c r="E47" s="72" t="s">
        <v>122</v>
      </c>
      <c r="F47" s="72">
        <v>9.9987722899534006E-5</v>
      </c>
      <c r="G47" s="75">
        <v>75162.289999999994</v>
      </c>
      <c r="H47" s="75">
        <f t="shared" si="2"/>
        <v>7.52</v>
      </c>
    </row>
    <row r="48" spans="1:8" ht="47.25" customHeight="1" x14ac:dyDescent="0.25">
      <c r="A48" s="72">
        <v>32</v>
      </c>
      <c r="B48" s="85"/>
      <c r="C48" s="74" t="s">
        <v>136</v>
      </c>
      <c r="D48" s="74" t="s">
        <v>137</v>
      </c>
      <c r="E48" s="72" t="s">
        <v>138</v>
      </c>
      <c r="F48" s="72">
        <v>0.22204488698823999</v>
      </c>
      <c r="G48" s="75">
        <v>30.4</v>
      </c>
      <c r="H48" s="75">
        <f t="shared" si="2"/>
        <v>6.75</v>
      </c>
    </row>
    <row r="49" spans="1:8" x14ac:dyDescent="0.25">
      <c r="A49" s="72">
        <v>33</v>
      </c>
      <c r="B49" s="85"/>
      <c r="C49" s="74" t="s">
        <v>139</v>
      </c>
      <c r="D49" s="74" t="s">
        <v>140</v>
      </c>
      <c r="E49" s="72" t="s">
        <v>138</v>
      </c>
      <c r="F49" s="72">
        <v>4.0001629834284999E-2</v>
      </c>
      <c r="G49" s="75">
        <v>155</v>
      </c>
      <c r="H49" s="75">
        <f t="shared" si="2"/>
        <v>6.2</v>
      </c>
    </row>
    <row r="50" spans="1:8" x14ac:dyDescent="0.25">
      <c r="A50" s="72">
        <v>34</v>
      </c>
      <c r="B50" s="85"/>
      <c r="C50" s="74" t="s">
        <v>141</v>
      </c>
      <c r="D50" s="74" t="s">
        <v>142</v>
      </c>
      <c r="E50" s="72" t="s">
        <v>125</v>
      </c>
      <c r="F50" s="72">
        <v>2.5001018646428001E-2</v>
      </c>
      <c r="G50" s="75">
        <v>203</v>
      </c>
      <c r="H50" s="75">
        <f t="shared" si="2"/>
        <v>5.08</v>
      </c>
    </row>
    <row r="51" spans="1:8" x14ac:dyDescent="0.25">
      <c r="A51" s="72">
        <v>35</v>
      </c>
      <c r="B51" s="85"/>
      <c r="C51" s="74" t="s">
        <v>143</v>
      </c>
      <c r="D51" s="74" t="s">
        <v>144</v>
      </c>
      <c r="E51" s="72" t="s">
        <v>145</v>
      </c>
      <c r="F51" s="72">
        <v>0.69381882424584995</v>
      </c>
      <c r="G51" s="75">
        <v>6.9</v>
      </c>
      <c r="H51" s="75">
        <f t="shared" si="2"/>
        <v>4.79</v>
      </c>
    </row>
    <row r="52" spans="1:8" x14ac:dyDescent="0.25">
      <c r="A52" s="72">
        <v>36</v>
      </c>
      <c r="B52" s="85"/>
      <c r="C52" s="74" t="s">
        <v>146</v>
      </c>
      <c r="D52" s="74" t="s">
        <v>147</v>
      </c>
      <c r="E52" s="72" t="s">
        <v>122</v>
      </c>
      <c r="F52" s="72">
        <v>3.2503335585380998E-4</v>
      </c>
      <c r="G52" s="75">
        <v>12430</v>
      </c>
      <c r="H52" s="75">
        <f t="shared" si="2"/>
        <v>4.04</v>
      </c>
    </row>
    <row r="53" spans="1:8" x14ac:dyDescent="0.25">
      <c r="A53" s="72">
        <v>37</v>
      </c>
      <c r="B53" s="85"/>
      <c r="C53" s="74" t="s">
        <v>148</v>
      </c>
      <c r="D53" s="74" t="s">
        <v>149</v>
      </c>
      <c r="E53" s="72" t="s">
        <v>138</v>
      </c>
      <c r="F53" s="72">
        <v>0.34515440426082999</v>
      </c>
      <c r="G53" s="75">
        <v>9.0399999999999991</v>
      </c>
      <c r="H53" s="75">
        <f t="shared" si="2"/>
        <v>3.12</v>
      </c>
    </row>
    <row r="54" spans="1:8" ht="31.5" customHeight="1" x14ac:dyDescent="0.25">
      <c r="A54" s="72">
        <v>38</v>
      </c>
      <c r="B54" s="85"/>
      <c r="C54" s="74" t="s">
        <v>150</v>
      </c>
      <c r="D54" s="74" t="s">
        <v>151</v>
      </c>
      <c r="E54" s="72" t="s">
        <v>122</v>
      </c>
      <c r="F54" s="72">
        <v>2.4255311601286E-4</v>
      </c>
      <c r="G54" s="75">
        <v>12606</v>
      </c>
      <c r="H54" s="75">
        <f t="shared" si="2"/>
        <v>3.06</v>
      </c>
    </row>
    <row r="55" spans="1:8" ht="31.5" customHeight="1" x14ac:dyDescent="0.25">
      <c r="A55" s="72">
        <v>39</v>
      </c>
      <c r="B55" s="85"/>
      <c r="C55" s="74" t="s">
        <v>152</v>
      </c>
      <c r="D55" s="74" t="s">
        <v>153</v>
      </c>
      <c r="E55" s="72" t="s">
        <v>122</v>
      </c>
      <c r="F55" s="72">
        <v>6.9971131963509007E-5</v>
      </c>
      <c r="G55" s="75">
        <v>37517</v>
      </c>
      <c r="H55" s="75">
        <f t="shared" si="2"/>
        <v>2.63</v>
      </c>
    </row>
    <row r="56" spans="1:8" x14ac:dyDescent="0.25">
      <c r="A56" s="72">
        <v>40</v>
      </c>
      <c r="B56" s="85"/>
      <c r="C56" s="74" t="s">
        <v>154</v>
      </c>
      <c r="D56" s="74" t="s">
        <v>155</v>
      </c>
      <c r="E56" s="72" t="s">
        <v>122</v>
      </c>
      <c r="F56" s="72">
        <v>1.7498701707475999E-4</v>
      </c>
      <c r="G56" s="75">
        <v>12430</v>
      </c>
      <c r="H56" s="75">
        <f t="shared" si="2"/>
        <v>2.1800000000000002</v>
      </c>
    </row>
    <row r="57" spans="1:8" x14ac:dyDescent="0.25">
      <c r="A57" s="72">
        <v>41</v>
      </c>
      <c r="B57" s="85"/>
      <c r="C57" s="74" t="s">
        <v>156</v>
      </c>
      <c r="D57" s="74" t="s">
        <v>157</v>
      </c>
      <c r="E57" s="72" t="s">
        <v>138</v>
      </c>
      <c r="F57" s="72">
        <v>6.9409629814005003E-2</v>
      </c>
      <c r="G57" s="75">
        <v>28.6</v>
      </c>
      <c r="H57" s="75">
        <f t="shared" si="2"/>
        <v>1.99</v>
      </c>
    </row>
    <row r="58" spans="1:8" x14ac:dyDescent="0.25">
      <c r="A58" s="72">
        <v>42</v>
      </c>
      <c r="B58" s="85"/>
      <c r="C58" s="74" t="s">
        <v>158</v>
      </c>
      <c r="D58" s="74" t="s">
        <v>159</v>
      </c>
      <c r="E58" s="72" t="s">
        <v>122</v>
      </c>
      <c r="F58" s="72">
        <v>4.502524322946E-5</v>
      </c>
      <c r="G58" s="75">
        <v>42700.01</v>
      </c>
      <c r="H58" s="75">
        <f t="shared" si="2"/>
        <v>1.92</v>
      </c>
    </row>
    <row r="59" spans="1:8" ht="31.5" customHeight="1" x14ac:dyDescent="0.25">
      <c r="A59" s="72">
        <v>43</v>
      </c>
      <c r="B59" s="85"/>
      <c r="C59" s="74" t="s">
        <v>160</v>
      </c>
      <c r="D59" s="74" t="s">
        <v>161</v>
      </c>
      <c r="E59" s="72" t="s">
        <v>122</v>
      </c>
      <c r="F59" s="72">
        <v>1.4993606875155999E-5</v>
      </c>
      <c r="G59" s="75">
        <v>114220</v>
      </c>
      <c r="H59" s="75">
        <f t="shared" si="2"/>
        <v>1.71</v>
      </c>
    </row>
    <row r="60" spans="1:8" ht="47.25" customHeight="1" x14ac:dyDescent="0.25">
      <c r="A60" s="72">
        <v>44</v>
      </c>
      <c r="B60" s="85"/>
      <c r="C60" s="74" t="s">
        <v>162</v>
      </c>
      <c r="D60" s="74" t="s">
        <v>163</v>
      </c>
      <c r="E60" s="72" t="s">
        <v>138</v>
      </c>
      <c r="F60" s="72">
        <v>1.2488212679303E-2</v>
      </c>
      <c r="G60" s="75">
        <v>91.29</v>
      </c>
      <c r="H60" s="75">
        <f t="shared" si="2"/>
        <v>1.1399999999999999</v>
      </c>
    </row>
    <row r="61" spans="1:8" ht="31.5" customHeight="1" x14ac:dyDescent="0.25">
      <c r="A61" s="72">
        <v>45</v>
      </c>
      <c r="B61" s="85"/>
      <c r="C61" s="74" t="s">
        <v>164</v>
      </c>
      <c r="D61" s="74" t="s">
        <v>165</v>
      </c>
      <c r="E61" s="72" t="s">
        <v>122</v>
      </c>
      <c r="F61" s="72">
        <v>1.0000407458571E-4</v>
      </c>
      <c r="G61" s="75">
        <v>9800</v>
      </c>
      <c r="H61" s="75">
        <f t="shared" si="2"/>
        <v>0.98</v>
      </c>
    </row>
    <row r="62" spans="1:8" x14ac:dyDescent="0.25">
      <c r="A62" s="72">
        <v>46</v>
      </c>
      <c r="B62" s="85"/>
      <c r="C62" s="74" t="s">
        <v>166</v>
      </c>
      <c r="D62" s="74" t="s">
        <v>167</v>
      </c>
      <c r="E62" s="72" t="s">
        <v>138</v>
      </c>
      <c r="F62" s="72">
        <v>2.9990659029954E-2</v>
      </c>
      <c r="G62" s="75">
        <v>28.26</v>
      </c>
      <c r="H62" s="75">
        <f t="shared" si="2"/>
        <v>0.85</v>
      </c>
    </row>
    <row r="63" spans="1:8" x14ac:dyDescent="0.25">
      <c r="A63" s="72">
        <v>47</v>
      </c>
      <c r="B63" s="85"/>
      <c r="C63" s="74" t="s">
        <v>168</v>
      </c>
      <c r="D63" s="74" t="s">
        <v>169</v>
      </c>
      <c r="E63" s="72" t="s">
        <v>138</v>
      </c>
      <c r="F63" s="72">
        <v>4.6304872411768996E-3</v>
      </c>
      <c r="G63" s="75">
        <v>138.76</v>
      </c>
      <c r="H63" s="75">
        <f t="shared" si="2"/>
        <v>0.64</v>
      </c>
    </row>
    <row r="64" spans="1:8" x14ac:dyDescent="0.25">
      <c r="A64" s="72">
        <v>48</v>
      </c>
      <c r="B64" s="85"/>
      <c r="C64" s="74" t="s">
        <v>170</v>
      </c>
      <c r="D64" s="74" t="s">
        <v>171</v>
      </c>
      <c r="E64" s="72" t="s">
        <v>138</v>
      </c>
      <c r="F64" s="72">
        <v>1.2508484338312999E-2</v>
      </c>
      <c r="G64" s="75">
        <v>47.57</v>
      </c>
      <c r="H64" s="75">
        <f t="shared" si="2"/>
        <v>0.6</v>
      </c>
    </row>
    <row r="65" spans="1:8" x14ac:dyDescent="0.25">
      <c r="A65" s="72">
        <v>49</v>
      </c>
      <c r="B65" s="85"/>
      <c r="C65" s="74" t="s">
        <v>172</v>
      </c>
      <c r="D65" s="74" t="s">
        <v>173</v>
      </c>
      <c r="E65" s="72" t="s">
        <v>138</v>
      </c>
      <c r="F65" s="72">
        <v>1.7542847185385999E-2</v>
      </c>
      <c r="G65" s="75">
        <v>28.93</v>
      </c>
      <c r="H65" s="75">
        <f t="shared" si="2"/>
        <v>0.51</v>
      </c>
    </row>
    <row r="66" spans="1:8" x14ac:dyDescent="0.25">
      <c r="A66" s="72">
        <v>50</v>
      </c>
      <c r="B66" s="85"/>
      <c r="C66" s="74" t="s">
        <v>174</v>
      </c>
      <c r="D66" s="74" t="s">
        <v>175</v>
      </c>
      <c r="E66" s="72" t="s">
        <v>125</v>
      </c>
      <c r="F66" s="72">
        <v>1.2524888224666001E-2</v>
      </c>
      <c r="G66" s="75">
        <v>30.74</v>
      </c>
      <c r="H66" s="75">
        <f t="shared" si="2"/>
        <v>0.39</v>
      </c>
    </row>
    <row r="67" spans="1:8" ht="47.25" customHeight="1" x14ac:dyDescent="0.25">
      <c r="A67" s="72">
        <v>51</v>
      </c>
      <c r="B67" s="85"/>
      <c r="C67" s="74" t="s">
        <v>176</v>
      </c>
      <c r="D67" s="74" t="s">
        <v>177</v>
      </c>
      <c r="E67" s="72" t="s">
        <v>178</v>
      </c>
      <c r="F67" s="72">
        <v>7.5270794911887998E-4</v>
      </c>
      <c r="G67" s="75">
        <v>405.22</v>
      </c>
      <c r="H67" s="75">
        <f t="shared" si="2"/>
        <v>0.31</v>
      </c>
    </row>
    <row r="68" spans="1:8" x14ac:dyDescent="0.25">
      <c r="A68" s="72">
        <v>52</v>
      </c>
      <c r="B68" s="85"/>
      <c r="C68" s="74" t="s">
        <v>179</v>
      </c>
      <c r="D68" s="74" t="s">
        <v>180</v>
      </c>
      <c r="E68" s="72" t="s">
        <v>138</v>
      </c>
      <c r="F68" s="72">
        <v>1.0815129260671E-2</v>
      </c>
      <c r="G68" s="75">
        <v>27.74</v>
      </c>
      <c r="H68" s="75">
        <f t="shared" si="2"/>
        <v>0.3</v>
      </c>
    </row>
    <row r="69" spans="1:8" ht="31.5" customHeight="1" x14ac:dyDescent="0.25">
      <c r="A69" s="72">
        <v>53</v>
      </c>
      <c r="B69" s="85"/>
      <c r="C69" s="74" t="s">
        <v>181</v>
      </c>
      <c r="D69" s="74" t="s">
        <v>182</v>
      </c>
      <c r="E69" s="72" t="s">
        <v>138</v>
      </c>
      <c r="F69" s="72">
        <v>7.4990889993471E-3</v>
      </c>
      <c r="G69" s="75">
        <v>38.340000000000003</v>
      </c>
      <c r="H69" s="75">
        <f t="shared" si="2"/>
        <v>0.28999999999999998</v>
      </c>
    </row>
    <row r="70" spans="1:8" ht="31.5" customHeight="1" x14ac:dyDescent="0.25">
      <c r="A70" s="72">
        <v>54</v>
      </c>
      <c r="B70" s="85"/>
      <c r="C70" s="74" t="s">
        <v>183</v>
      </c>
      <c r="D70" s="74" t="s">
        <v>184</v>
      </c>
      <c r="E70" s="72" t="s">
        <v>138</v>
      </c>
      <c r="F70" s="72">
        <v>6.4713206622611001E-3</v>
      </c>
      <c r="G70" s="75">
        <v>39.020000000000003</v>
      </c>
      <c r="H70" s="75">
        <f t="shared" si="2"/>
        <v>0.25</v>
      </c>
    </row>
    <row r="71" spans="1:8" ht="31.5" customHeight="1" x14ac:dyDescent="0.25">
      <c r="A71" s="72">
        <v>55</v>
      </c>
      <c r="B71" s="85"/>
      <c r="C71" s="74" t="s">
        <v>185</v>
      </c>
      <c r="D71" s="74" t="s">
        <v>186</v>
      </c>
      <c r="E71" s="72" t="s">
        <v>122</v>
      </c>
      <c r="F71" s="72">
        <v>2.4982649051537E-6</v>
      </c>
      <c r="G71" s="75">
        <v>68050</v>
      </c>
      <c r="H71" s="75">
        <f t="shared" si="2"/>
        <v>0.17</v>
      </c>
    </row>
    <row r="72" spans="1:8" ht="31.5" customHeight="1" x14ac:dyDescent="0.25">
      <c r="A72" s="72">
        <v>56</v>
      </c>
      <c r="B72" s="85"/>
      <c r="C72" s="74" t="s">
        <v>187</v>
      </c>
      <c r="D72" s="74" t="s">
        <v>188</v>
      </c>
      <c r="E72" s="72" t="s">
        <v>122</v>
      </c>
      <c r="F72" s="72">
        <v>6.0219233993804997E-6</v>
      </c>
      <c r="G72" s="75">
        <v>22419</v>
      </c>
      <c r="H72" s="75">
        <f t="shared" si="2"/>
        <v>0.14000000000000001</v>
      </c>
    </row>
    <row r="73" spans="1:8" x14ac:dyDescent="0.25">
      <c r="A73" s="72">
        <v>57</v>
      </c>
      <c r="B73" s="85"/>
      <c r="C73" s="74" t="s">
        <v>189</v>
      </c>
      <c r="D73" s="74" t="s">
        <v>190</v>
      </c>
      <c r="E73" s="72" t="s">
        <v>122</v>
      </c>
      <c r="F73" s="72">
        <v>8.9047151456615996E-5</v>
      </c>
      <c r="G73" s="75">
        <v>729.98</v>
      </c>
      <c r="H73" s="75">
        <f t="shared" si="2"/>
        <v>7.0000000000000007E-2</v>
      </c>
    </row>
    <row r="74" spans="1:8" x14ac:dyDescent="0.25">
      <c r="A74" s="72">
        <v>58</v>
      </c>
      <c r="B74" s="85"/>
      <c r="C74" s="74" t="s">
        <v>191</v>
      </c>
      <c r="D74" s="74" t="s">
        <v>192</v>
      </c>
      <c r="E74" s="72" t="s">
        <v>138</v>
      </c>
      <c r="F74" s="72">
        <v>1.473512754656E-3</v>
      </c>
      <c r="G74" s="75">
        <v>35.630000000000003</v>
      </c>
      <c r="H74" s="75">
        <f t="shared" si="2"/>
        <v>0.05</v>
      </c>
    </row>
    <row r="75" spans="1:8" x14ac:dyDescent="0.25">
      <c r="A75" s="72">
        <v>59</v>
      </c>
      <c r="B75" s="85"/>
      <c r="C75" s="74" t="s">
        <v>193</v>
      </c>
      <c r="D75" s="74" t="s">
        <v>194</v>
      </c>
      <c r="E75" s="72" t="s">
        <v>195</v>
      </c>
      <c r="F75" s="72">
        <v>1.2484980740204E-2</v>
      </c>
      <c r="G75" s="75">
        <v>0.4</v>
      </c>
      <c r="H75" s="75">
        <f t="shared" si="2"/>
        <v>0</v>
      </c>
    </row>
    <row r="78" spans="1:8" x14ac:dyDescent="0.25">
      <c r="B78" s="60" t="s">
        <v>32</v>
      </c>
    </row>
    <row r="79" spans="1:8" x14ac:dyDescent="0.25">
      <c r="B79" s="67" t="s">
        <v>33</v>
      </c>
    </row>
    <row r="81" spans="2:2" x14ac:dyDescent="0.25">
      <c r="B81" s="60" t="s">
        <v>34</v>
      </c>
    </row>
    <row r="82" spans="2:2" x14ac:dyDescent="0.25">
      <c r="B82" s="67" t="s">
        <v>35</v>
      </c>
    </row>
  </sheetData>
  <mergeCells count="15">
    <mergeCell ref="A12:E12"/>
    <mergeCell ref="A19:E19"/>
    <mergeCell ref="A21:E21"/>
    <mergeCell ref="A37:E3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71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K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2.8554687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196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25" t="s">
        <v>197</v>
      </c>
      <c r="C5" s="125"/>
      <c r="D5" s="125"/>
      <c r="E5" s="125"/>
    </row>
    <row r="6" spans="2:5" x14ac:dyDescent="0.25">
      <c r="B6" s="16"/>
      <c r="C6" s="6"/>
      <c r="D6" s="6"/>
      <c r="E6" s="6"/>
    </row>
    <row r="7" spans="2:5" ht="39.75" customHeight="1" x14ac:dyDescent="0.25">
      <c r="B7" s="126" t="str">
        <f>'Прил.1 Сравнит табл'!B7</f>
        <v>Наименование разрабатываемого показателя УНЦ: Постоянная часть ПС, СКУД ЗПС 35 кВ</v>
      </c>
      <c r="C7" s="126"/>
      <c r="D7" s="126"/>
      <c r="E7" s="126"/>
    </row>
    <row r="8" spans="2:5" x14ac:dyDescent="0.25">
      <c r="B8" s="127" t="str">
        <f>'Прил.1 Сравнит табл'!B9</f>
        <v>Единица измерения  — 1 ПС</v>
      </c>
      <c r="C8" s="127"/>
      <c r="D8" s="127"/>
      <c r="E8" s="127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198</v>
      </c>
      <c r="C10" s="2" t="s">
        <v>199</v>
      </c>
      <c r="D10" s="2" t="s">
        <v>200</v>
      </c>
      <c r="E10" s="2" t="s">
        <v>201</v>
      </c>
    </row>
    <row r="11" spans="2:5" x14ac:dyDescent="0.25">
      <c r="B11" s="7" t="s">
        <v>202</v>
      </c>
      <c r="C11" s="42">
        <f>'Прил.5 Расчет СМР и ОБ'!J14</f>
        <v>22223.18</v>
      </c>
      <c r="D11" s="41">
        <f t="shared" ref="D11:D18" si="0">C11/$C$24</f>
        <v>0.36797639459572679</v>
      </c>
      <c r="E11" s="41">
        <f t="shared" ref="E11:E18" si="1">C11/$C$40</f>
        <v>0.10039478144716937</v>
      </c>
    </row>
    <row r="12" spans="2:5" x14ac:dyDescent="0.25">
      <c r="B12" s="7" t="s">
        <v>203</v>
      </c>
      <c r="C12" s="42">
        <f>'Прил.5 Расчет СМР и ОБ'!J21</f>
        <v>454.66999999999996</v>
      </c>
      <c r="D12" s="41">
        <f t="shared" si="0"/>
        <v>7.5285277503417194E-3</v>
      </c>
      <c r="E12" s="41">
        <f t="shared" si="1"/>
        <v>2.0540037600642433E-3</v>
      </c>
    </row>
    <row r="13" spans="2:5" x14ac:dyDescent="0.25">
      <c r="B13" s="7" t="s">
        <v>204</v>
      </c>
      <c r="C13" s="42">
        <f>'Прил.5 Расчет СМР и ОБ'!J24</f>
        <v>16.53</v>
      </c>
      <c r="D13" s="41">
        <f t="shared" si="0"/>
        <v>2.737074443291808E-4</v>
      </c>
      <c r="E13" s="41">
        <f t="shared" si="1"/>
        <v>7.4675439668027245E-5</v>
      </c>
    </row>
    <row r="14" spans="2:5" x14ac:dyDescent="0.25">
      <c r="B14" s="7" t="s">
        <v>205</v>
      </c>
      <c r="C14" s="42">
        <f>C13+C12</f>
        <v>471.19999999999993</v>
      </c>
      <c r="D14" s="41">
        <f t="shared" si="0"/>
        <v>7.8022351946708994E-3</v>
      </c>
      <c r="E14" s="41">
        <f t="shared" si="1"/>
        <v>2.1286791997322707E-3</v>
      </c>
    </row>
    <row r="15" spans="2:5" x14ac:dyDescent="0.25">
      <c r="B15" s="7" t="s">
        <v>206</v>
      </c>
      <c r="C15" s="42">
        <f>'Прил.5 Расчет СМР и ОБ'!J16</f>
        <v>217.02</v>
      </c>
      <c r="D15" s="41">
        <f t="shared" si="0"/>
        <v>3.5934657936067039E-3</v>
      </c>
      <c r="E15" s="41">
        <f t="shared" si="1"/>
        <v>9.8040314075954456E-4</v>
      </c>
    </row>
    <row r="16" spans="2:5" x14ac:dyDescent="0.25">
      <c r="B16" s="7" t="s">
        <v>207</v>
      </c>
      <c r="C16" s="42">
        <f>'Прил.5 Расчет СМР и ОБ'!J49</f>
        <v>4809.4900000000007</v>
      </c>
      <c r="D16" s="41">
        <f t="shared" si="0"/>
        <v>7.9636613213959581E-2</v>
      </c>
      <c r="E16" s="41">
        <f t="shared" si="1"/>
        <v>2.1727209941257132E-2</v>
      </c>
    </row>
    <row r="17" spans="2:6" x14ac:dyDescent="0.25">
      <c r="B17" s="7" t="s">
        <v>208</v>
      </c>
      <c r="C17" s="42">
        <f>'Прил.5 Расчет СМР и ОБ'!J83</f>
        <v>799.58999999999992</v>
      </c>
      <c r="D17" s="41">
        <f t="shared" si="0"/>
        <v>1.3239790405999374E-2</v>
      </c>
      <c r="E17" s="41">
        <f t="shared" si="1"/>
        <v>3.6122041623809979E-3</v>
      </c>
      <c r="F17" s="17"/>
    </row>
    <row r="18" spans="2:6" x14ac:dyDescent="0.25">
      <c r="B18" s="7" t="s">
        <v>209</v>
      </c>
      <c r="C18" s="42">
        <f>C17+C16</f>
        <v>5609.0800000000008</v>
      </c>
      <c r="D18" s="41">
        <f t="shared" si="0"/>
        <v>9.2876403619958955E-2</v>
      </c>
      <c r="E18" s="41">
        <f t="shared" si="1"/>
        <v>2.533941410363813E-2</v>
      </c>
    </row>
    <row r="19" spans="2:6" x14ac:dyDescent="0.25">
      <c r="B19" s="7" t="s">
        <v>210</v>
      </c>
      <c r="C19" s="42">
        <f>C18+C14+C11</f>
        <v>28303.46</v>
      </c>
      <c r="D19" s="41"/>
      <c r="E19" s="7"/>
    </row>
    <row r="20" spans="2:6" x14ac:dyDescent="0.25">
      <c r="B20" s="7" t="s">
        <v>211</v>
      </c>
      <c r="C20" s="42">
        <f>ROUND(C21*(C11+C15),2)</f>
        <v>10995.7</v>
      </c>
      <c r="D20" s="41">
        <f>C20/$C$24</f>
        <v>0.18206926470722162</v>
      </c>
      <c r="E20" s="41">
        <f>C20/$C$40</f>
        <v>4.967384948322609E-2</v>
      </c>
    </row>
    <row r="21" spans="2:6" x14ac:dyDescent="0.25">
      <c r="B21" s="7" t="s">
        <v>212</v>
      </c>
      <c r="C21" s="43">
        <f>'Прил.5 Расчет СМР и ОБ'!E87</f>
        <v>0.49</v>
      </c>
      <c r="D21" s="41"/>
      <c r="E21" s="7"/>
    </row>
    <row r="22" spans="2:6" x14ac:dyDescent="0.25">
      <c r="B22" s="7" t="s">
        <v>213</v>
      </c>
      <c r="C22" s="42">
        <f>ROUND(C23*(C11+C15),2)</f>
        <v>21093.79</v>
      </c>
      <c r="D22" s="41">
        <f>C22/$C$24</f>
        <v>0.34927570188242169</v>
      </c>
      <c r="E22" s="41">
        <f>C22/$C$40</f>
        <v>9.5292682547794105E-2</v>
      </c>
    </row>
    <row r="23" spans="2:6" x14ac:dyDescent="0.25">
      <c r="B23" s="7" t="s">
        <v>214</v>
      </c>
      <c r="C23" s="43">
        <f>'Прил.5 Расчет СМР и ОБ'!E86</f>
        <v>0.94</v>
      </c>
      <c r="D23" s="41"/>
      <c r="E23" s="7"/>
    </row>
    <row r="24" spans="2:6" x14ac:dyDescent="0.25">
      <c r="B24" s="7" t="s">
        <v>215</v>
      </c>
      <c r="C24" s="42">
        <f>C19+C20+C22</f>
        <v>60392.950000000004</v>
      </c>
      <c r="D24" s="41">
        <f>C24/$C$24</f>
        <v>1</v>
      </c>
      <c r="E24" s="41">
        <f>C24/$C$40</f>
        <v>0.27282940678155998</v>
      </c>
    </row>
    <row r="25" spans="2:6" ht="25.5" customHeight="1" x14ac:dyDescent="0.25">
      <c r="B25" s="7" t="s">
        <v>216</v>
      </c>
      <c r="C25" s="42">
        <f>'Прил.5 Расчет СМР и ОБ'!J40</f>
        <v>134280.69</v>
      </c>
      <c r="D25" s="41"/>
      <c r="E25" s="41">
        <f>C25/$C$40</f>
        <v>0.60662247820181914</v>
      </c>
    </row>
    <row r="26" spans="2:6" ht="25.5" customHeight="1" x14ac:dyDescent="0.25">
      <c r="B26" s="7" t="s">
        <v>217</v>
      </c>
      <c r="C26" s="42">
        <f>'Прил.5 Расчет СМР и ОБ'!J41</f>
        <v>134280.63</v>
      </c>
      <c r="D26" s="41"/>
      <c r="E26" s="41">
        <f>C26/$C$40</f>
        <v>0.60662220714759163</v>
      </c>
    </row>
    <row r="27" spans="2:6" x14ac:dyDescent="0.25">
      <c r="B27" s="7" t="s">
        <v>218</v>
      </c>
      <c r="C27" s="40">
        <f>C24+C25</f>
        <v>194673.64</v>
      </c>
      <c r="D27" s="41"/>
      <c r="E27" s="41">
        <f>C27/$C$40</f>
        <v>0.87945188498337912</v>
      </c>
    </row>
    <row r="28" spans="2:6" ht="33" customHeight="1" x14ac:dyDescent="0.25">
      <c r="B28" s="7" t="s">
        <v>219</v>
      </c>
      <c r="C28" s="7"/>
      <c r="D28" s="7"/>
      <c r="E28" s="7"/>
    </row>
    <row r="29" spans="2:6" ht="25.5" customHeight="1" x14ac:dyDescent="0.25">
      <c r="B29" s="7" t="s">
        <v>220</v>
      </c>
      <c r="C29" s="40">
        <f>ROUND(C24*3.9%,2)</f>
        <v>2355.33</v>
      </c>
      <c r="D29" s="7"/>
      <c r="E29" s="41">
        <f t="shared" ref="E29:E40" si="2">C29/$C$40</f>
        <v>1.0640369226454604E-2</v>
      </c>
    </row>
    <row r="30" spans="2:6" ht="38.25" customHeight="1" x14ac:dyDescent="0.25">
      <c r="B30" s="98" t="s">
        <v>221</v>
      </c>
      <c r="C30" s="99">
        <f>ROUND((C24+C29)*2.1%,2)</f>
        <v>1317.71</v>
      </c>
      <c r="D30" s="98"/>
      <c r="E30" s="100">
        <f t="shared" si="2"/>
        <v>5.9528477679949296E-3</v>
      </c>
    </row>
    <row r="31" spans="2:6" x14ac:dyDescent="0.25">
      <c r="B31" s="98" t="s">
        <v>222</v>
      </c>
      <c r="C31" s="99">
        <v>11650</v>
      </c>
      <c r="D31" s="98"/>
      <c r="E31" s="100">
        <f t="shared" si="2"/>
        <v>5.2629695833788105E-2</v>
      </c>
    </row>
    <row r="32" spans="2:6" ht="25.5" customHeight="1" x14ac:dyDescent="0.25">
      <c r="B32" s="98" t="s">
        <v>223</v>
      </c>
      <c r="C32" s="99">
        <v>0</v>
      </c>
      <c r="D32" s="98"/>
      <c r="E32" s="100">
        <f t="shared" si="2"/>
        <v>0</v>
      </c>
      <c r="F32" s="83"/>
    </row>
    <row r="33" spans="2:11" ht="25.5" customHeight="1" x14ac:dyDescent="0.25">
      <c r="B33" s="98" t="s">
        <v>224</v>
      </c>
      <c r="C33" s="99">
        <v>0</v>
      </c>
      <c r="D33" s="98"/>
      <c r="E33" s="100">
        <f t="shared" si="2"/>
        <v>0</v>
      </c>
      <c r="F33" s="83"/>
    </row>
    <row r="34" spans="2:11" ht="51" customHeight="1" x14ac:dyDescent="0.25">
      <c r="B34" s="98" t="s">
        <v>225</v>
      </c>
      <c r="C34" s="99">
        <v>0</v>
      </c>
      <c r="D34" s="98"/>
      <c r="E34" s="100">
        <f t="shared" si="2"/>
        <v>0</v>
      </c>
      <c r="F34" s="83"/>
    </row>
    <row r="35" spans="2:11" ht="76.5" customHeight="1" x14ac:dyDescent="0.25">
      <c r="B35" s="7" t="s">
        <v>226</v>
      </c>
      <c r="C35" s="40">
        <v>0</v>
      </c>
      <c r="D35" s="7"/>
      <c r="E35" s="41">
        <f t="shared" si="2"/>
        <v>0</v>
      </c>
      <c r="F35" s="83"/>
    </row>
    <row r="36" spans="2:11" ht="25.5" customHeight="1" x14ac:dyDescent="0.25">
      <c r="B36" s="7" t="s">
        <v>227</v>
      </c>
      <c r="C36" s="40">
        <f>ROUND(SUM(C27:C35)*2.14%,2)</f>
        <v>4493.93</v>
      </c>
      <c r="D36" s="7"/>
      <c r="E36" s="41">
        <f t="shared" si="2"/>
        <v>2.0301645407582437E-2</v>
      </c>
      <c r="F36" s="58"/>
      <c r="K36" s="18"/>
    </row>
    <row r="37" spans="2:11" x14ac:dyDescent="0.25">
      <c r="B37" s="7" t="s">
        <v>228</v>
      </c>
      <c r="C37" s="40">
        <f>ROUND(SUM(C27:C35)*0.2%,2)</f>
        <v>419.99</v>
      </c>
      <c r="D37" s="7"/>
      <c r="E37" s="41">
        <f t="shared" si="2"/>
        <v>1.897334416586495E-3</v>
      </c>
      <c r="F37" s="58"/>
      <c r="K37" s="18"/>
    </row>
    <row r="38" spans="2:11" ht="38.25" customHeight="1" x14ac:dyDescent="0.25">
      <c r="B38" s="7" t="s">
        <v>229</v>
      </c>
      <c r="C38" s="42">
        <f>SUM(C27:C37)</f>
        <v>214910.59999999998</v>
      </c>
      <c r="D38" s="7"/>
      <c r="E38" s="41">
        <f t="shared" si="2"/>
        <v>0.97087377763578553</v>
      </c>
    </row>
    <row r="39" spans="2:11" ht="13.5" customHeight="1" x14ac:dyDescent="0.25">
      <c r="B39" s="7" t="s">
        <v>230</v>
      </c>
      <c r="C39" s="42">
        <f>ROUND(C38*3%,2)</f>
        <v>6447.32</v>
      </c>
      <c r="D39" s="7"/>
      <c r="E39" s="41">
        <f t="shared" si="2"/>
        <v>2.9126222364214482E-2</v>
      </c>
    </row>
    <row r="40" spans="2:11" x14ac:dyDescent="0.25">
      <c r="B40" s="7" t="s">
        <v>231</v>
      </c>
      <c r="C40" s="42">
        <f>C39+C38</f>
        <v>221357.91999999998</v>
      </c>
      <c r="D40" s="7"/>
      <c r="E40" s="41">
        <f t="shared" si="2"/>
        <v>1</v>
      </c>
    </row>
    <row r="41" spans="2:11" x14ac:dyDescent="0.25">
      <c r="B41" s="7" t="s">
        <v>232</v>
      </c>
      <c r="C41" s="42">
        <f>C40/'Прил.5 Расчет СМР и ОБ'!E90</f>
        <v>221357.91999999998</v>
      </c>
      <c r="D41" s="7"/>
      <c r="E41" s="7"/>
    </row>
    <row r="42" spans="2:11" x14ac:dyDescent="0.25">
      <c r="B42" s="19"/>
      <c r="C42" s="6"/>
      <c r="D42" s="6"/>
      <c r="E42" s="6"/>
    </row>
    <row r="43" spans="2:11" x14ac:dyDescent="0.25">
      <c r="B43" s="6" t="s">
        <v>32</v>
      </c>
      <c r="C43" s="1"/>
      <c r="D43" s="6"/>
      <c r="E43" s="6"/>
    </row>
    <row r="44" spans="2:11" x14ac:dyDescent="0.25">
      <c r="B44" s="61" t="s">
        <v>33</v>
      </c>
      <c r="C44" s="1"/>
      <c r="D44" s="6"/>
      <c r="E44" s="6"/>
    </row>
    <row r="45" spans="2:11" x14ac:dyDescent="0.25">
      <c r="B45" s="6"/>
      <c r="C45" s="1"/>
      <c r="D45" s="6"/>
      <c r="E45" s="6"/>
    </row>
    <row r="46" spans="2:11" x14ac:dyDescent="0.25">
      <c r="B46" s="6" t="s">
        <v>34</v>
      </c>
      <c r="C46" s="1"/>
      <c r="D46" s="6"/>
      <c r="E46" s="6"/>
    </row>
    <row r="47" spans="2:11" x14ac:dyDescent="0.25">
      <c r="B47" s="61" t="s">
        <v>35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97"/>
  <sheetViews>
    <sheetView tabSelected="1" view="pageBreakPreview" topLeftCell="A28" zoomScale="70" zoomScaleSheetLayoutView="70" workbookViewId="0">
      <selection activeCell="X98" sqref="X98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</cols>
  <sheetData>
    <row r="2" spans="1:10" ht="15.75" customHeight="1" x14ac:dyDescent="0.25">
      <c r="I2" s="60"/>
      <c r="J2" s="59" t="s">
        <v>233</v>
      </c>
    </row>
    <row r="4" spans="1:10" s="6" customFormat="1" ht="12.75" customHeight="1" x14ac:dyDescent="0.2">
      <c r="A4" s="125" t="s">
        <v>234</v>
      </c>
      <c r="B4" s="125"/>
      <c r="C4" s="125"/>
      <c r="D4" s="125"/>
      <c r="E4" s="125"/>
      <c r="F4" s="125"/>
      <c r="G4" s="125"/>
      <c r="H4" s="125"/>
      <c r="I4" s="44"/>
      <c r="J4" s="44"/>
    </row>
    <row r="5" spans="1:10" s="6" customFormat="1" ht="12.7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0" s="6" customFormat="1" ht="41.25" customHeight="1" x14ac:dyDescent="0.2">
      <c r="A6" s="78" t="s">
        <v>235</v>
      </c>
      <c r="B6" s="79"/>
      <c r="C6" s="79"/>
      <c r="D6" s="141" t="s">
        <v>236</v>
      </c>
      <c r="E6" s="141"/>
      <c r="F6" s="141"/>
      <c r="G6" s="141"/>
      <c r="H6" s="141"/>
      <c r="I6" s="141"/>
      <c r="J6" s="141"/>
    </row>
    <row r="7" spans="1:10" s="6" customFormat="1" ht="12.75" customHeight="1" x14ac:dyDescent="0.2">
      <c r="A7" s="141" t="str">
        <f>'Прил.1 Сравнит табл'!B9</f>
        <v>Единица измерения  — 1 ПС</v>
      </c>
      <c r="B7" s="126"/>
      <c r="C7" s="126"/>
      <c r="D7" s="126"/>
      <c r="E7" s="126"/>
      <c r="F7" s="126"/>
      <c r="G7" s="126"/>
      <c r="H7" s="126"/>
      <c r="I7" s="80"/>
      <c r="J7" s="80"/>
    </row>
    <row r="8" spans="1:10" s="6" customFormat="1" ht="12.75" customHeight="1" x14ac:dyDescent="0.2"/>
    <row r="9" spans="1:10" ht="27" customHeight="1" x14ac:dyDescent="0.25">
      <c r="A9" s="128" t="s">
        <v>237</v>
      </c>
      <c r="B9" s="128" t="s">
        <v>54</v>
      </c>
      <c r="C9" s="128" t="s">
        <v>198</v>
      </c>
      <c r="D9" s="128" t="s">
        <v>56</v>
      </c>
      <c r="E9" s="129" t="s">
        <v>238</v>
      </c>
      <c r="F9" s="131" t="s">
        <v>58</v>
      </c>
      <c r="G9" s="132"/>
      <c r="H9" s="129" t="s">
        <v>239</v>
      </c>
      <c r="I9" s="131" t="s">
        <v>240</v>
      </c>
      <c r="J9" s="132"/>
    </row>
    <row r="10" spans="1:10" ht="28.5" customHeight="1" x14ac:dyDescent="0.25">
      <c r="A10" s="128"/>
      <c r="B10" s="128"/>
      <c r="C10" s="128"/>
      <c r="D10" s="128"/>
      <c r="E10" s="130"/>
      <c r="F10" s="2" t="s">
        <v>241</v>
      </c>
      <c r="G10" s="2" t="s">
        <v>60</v>
      </c>
      <c r="H10" s="130"/>
      <c r="I10" s="2" t="s">
        <v>241</v>
      </c>
      <c r="J10" s="2" t="s">
        <v>60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42" t="s">
        <v>242</v>
      </c>
      <c r="C12" s="133"/>
      <c r="D12" s="128"/>
      <c r="E12" s="134"/>
      <c r="F12" s="135"/>
      <c r="G12" s="135"/>
      <c r="H12" s="143"/>
      <c r="I12" s="45"/>
      <c r="J12" s="45"/>
    </row>
    <row r="13" spans="1:10" ht="25.5" customHeight="1" x14ac:dyDescent="0.25">
      <c r="A13" s="2">
        <v>1</v>
      </c>
      <c r="B13" s="48" t="s">
        <v>243</v>
      </c>
      <c r="C13" s="3" t="s">
        <v>244</v>
      </c>
      <c r="D13" s="2" t="s">
        <v>245</v>
      </c>
      <c r="E13" s="47">
        <v>49.308149999999998</v>
      </c>
      <c r="F13" s="14">
        <v>9.76</v>
      </c>
      <c r="G13" s="14">
        <f>F13*E13</f>
        <v>481.24754399999995</v>
      </c>
      <c r="H13" s="46">
        <f>G13/G14</f>
        <v>1</v>
      </c>
      <c r="I13" s="14">
        <f>ФОТр.тек.!E13</f>
        <v>450.69987855412</v>
      </c>
      <c r="J13" s="14">
        <f>ROUND(I13*E13,2)</f>
        <v>22223.18</v>
      </c>
    </row>
    <row r="14" spans="1:10" s="1" customFormat="1" ht="25.5" customHeight="1" x14ac:dyDescent="0.2">
      <c r="A14" s="2"/>
      <c r="B14" s="2"/>
      <c r="C14" s="5" t="s">
        <v>246</v>
      </c>
      <c r="D14" s="2" t="s">
        <v>245</v>
      </c>
      <c r="E14" s="47">
        <f>SUM(E13:E13)</f>
        <v>49.308149999999998</v>
      </c>
      <c r="F14" s="14"/>
      <c r="G14" s="14">
        <f>SUM(G13:G13)</f>
        <v>481.24754399999995</v>
      </c>
      <c r="H14" s="46">
        <v>1</v>
      </c>
      <c r="I14" s="14"/>
      <c r="J14" s="14">
        <f>SUM(J13:J13)</f>
        <v>22223.18</v>
      </c>
    </row>
    <row r="15" spans="1:10" s="1" customFormat="1" ht="14.25" customHeight="1" x14ac:dyDescent="0.2">
      <c r="A15" s="2"/>
      <c r="B15" s="133" t="s">
        <v>76</v>
      </c>
      <c r="C15" s="133"/>
      <c r="D15" s="128"/>
      <c r="E15" s="134"/>
      <c r="F15" s="135"/>
      <c r="G15" s="135"/>
      <c r="H15" s="143"/>
      <c r="I15" s="45"/>
      <c r="J15" s="45"/>
    </row>
    <row r="16" spans="1:10" s="1" customFormat="1" ht="14.25" customHeight="1" x14ac:dyDescent="0.2">
      <c r="A16" s="2">
        <v>2</v>
      </c>
      <c r="B16" s="2">
        <v>2</v>
      </c>
      <c r="C16" s="3" t="s">
        <v>76</v>
      </c>
      <c r="D16" s="2" t="s">
        <v>245</v>
      </c>
      <c r="E16" s="47">
        <v>0.38850000000000001</v>
      </c>
      <c r="F16" s="14">
        <v>12.612612612613001</v>
      </c>
      <c r="G16" s="14">
        <f>Прил.3!H20</f>
        <v>19.600000000000001</v>
      </c>
      <c r="H16" s="46">
        <v>1</v>
      </c>
      <c r="I16" s="14">
        <f>ROUND(F16*Прил.10!D10,2)</f>
        <v>558.61</v>
      </c>
      <c r="J16" s="14">
        <f>ROUND(I16*E16,2)</f>
        <v>217.02</v>
      </c>
    </row>
    <row r="17" spans="1:10" s="1" customFormat="1" ht="14.25" customHeight="1" x14ac:dyDescent="0.2">
      <c r="A17" s="2"/>
      <c r="B17" s="142" t="s">
        <v>77</v>
      </c>
      <c r="C17" s="133"/>
      <c r="D17" s="128"/>
      <c r="E17" s="134"/>
      <c r="F17" s="135"/>
      <c r="G17" s="135"/>
      <c r="H17" s="136"/>
      <c r="I17" s="46"/>
      <c r="J17" s="46"/>
    </row>
    <row r="18" spans="1:10" s="1" customFormat="1" ht="14.25" customHeight="1" x14ac:dyDescent="0.2">
      <c r="A18" s="2"/>
      <c r="B18" s="133" t="s">
        <v>247</v>
      </c>
      <c r="C18" s="133"/>
      <c r="D18" s="128"/>
      <c r="E18" s="134"/>
      <c r="F18" s="135"/>
      <c r="G18" s="135"/>
      <c r="H18" s="143"/>
      <c r="I18" s="45"/>
      <c r="J18" s="45"/>
    </row>
    <row r="19" spans="1:10" s="1" customFormat="1" ht="25.5" customHeight="1" x14ac:dyDescent="0.2">
      <c r="A19" s="2">
        <v>3</v>
      </c>
      <c r="B19" s="48" t="s">
        <v>78</v>
      </c>
      <c r="C19" s="3" t="s">
        <v>79</v>
      </c>
      <c r="D19" s="2" t="s">
        <v>80</v>
      </c>
      <c r="E19" s="47">
        <v>0.18636897527658999</v>
      </c>
      <c r="F19" s="9">
        <v>115.4</v>
      </c>
      <c r="G19" s="14">
        <f>ROUND(E19*F19,2)</f>
        <v>21.51</v>
      </c>
      <c r="H19" s="46">
        <f>G19/$G$25</f>
        <v>0.61492281303602059</v>
      </c>
      <c r="I19" s="14">
        <f>ROUND(F19*Прил.10!$D$11,2)</f>
        <v>1554.44</v>
      </c>
      <c r="J19" s="14">
        <f>ROUND(I19*E19,2)</f>
        <v>289.7</v>
      </c>
    </row>
    <row r="20" spans="1:10" s="1" customFormat="1" ht="25.5" customHeight="1" x14ac:dyDescent="0.2">
      <c r="A20" s="2">
        <v>4</v>
      </c>
      <c r="B20" s="48" t="s">
        <v>81</v>
      </c>
      <c r="C20" s="3" t="s">
        <v>82</v>
      </c>
      <c r="D20" s="2" t="s">
        <v>80</v>
      </c>
      <c r="E20" s="47">
        <v>0.18638366603257001</v>
      </c>
      <c r="F20" s="9">
        <v>65.709999999999994</v>
      </c>
      <c r="G20" s="14">
        <f>ROUND(E20*F20,2)</f>
        <v>12.25</v>
      </c>
      <c r="H20" s="46">
        <f>G20/$G$25</f>
        <v>0.35020011435105769</v>
      </c>
      <c r="I20" s="14">
        <f>ROUND(F20*Прил.10!$D$11,2)</f>
        <v>885.11</v>
      </c>
      <c r="J20" s="14">
        <f>ROUND(I20*E20,2)</f>
        <v>164.97</v>
      </c>
    </row>
    <row r="21" spans="1:10" s="1" customFormat="1" ht="14.25" customHeight="1" x14ac:dyDescent="0.2">
      <c r="B21" s="2"/>
      <c r="C21" s="3" t="s">
        <v>248</v>
      </c>
      <c r="D21" s="2"/>
      <c r="E21" s="49"/>
      <c r="F21" s="14"/>
      <c r="G21" s="14">
        <f>SUM(G19:G20)</f>
        <v>33.760000000000005</v>
      </c>
      <c r="H21" s="46">
        <f>G21/G25</f>
        <v>0.96512292738707839</v>
      </c>
      <c r="I21" s="14"/>
      <c r="J21" s="14">
        <f>SUM(J19:J20)</f>
        <v>454.66999999999996</v>
      </c>
    </row>
    <row r="22" spans="1:10" s="1" customFormat="1" ht="14.25" hidden="1" customHeight="1" outlineLevel="1" x14ac:dyDescent="0.2">
      <c r="A22" s="2">
        <v>5</v>
      </c>
      <c r="B22" s="48" t="s">
        <v>83</v>
      </c>
      <c r="C22" s="3" t="s">
        <v>84</v>
      </c>
      <c r="D22" s="2" t="s">
        <v>80</v>
      </c>
      <c r="E22" s="47">
        <v>1.2501054255689001E-2</v>
      </c>
      <c r="F22" s="9">
        <v>89.99</v>
      </c>
      <c r="G22" s="14">
        <f>ROUND(E22*F22,2)</f>
        <v>1.1200000000000001</v>
      </c>
      <c r="H22" s="46">
        <f>G22/$G$25</f>
        <v>3.2018296169239562E-2</v>
      </c>
      <c r="I22" s="14">
        <f>ROUND(F22*Прил.10!$D$11,2)</f>
        <v>1212.17</v>
      </c>
      <c r="J22" s="14">
        <f>ROUND(I22*E22,2)</f>
        <v>15.15</v>
      </c>
    </row>
    <row r="23" spans="1:10" s="1" customFormat="1" ht="38.25" hidden="1" customHeight="1" outlineLevel="1" x14ac:dyDescent="0.2">
      <c r="A23" s="2">
        <v>6</v>
      </c>
      <c r="B23" s="48" t="s">
        <v>85</v>
      </c>
      <c r="C23" s="3" t="s">
        <v>86</v>
      </c>
      <c r="D23" s="2" t="s">
        <v>80</v>
      </c>
      <c r="E23" s="47">
        <v>3.2788927701217999E-3</v>
      </c>
      <c r="F23" s="9">
        <v>31.26</v>
      </c>
      <c r="G23" s="14">
        <f>ROUND(E23*F23,2)</f>
        <v>0.1</v>
      </c>
      <c r="H23" s="46">
        <f>G23/$G$25</f>
        <v>2.858776443682104E-3</v>
      </c>
      <c r="I23" s="14">
        <f>ROUND(F23*Прил.10!$D$11,2)</f>
        <v>421.07</v>
      </c>
      <c r="J23" s="14">
        <f>ROUND(I23*E23,2)</f>
        <v>1.38</v>
      </c>
    </row>
    <row r="24" spans="1:10" s="1" customFormat="1" ht="14.25" customHeight="1" collapsed="1" x14ac:dyDescent="0.2">
      <c r="A24" s="2"/>
      <c r="B24" s="2"/>
      <c r="C24" s="3" t="s">
        <v>249</v>
      </c>
      <c r="D24" s="2"/>
      <c r="E24" s="50"/>
      <c r="F24" s="14"/>
      <c r="G24" s="14">
        <f>SUM(G22:G23)</f>
        <v>1.2200000000000002</v>
      </c>
      <c r="H24" s="46">
        <f>G24/G25</f>
        <v>3.4877072612921674E-2</v>
      </c>
      <c r="I24" s="14"/>
      <c r="J24" s="14">
        <f>SUM(J22:J23)</f>
        <v>16.53</v>
      </c>
    </row>
    <row r="25" spans="1:10" s="1" customFormat="1" ht="25.5" customHeight="1" x14ac:dyDescent="0.2">
      <c r="A25" s="2"/>
      <c r="B25" s="51"/>
      <c r="C25" s="52" t="s">
        <v>250</v>
      </c>
      <c r="D25" s="51"/>
      <c r="E25" s="53"/>
      <c r="F25" s="54"/>
      <c r="G25" s="54">
        <f>G21+G24</f>
        <v>34.980000000000004</v>
      </c>
      <c r="H25" s="55">
        <v>1</v>
      </c>
      <c r="I25" s="54"/>
      <c r="J25" s="54">
        <f>J21+J24</f>
        <v>471.19999999999993</v>
      </c>
    </row>
    <row r="26" spans="1:10" x14ac:dyDescent="0.25">
      <c r="A26" s="64"/>
      <c r="B26" s="137" t="s">
        <v>251</v>
      </c>
      <c r="C26" s="137"/>
      <c r="D26" s="137"/>
      <c r="E26" s="137"/>
      <c r="F26" s="137"/>
      <c r="G26" s="137"/>
      <c r="H26" s="137"/>
      <c r="I26" s="137"/>
      <c r="J26" s="137"/>
    </row>
    <row r="27" spans="1:10" ht="15" customHeight="1" x14ac:dyDescent="0.25">
      <c r="A27" s="2"/>
      <c r="B27" s="133" t="s">
        <v>252</v>
      </c>
      <c r="C27" s="133"/>
      <c r="D27" s="133"/>
      <c r="E27" s="133"/>
      <c r="F27" s="133"/>
      <c r="G27" s="133"/>
      <c r="H27" s="133"/>
      <c r="I27" s="133"/>
      <c r="J27" s="133"/>
    </row>
    <row r="28" spans="1:10" ht="25.5" customHeight="1" x14ac:dyDescent="0.25">
      <c r="A28" s="2">
        <v>7</v>
      </c>
      <c r="B28" s="48" t="s">
        <v>87</v>
      </c>
      <c r="C28" s="3" t="s">
        <v>88</v>
      </c>
      <c r="D28" s="2" t="s">
        <v>89</v>
      </c>
      <c r="E28" s="47">
        <v>0.4000093431542</v>
      </c>
      <c r="F28" s="4">
        <v>19707.400000000001</v>
      </c>
      <c r="G28" s="14">
        <f>ROUND(E28*F28,2)</f>
        <v>7883.14</v>
      </c>
      <c r="H28" s="46">
        <f t="shared" ref="H28:H39" si="0">G28/$G$40</f>
        <v>0.36750241718405752</v>
      </c>
      <c r="I28" s="4">
        <f>ROUND(F28*Прил.10!$D$13,2)</f>
        <v>123368.32000000001</v>
      </c>
      <c r="J28" s="14">
        <f>ROUND(I28*E28,2)</f>
        <v>49348.480000000003</v>
      </c>
    </row>
    <row r="29" spans="1:10" ht="25.5" customHeight="1" x14ac:dyDescent="0.25">
      <c r="A29" s="2">
        <v>8</v>
      </c>
      <c r="B29" s="48" t="s">
        <v>253</v>
      </c>
      <c r="C29" s="3" t="s">
        <v>254</v>
      </c>
      <c r="D29" s="2" t="s">
        <v>92</v>
      </c>
      <c r="E29" s="47">
        <v>1.2500292084452</v>
      </c>
      <c r="F29" s="4">
        <v>5415.89</v>
      </c>
      <c r="G29" s="14">
        <f>ROUND(E29*F29,2)</f>
        <v>6770.02</v>
      </c>
      <c r="H29" s="46">
        <f t="shared" si="0"/>
        <v>0.31561011403887451</v>
      </c>
      <c r="I29" s="4">
        <f>ROUND(F29*Прил.10!$D$13,2)</f>
        <v>33903.47</v>
      </c>
      <c r="J29" s="14">
        <f>ROUND(I29*E29,2)</f>
        <v>42380.33</v>
      </c>
    </row>
    <row r="30" spans="1:10" ht="25.5" customHeight="1" x14ac:dyDescent="0.25">
      <c r="A30" s="2">
        <v>9</v>
      </c>
      <c r="B30" s="48" t="s">
        <v>90</v>
      </c>
      <c r="C30" s="3" t="s">
        <v>91</v>
      </c>
      <c r="D30" s="2" t="s">
        <v>92</v>
      </c>
      <c r="E30" s="47">
        <v>2.0000469838415</v>
      </c>
      <c r="F30" s="4">
        <v>575.80999999999995</v>
      </c>
      <c r="G30" s="14">
        <f>ROUND(E30*F30,2)</f>
        <v>1151.6500000000001</v>
      </c>
      <c r="H30" s="46">
        <f t="shared" si="0"/>
        <v>5.3688524972285143E-2</v>
      </c>
      <c r="I30" s="4">
        <f>ROUND(F30*Прил.10!$D$13,2)</f>
        <v>3604.57</v>
      </c>
      <c r="J30" s="14">
        <f>ROUND(I30*E30,2)</f>
        <v>7209.31</v>
      </c>
    </row>
    <row r="31" spans="1:10" x14ac:dyDescent="0.25">
      <c r="A31" s="65"/>
      <c r="B31" s="2"/>
      <c r="C31" s="3" t="s">
        <v>255</v>
      </c>
      <c r="D31" s="2"/>
      <c r="E31" s="47"/>
      <c r="F31" s="4"/>
      <c r="G31" s="14">
        <f>SUM(G28:G30)</f>
        <v>15804.81</v>
      </c>
      <c r="H31" s="46">
        <f t="shared" si="0"/>
        <v>0.73680105619521719</v>
      </c>
      <c r="I31" s="14"/>
      <c r="J31" s="14">
        <f>SUM(J28:J30)</f>
        <v>98938.12</v>
      </c>
    </row>
    <row r="32" spans="1:10" ht="38.25" hidden="1" customHeight="1" outlineLevel="1" x14ac:dyDescent="0.25">
      <c r="A32" s="2">
        <v>10</v>
      </c>
      <c r="B32" s="62" t="s">
        <v>256</v>
      </c>
      <c r="C32" s="3" t="s">
        <v>257</v>
      </c>
      <c r="D32" s="2" t="s">
        <v>92</v>
      </c>
      <c r="E32" s="47">
        <v>0.75001733605785004</v>
      </c>
      <c r="F32" s="4">
        <v>2122.7199999999998</v>
      </c>
      <c r="G32" s="14">
        <f t="shared" ref="G32:G38" si="1">ROUND(E32*F32,2)</f>
        <v>1592.08</v>
      </c>
      <c r="H32" s="46">
        <f t="shared" si="0"/>
        <v>7.4220836919094965E-2</v>
      </c>
      <c r="I32" s="4">
        <f>ROUND(F32*Прил.10!$D$13,2)</f>
        <v>13288.23</v>
      </c>
      <c r="J32" s="14">
        <f t="shared" ref="J32:J38" si="2">ROUND(I32*E32,2)</f>
        <v>9966.4</v>
      </c>
    </row>
    <row r="33" spans="1:10" ht="25.5" hidden="1" customHeight="1" outlineLevel="1" x14ac:dyDescent="0.25">
      <c r="A33" s="2">
        <v>11</v>
      </c>
      <c r="B33" s="62" t="s">
        <v>258</v>
      </c>
      <c r="C33" s="3" t="s">
        <v>259</v>
      </c>
      <c r="D33" s="2" t="s">
        <v>92</v>
      </c>
      <c r="E33" s="47">
        <v>1.7500411828694</v>
      </c>
      <c r="F33" s="4">
        <v>615.58000000000004</v>
      </c>
      <c r="G33" s="14">
        <f t="shared" si="1"/>
        <v>1077.29</v>
      </c>
      <c r="H33" s="46">
        <f t="shared" si="0"/>
        <v>5.0221952040457651E-2</v>
      </c>
      <c r="I33" s="4">
        <f>ROUND(F33*Прил.10!$D$13,2)</f>
        <v>3853.53</v>
      </c>
      <c r="J33" s="14">
        <f t="shared" si="2"/>
        <v>6743.84</v>
      </c>
    </row>
    <row r="34" spans="1:10" ht="38.25" hidden="1" customHeight="1" outlineLevel="1" x14ac:dyDescent="0.25">
      <c r="A34" s="2">
        <v>12</v>
      </c>
      <c r="B34" s="62" t="s">
        <v>260</v>
      </c>
      <c r="C34" s="3" t="s">
        <v>261</v>
      </c>
      <c r="D34" s="2" t="s">
        <v>92</v>
      </c>
      <c r="E34" s="47">
        <v>0.50001155737189995</v>
      </c>
      <c r="F34" s="4">
        <v>2122.7199999999998</v>
      </c>
      <c r="G34" s="14">
        <f t="shared" si="1"/>
        <v>1061.3800000000001</v>
      </c>
      <c r="H34" s="46">
        <f t="shared" si="0"/>
        <v>4.9480247154156214E-2</v>
      </c>
      <c r="I34" s="4">
        <f>ROUND(F34*Прил.10!$D$13,2)</f>
        <v>13288.23</v>
      </c>
      <c r="J34" s="14">
        <f t="shared" si="2"/>
        <v>6644.27</v>
      </c>
    </row>
    <row r="35" spans="1:10" ht="25.5" hidden="1" customHeight="1" outlineLevel="1" x14ac:dyDescent="0.25">
      <c r="A35" s="2">
        <v>13</v>
      </c>
      <c r="B35" s="62" t="s">
        <v>262</v>
      </c>
      <c r="C35" s="3" t="s">
        <v>263</v>
      </c>
      <c r="D35" s="2" t="s">
        <v>92</v>
      </c>
      <c r="E35" s="47">
        <v>0.25000581053814003</v>
      </c>
      <c r="F35" s="4">
        <v>3451.57</v>
      </c>
      <c r="G35" s="14">
        <f t="shared" si="1"/>
        <v>862.91</v>
      </c>
      <c r="H35" s="46">
        <f t="shared" si="0"/>
        <v>4.0227816683744685E-2</v>
      </c>
      <c r="I35" s="4">
        <f>ROUND(F35*Прил.10!$D$13,2)</f>
        <v>21606.83</v>
      </c>
      <c r="J35" s="14">
        <f t="shared" si="2"/>
        <v>5401.83</v>
      </c>
    </row>
    <row r="36" spans="1:10" ht="25.5" hidden="1" customHeight="1" outlineLevel="1" x14ac:dyDescent="0.25">
      <c r="A36" s="2">
        <v>14</v>
      </c>
      <c r="B36" s="62" t="s">
        <v>97</v>
      </c>
      <c r="C36" s="3" t="s">
        <v>98</v>
      </c>
      <c r="D36" s="2" t="s">
        <v>92</v>
      </c>
      <c r="E36" s="47">
        <v>0.25000590886037</v>
      </c>
      <c r="F36" s="4">
        <v>2061.4</v>
      </c>
      <c r="G36" s="14">
        <f t="shared" si="1"/>
        <v>515.36</v>
      </c>
      <c r="H36" s="46">
        <f t="shared" si="0"/>
        <v>2.4025457586694627E-2</v>
      </c>
      <c r="I36" s="4">
        <f>ROUND(F36*Прил.10!$D$13,2)</f>
        <v>12904.36</v>
      </c>
      <c r="J36" s="14">
        <f t="shared" si="2"/>
        <v>3226.17</v>
      </c>
    </row>
    <row r="37" spans="1:10" ht="25.5" hidden="1" customHeight="1" outlineLevel="1" x14ac:dyDescent="0.25">
      <c r="A37" s="2">
        <v>15</v>
      </c>
      <c r="B37" s="62" t="s">
        <v>264</v>
      </c>
      <c r="C37" s="3" t="s">
        <v>265</v>
      </c>
      <c r="D37" s="2" t="s">
        <v>92</v>
      </c>
      <c r="E37" s="47">
        <v>1.7500376604787999</v>
      </c>
      <c r="F37" s="4">
        <v>283.18</v>
      </c>
      <c r="G37" s="14">
        <f t="shared" si="1"/>
        <v>495.58</v>
      </c>
      <c r="H37" s="46">
        <f t="shared" si="0"/>
        <v>2.3103337998319859E-2</v>
      </c>
      <c r="I37" s="4">
        <f>ROUND(F37*Прил.10!$D$13,2)</f>
        <v>1772.71</v>
      </c>
      <c r="J37" s="14">
        <f t="shared" si="2"/>
        <v>3102.31</v>
      </c>
    </row>
    <row r="38" spans="1:10" ht="25.5" hidden="1" customHeight="1" outlineLevel="1" x14ac:dyDescent="0.25">
      <c r="A38" s="2">
        <v>16</v>
      </c>
      <c r="B38" s="62" t="s">
        <v>105</v>
      </c>
      <c r="C38" s="3" t="s">
        <v>106</v>
      </c>
      <c r="D38" s="2" t="s">
        <v>92</v>
      </c>
      <c r="E38" s="47">
        <v>0.25000568586652</v>
      </c>
      <c r="F38" s="4">
        <v>164.69</v>
      </c>
      <c r="G38" s="14">
        <f t="shared" si="1"/>
        <v>41.17</v>
      </c>
      <c r="H38" s="46">
        <f t="shared" si="0"/>
        <v>1.9192954223149214E-3</v>
      </c>
      <c r="I38" s="4">
        <f>ROUND(F38*Прил.10!$D$13,2)</f>
        <v>1030.96</v>
      </c>
      <c r="J38" s="14">
        <f t="shared" si="2"/>
        <v>257.75</v>
      </c>
    </row>
    <row r="39" spans="1:10" collapsed="1" x14ac:dyDescent="0.25">
      <c r="A39" s="65"/>
      <c r="B39" s="2"/>
      <c r="C39" s="3" t="s">
        <v>266</v>
      </c>
      <c r="D39" s="2"/>
      <c r="E39" s="50"/>
      <c r="F39" s="4"/>
      <c r="G39" s="14">
        <f>SUM(G32:G38)</f>
        <v>5645.7699999999995</v>
      </c>
      <c r="H39" s="46">
        <f t="shared" si="0"/>
        <v>0.26319894380478293</v>
      </c>
      <c r="I39" s="14"/>
      <c r="J39" s="14">
        <f>SUM(J32:J38)</f>
        <v>35342.569999999992</v>
      </c>
    </row>
    <row r="40" spans="1:10" x14ac:dyDescent="0.25">
      <c r="A40" s="2"/>
      <c r="B40" s="2"/>
      <c r="C40" s="5" t="s">
        <v>267</v>
      </c>
      <c r="D40" s="2"/>
      <c r="E40" s="50"/>
      <c r="F40" s="4"/>
      <c r="G40" s="14">
        <f>G31+G39</f>
        <v>21450.579999999998</v>
      </c>
      <c r="H40" s="46">
        <f>(G31+G39)/G40</f>
        <v>1</v>
      </c>
      <c r="I40" s="14"/>
      <c r="J40" s="14">
        <f>J39+J31</f>
        <v>134280.69</v>
      </c>
    </row>
    <row r="41" spans="1:10" ht="25.5" customHeight="1" x14ac:dyDescent="0.25">
      <c r="A41" s="2"/>
      <c r="B41" s="2"/>
      <c r="C41" s="3" t="s">
        <v>268</v>
      </c>
      <c r="D41" s="2"/>
      <c r="E41" s="50"/>
      <c r="F41" s="4"/>
      <c r="G41" s="14">
        <f>'Прил.6 Расчет ОБ'!G24</f>
        <v>21450.58</v>
      </c>
      <c r="H41" s="46">
        <f>G41/$G$40</f>
        <v>1.0000000000000002</v>
      </c>
      <c r="I41" s="14"/>
      <c r="J41" s="14">
        <f>ROUND(G41*Прил.10!$D$13,2)</f>
        <v>134280.63</v>
      </c>
    </row>
    <row r="42" spans="1:10" s="1" customFormat="1" ht="14.25" customHeight="1" x14ac:dyDescent="0.2">
      <c r="A42" s="63"/>
      <c r="B42" s="138" t="s">
        <v>109</v>
      </c>
      <c r="C42" s="139"/>
      <c r="D42" s="139"/>
      <c r="E42" s="139"/>
      <c r="F42" s="139"/>
      <c r="G42" s="139"/>
      <c r="H42" s="139"/>
      <c r="I42" s="139"/>
      <c r="J42" s="140"/>
    </row>
    <row r="43" spans="1:10" s="1" customFormat="1" ht="14.25" customHeight="1" x14ac:dyDescent="0.2">
      <c r="A43" s="2"/>
      <c r="B43" s="133" t="s">
        <v>269</v>
      </c>
      <c r="C43" s="133"/>
      <c r="D43" s="128"/>
      <c r="E43" s="134"/>
      <c r="F43" s="135"/>
      <c r="G43" s="135"/>
      <c r="H43" s="136"/>
      <c r="I43" s="46"/>
      <c r="J43" s="46"/>
    </row>
    <row r="44" spans="1:10" s="1" customFormat="1" ht="14.25" customHeight="1" x14ac:dyDescent="0.2">
      <c r="A44" s="2">
        <v>17</v>
      </c>
      <c r="B44" s="48" t="s">
        <v>110</v>
      </c>
      <c r="C44" s="3" t="s">
        <v>111</v>
      </c>
      <c r="D44" s="2" t="s">
        <v>112</v>
      </c>
      <c r="E44" s="47">
        <v>5.7502440868055997E-2</v>
      </c>
      <c r="F44" s="9">
        <v>4760.47</v>
      </c>
      <c r="G44" s="14">
        <f>ROUND(E44*F44,2)</f>
        <v>273.74</v>
      </c>
      <c r="H44" s="46">
        <f t="shared" ref="H44:H82" si="3">G44/$G$84</f>
        <v>0.39235752780644417</v>
      </c>
      <c r="I44" s="14">
        <f>ROUND(F44*Прил.10!$D$12,2)</f>
        <v>38274.18</v>
      </c>
      <c r="J44" s="14">
        <f>ROUND(I44*E44,2)</f>
        <v>2200.86</v>
      </c>
    </row>
    <row r="45" spans="1:10" s="1" customFormat="1" ht="25.5" customHeight="1" x14ac:dyDescent="0.2">
      <c r="A45" s="2">
        <v>18</v>
      </c>
      <c r="B45" s="48" t="s">
        <v>113</v>
      </c>
      <c r="C45" s="3" t="s">
        <v>114</v>
      </c>
      <c r="D45" s="2" t="s">
        <v>112</v>
      </c>
      <c r="E45" s="47">
        <v>4.3751961637376997E-2</v>
      </c>
      <c r="F45" s="9">
        <v>4863.9799999999996</v>
      </c>
      <c r="G45" s="14">
        <f>ROUND(E45*F45,2)</f>
        <v>212.81</v>
      </c>
      <c r="H45" s="46">
        <f t="shared" si="3"/>
        <v>0.30502522646485491</v>
      </c>
      <c r="I45" s="14">
        <f>ROUND(F45*Прил.10!$D$12,2)</f>
        <v>39106.400000000001</v>
      </c>
      <c r="J45" s="14">
        <f>ROUND(I45*E45,2)</f>
        <v>1710.98</v>
      </c>
    </row>
    <row r="46" spans="1:10" s="1" customFormat="1" ht="25.5" customHeight="1" x14ac:dyDescent="0.2">
      <c r="A46" s="2">
        <v>19</v>
      </c>
      <c r="B46" s="48" t="s">
        <v>115</v>
      </c>
      <c r="C46" s="3" t="s">
        <v>116</v>
      </c>
      <c r="D46" s="2" t="s">
        <v>112</v>
      </c>
      <c r="E46" s="47">
        <v>3.7500972858992003E-2</v>
      </c>
      <c r="F46" s="9">
        <v>1361.22</v>
      </c>
      <c r="G46" s="14">
        <f>ROUND(E46*F46,2)</f>
        <v>51.05</v>
      </c>
      <c r="H46" s="46">
        <f t="shared" si="3"/>
        <v>7.3171081298016277E-2</v>
      </c>
      <c r="I46" s="14">
        <f>ROUND(F46*Прил.10!$D$12,2)</f>
        <v>10944.21</v>
      </c>
      <c r="J46" s="14">
        <f>ROUND(I46*E46,2)</f>
        <v>410.42</v>
      </c>
    </row>
    <row r="47" spans="1:10" s="1" customFormat="1" ht="14.25" customHeight="1" x14ac:dyDescent="0.2">
      <c r="A47" s="2">
        <v>20</v>
      </c>
      <c r="B47" s="48" t="s">
        <v>117</v>
      </c>
      <c r="C47" s="3" t="s">
        <v>118</v>
      </c>
      <c r="D47" s="2" t="s">
        <v>119</v>
      </c>
      <c r="E47" s="47">
        <v>32.487269613658</v>
      </c>
      <c r="F47" s="9">
        <v>1.1499999999999999</v>
      </c>
      <c r="G47" s="14">
        <f>ROUND(E47*F47,2)</f>
        <v>37.36</v>
      </c>
      <c r="H47" s="46">
        <f t="shared" si="3"/>
        <v>5.3548904942093793E-2</v>
      </c>
      <c r="I47" s="14">
        <f>ROUND(F47*Прил.10!$D$12,2)</f>
        <v>9.25</v>
      </c>
      <c r="J47" s="14">
        <f>ROUND(I47*E47,2)</f>
        <v>300.51</v>
      </c>
    </row>
    <row r="48" spans="1:10" s="1" customFormat="1" ht="25.5" customHeight="1" x14ac:dyDescent="0.2">
      <c r="A48" s="2">
        <v>21</v>
      </c>
      <c r="B48" s="48" t="s">
        <v>120</v>
      </c>
      <c r="C48" s="3" t="s">
        <v>121</v>
      </c>
      <c r="D48" s="2" t="s">
        <v>122</v>
      </c>
      <c r="E48" s="47">
        <v>1.5001257167281E-3</v>
      </c>
      <c r="F48" s="9">
        <v>15481</v>
      </c>
      <c r="G48" s="14">
        <f>ROUND(E48*F48,2)</f>
        <v>23.22</v>
      </c>
      <c r="H48" s="46">
        <f t="shared" si="3"/>
        <v>3.3281733746130027E-2</v>
      </c>
      <c r="I48" s="14">
        <f>ROUND(F48*Прил.10!$D$12,2)</f>
        <v>124467.24</v>
      </c>
      <c r="J48" s="14">
        <f>ROUND(I48*E48,2)</f>
        <v>186.72</v>
      </c>
    </row>
    <row r="49" spans="1:10" s="1" customFormat="1" ht="14.25" customHeight="1" x14ac:dyDescent="0.2">
      <c r="B49" s="2"/>
      <c r="C49" s="3" t="s">
        <v>270</v>
      </c>
      <c r="D49" s="2"/>
      <c r="E49" s="47"/>
      <c r="F49" s="4"/>
      <c r="G49" s="14">
        <f>SUM(G44:G48)</f>
        <v>598.18000000000006</v>
      </c>
      <c r="H49" s="46">
        <f t="shared" si="3"/>
        <v>0.85738447425753928</v>
      </c>
      <c r="I49" s="14"/>
      <c r="J49" s="14">
        <f>SUM(J44:J48)</f>
        <v>4809.4900000000007</v>
      </c>
    </row>
    <row r="50" spans="1:10" s="1" customFormat="1" ht="25.5" hidden="1" customHeight="1" outlineLevel="1" x14ac:dyDescent="0.2">
      <c r="A50" s="2">
        <v>22</v>
      </c>
      <c r="B50" s="62" t="s">
        <v>123</v>
      </c>
      <c r="C50" s="3" t="s">
        <v>124</v>
      </c>
      <c r="D50" s="2" t="s">
        <v>125</v>
      </c>
      <c r="E50" s="47">
        <v>0.15500631560785</v>
      </c>
      <c r="F50" s="9">
        <v>83</v>
      </c>
      <c r="G50" s="14">
        <f t="shared" ref="G50:G82" si="4">ROUND(F50*E50,2)</f>
        <v>12.87</v>
      </c>
      <c r="H50" s="46">
        <f t="shared" si="3"/>
        <v>1.8446852425180595E-2</v>
      </c>
      <c r="I50" s="14">
        <f>ROUND(F50*Прил.10!$D$12,2)</f>
        <v>667.32</v>
      </c>
      <c r="J50" s="14">
        <f t="shared" ref="J50:J82" si="5">ROUND(I50*E50,2)</f>
        <v>103.44</v>
      </c>
    </row>
    <row r="51" spans="1:10" s="1" customFormat="1" ht="25.5" hidden="1" customHeight="1" outlineLevel="1" x14ac:dyDescent="0.2">
      <c r="A51" s="2">
        <v>23</v>
      </c>
      <c r="B51" s="48" t="s">
        <v>126</v>
      </c>
      <c r="C51" s="3" t="s">
        <v>127</v>
      </c>
      <c r="D51" s="2" t="s">
        <v>128</v>
      </c>
      <c r="E51" s="47">
        <v>6.5002648480712993E-2</v>
      </c>
      <c r="F51" s="9">
        <v>180</v>
      </c>
      <c r="G51" s="14">
        <f t="shared" si="4"/>
        <v>11.7</v>
      </c>
      <c r="H51" s="46">
        <f t="shared" si="3"/>
        <v>1.6769865841073268E-2</v>
      </c>
      <c r="I51" s="14">
        <f>ROUND(F51*Прил.10!$D$12,2)</f>
        <v>1447.2</v>
      </c>
      <c r="J51" s="14">
        <f t="shared" si="5"/>
        <v>94.07</v>
      </c>
    </row>
    <row r="52" spans="1:10" s="1" customFormat="1" ht="25.5" hidden="1" customHeight="1" outlineLevel="1" x14ac:dyDescent="0.2">
      <c r="A52" s="2">
        <v>24</v>
      </c>
      <c r="B52" s="48" t="s">
        <v>129</v>
      </c>
      <c r="C52" s="3" t="s">
        <v>130</v>
      </c>
      <c r="D52" s="2" t="s">
        <v>131</v>
      </c>
      <c r="E52" s="47">
        <v>9.6203919751455995</v>
      </c>
      <c r="F52" s="9">
        <v>1</v>
      </c>
      <c r="G52" s="14">
        <f t="shared" si="4"/>
        <v>9.6199999999999992</v>
      </c>
      <c r="H52" s="46">
        <f t="shared" si="3"/>
        <v>1.3788556358215798E-2</v>
      </c>
      <c r="I52" s="14">
        <f>ROUND(F52*Прил.10!$D$12,2)</f>
        <v>8.0399999999999991</v>
      </c>
      <c r="J52" s="14">
        <f t="shared" si="5"/>
        <v>77.349999999999994</v>
      </c>
    </row>
    <row r="53" spans="1:10" s="1" customFormat="1" ht="25.5" hidden="1" customHeight="1" outlineLevel="1" x14ac:dyDescent="0.2">
      <c r="A53" s="2">
        <v>25</v>
      </c>
      <c r="B53" s="48" t="s">
        <v>132</v>
      </c>
      <c r="C53" s="3" t="s">
        <v>133</v>
      </c>
      <c r="D53" s="2" t="s">
        <v>122</v>
      </c>
      <c r="E53" s="47">
        <v>1.1601233139202E-4</v>
      </c>
      <c r="F53" s="9">
        <v>65750</v>
      </c>
      <c r="G53" s="14">
        <f t="shared" si="4"/>
        <v>7.63</v>
      </c>
      <c r="H53" s="46">
        <f t="shared" si="3"/>
        <v>1.0936245843366586E-2</v>
      </c>
      <c r="I53" s="14">
        <f>ROUND(F53*Прил.10!$D$12,2)</f>
        <v>528630</v>
      </c>
      <c r="J53" s="14">
        <f t="shared" si="5"/>
        <v>61.33</v>
      </c>
    </row>
    <row r="54" spans="1:10" s="1" customFormat="1" ht="38.25" hidden="1" customHeight="1" outlineLevel="1" x14ac:dyDescent="0.2">
      <c r="A54" s="2">
        <v>26</v>
      </c>
      <c r="B54" s="48" t="s">
        <v>134</v>
      </c>
      <c r="C54" s="3" t="s">
        <v>135</v>
      </c>
      <c r="D54" s="2" t="s">
        <v>122</v>
      </c>
      <c r="E54" s="47">
        <v>9.9987722899534006E-5</v>
      </c>
      <c r="F54" s="9">
        <v>75162.289999999994</v>
      </c>
      <c r="G54" s="14">
        <f t="shared" si="4"/>
        <v>7.52</v>
      </c>
      <c r="H54" s="46">
        <f t="shared" si="3"/>
        <v>1.0778580438023161E-2</v>
      </c>
      <c r="I54" s="14">
        <f>ROUND(F54*Прил.10!$D$12,2)</f>
        <v>604304.81000000006</v>
      </c>
      <c r="J54" s="14">
        <f t="shared" si="5"/>
        <v>60.42</v>
      </c>
    </row>
    <row r="55" spans="1:10" s="1" customFormat="1" ht="38.25" hidden="1" customHeight="1" outlineLevel="1" x14ac:dyDescent="0.2">
      <c r="A55" s="2">
        <v>27</v>
      </c>
      <c r="B55" s="48" t="s">
        <v>136</v>
      </c>
      <c r="C55" s="3" t="s">
        <v>137</v>
      </c>
      <c r="D55" s="2" t="s">
        <v>138</v>
      </c>
      <c r="E55" s="47">
        <v>0.22204488698823999</v>
      </c>
      <c r="F55" s="9">
        <v>30.4</v>
      </c>
      <c r="G55" s="14">
        <f t="shared" si="4"/>
        <v>6.75</v>
      </c>
      <c r="H55" s="46">
        <f t="shared" si="3"/>
        <v>9.674922600619194E-3</v>
      </c>
      <c r="I55" s="14">
        <f>ROUND(F55*Прил.10!$D$12,2)</f>
        <v>244.42</v>
      </c>
      <c r="J55" s="14">
        <f t="shared" si="5"/>
        <v>54.27</v>
      </c>
    </row>
    <row r="56" spans="1:10" s="1" customFormat="1" ht="14.25" hidden="1" customHeight="1" outlineLevel="1" x14ac:dyDescent="0.2">
      <c r="A56" s="2">
        <v>28</v>
      </c>
      <c r="B56" s="48" t="s">
        <v>139</v>
      </c>
      <c r="C56" s="3" t="s">
        <v>140</v>
      </c>
      <c r="D56" s="2" t="s">
        <v>138</v>
      </c>
      <c r="E56" s="47">
        <v>4.0001629834284999E-2</v>
      </c>
      <c r="F56" s="9">
        <v>155</v>
      </c>
      <c r="G56" s="14">
        <f t="shared" si="4"/>
        <v>6.2</v>
      </c>
      <c r="H56" s="46">
        <f t="shared" si="3"/>
        <v>8.886595573902074E-3</v>
      </c>
      <c r="I56" s="14">
        <f>ROUND(F56*Прил.10!$D$12,2)</f>
        <v>1246.2</v>
      </c>
      <c r="J56" s="14">
        <f t="shared" si="5"/>
        <v>49.85</v>
      </c>
    </row>
    <row r="57" spans="1:10" s="1" customFormat="1" ht="14.25" hidden="1" customHeight="1" outlineLevel="1" x14ac:dyDescent="0.2">
      <c r="A57" s="2">
        <v>29</v>
      </c>
      <c r="B57" s="48" t="s">
        <v>141</v>
      </c>
      <c r="C57" s="3" t="s">
        <v>142</v>
      </c>
      <c r="D57" s="2" t="s">
        <v>125</v>
      </c>
      <c r="E57" s="47">
        <v>2.5001018646428001E-2</v>
      </c>
      <c r="F57" s="9">
        <v>203</v>
      </c>
      <c r="G57" s="14">
        <f t="shared" si="4"/>
        <v>5.08</v>
      </c>
      <c r="H57" s="46">
        <f t="shared" si="3"/>
        <v>7.2812750831326677E-3</v>
      </c>
      <c r="I57" s="14">
        <f>ROUND(F57*Прил.10!$D$12,2)</f>
        <v>1632.12</v>
      </c>
      <c r="J57" s="14">
        <f t="shared" si="5"/>
        <v>40.799999999999997</v>
      </c>
    </row>
    <row r="58" spans="1:10" s="1" customFormat="1" ht="14.25" hidden="1" customHeight="1" outlineLevel="1" x14ac:dyDescent="0.2">
      <c r="A58" s="2">
        <v>30</v>
      </c>
      <c r="B58" s="48" t="s">
        <v>143</v>
      </c>
      <c r="C58" s="3" t="s">
        <v>144</v>
      </c>
      <c r="D58" s="2" t="s">
        <v>145</v>
      </c>
      <c r="E58" s="47">
        <v>0.69381882424584995</v>
      </c>
      <c r="F58" s="9">
        <v>6.9</v>
      </c>
      <c r="G58" s="14">
        <f t="shared" si="4"/>
        <v>4.79</v>
      </c>
      <c r="H58" s="46">
        <f t="shared" si="3"/>
        <v>6.8656117417727315E-3</v>
      </c>
      <c r="I58" s="14">
        <f>ROUND(F58*Прил.10!$D$12,2)</f>
        <v>55.48</v>
      </c>
      <c r="J58" s="14">
        <f t="shared" si="5"/>
        <v>38.49</v>
      </c>
    </row>
    <row r="59" spans="1:10" s="1" customFormat="1" ht="14.25" hidden="1" customHeight="1" outlineLevel="1" x14ac:dyDescent="0.2">
      <c r="A59" s="2">
        <v>31</v>
      </c>
      <c r="B59" s="48" t="s">
        <v>146</v>
      </c>
      <c r="C59" s="3" t="s">
        <v>147</v>
      </c>
      <c r="D59" s="2" t="s">
        <v>122</v>
      </c>
      <c r="E59" s="47">
        <v>3.2503335585380998E-4</v>
      </c>
      <c r="F59" s="9">
        <v>12430</v>
      </c>
      <c r="G59" s="14">
        <f t="shared" si="4"/>
        <v>4.04</v>
      </c>
      <c r="H59" s="46">
        <f t="shared" si="3"/>
        <v>5.7906203417039323E-3</v>
      </c>
      <c r="I59" s="14">
        <f>ROUND(F59*Прил.10!$D$12,2)</f>
        <v>99937.2</v>
      </c>
      <c r="J59" s="14">
        <f t="shared" si="5"/>
        <v>32.479999999999997</v>
      </c>
    </row>
    <row r="60" spans="1:10" s="1" customFormat="1" ht="14.25" hidden="1" customHeight="1" outlineLevel="1" x14ac:dyDescent="0.2">
      <c r="A60" s="2">
        <v>32</v>
      </c>
      <c r="B60" s="48" t="s">
        <v>148</v>
      </c>
      <c r="C60" s="3" t="s">
        <v>149</v>
      </c>
      <c r="D60" s="2" t="s">
        <v>138</v>
      </c>
      <c r="E60" s="47">
        <v>0.34515440426082999</v>
      </c>
      <c r="F60" s="9">
        <v>9.0399999999999991</v>
      </c>
      <c r="G60" s="14">
        <f t="shared" si="4"/>
        <v>3.12</v>
      </c>
      <c r="H60" s="46">
        <f t="shared" si="3"/>
        <v>4.4719642242862052E-3</v>
      </c>
      <c r="I60" s="14">
        <f>ROUND(F60*Прил.10!$D$12,2)</f>
        <v>72.680000000000007</v>
      </c>
      <c r="J60" s="14">
        <f t="shared" si="5"/>
        <v>25.09</v>
      </c>
    </row>
    <row r="61" spans="1:10" s="1" customFormat="1" ht="25.5" hidden="1" customHeight="1" outlineLevel="1" x14ac:dyDescent="0.2">
      <c r="A61" s="2">
        <v>33</v>
      </c>
      <c r="B61" s="48" t="s">
        <v>150</v>
      </c>
      <c r="C61" s="3" t="s">
        <v>151</v>
      </c>
      <c r="D61" s="2" t="s">
        <v>122</v>
      </c>
      <c r="E61" s="47">
        <v>2.4255311601286E-4</v>
      </c>
      <c r="F61" s="9">
        <v>12606</v>
      </c>
      <c r="G61" s="14">
        <f t="shared" si="4"/>
        <v>3.06</v>
      </c>
      <c r="H61" s="46">
        <f t="shared" si="3"/>
        <v>4.3859649122807015E-3</v>
      </c>
      <c r="I61" s="14">
        <f>ROUND(F61*Прил.10!$D$12,2)</f>
        <v>101352.24</v>
      </c>
      <c r="J61" s="14">
        <f t="shared" si="5"/>
        <v>24.58</v>
      </c>
    </row>
    <row r="62" spans="1:10" s="1" customFormat="1" ht="38.25" hidden="1" customHeight="1" outlineLevel="1" x14ac:dyDescent="0.2">
      <c r="A62" s="2">
        <v>34</v>
      </c>
      <c r="B62" s="48" t="s">
        <v>152</v>
      </c>
      <c r="C62" s="3" t="s">
        <v>153</v>
      </c>
      <c r="D62" s="2" t="s">
        <v>122</v>
      </c>
      <c r="E62" s="47">
        <v>6.9971131963509007E-5</v>
      </c>
      <c r="F62" s="9">
        <v>37517</v>
      </c>
      <c r="G62" s="14">
        <f t="shared" si="4"/>
        <v>2.63</v>
      </c>
      <c r="H62" s="46">
        <f t="shared" si="3"/>
        <v>3.7696365095745894E-3</v>
      </c>
      <c r="I62" s="14">
        <f>ROUND(F62*Прил.10!$D$12,2)</f>
        <v>301636.68</v>
      </c>
      <c r="J62" s="14">
        <f t="shared" si="5"/>
        <v>21.11</v>
      </c>
    </row>
    <row r="63" spans="1:10" s="1" customFormat="1" ht="14.25" hidden="1" customHeight="1" outlineLevel="1" x14ac:dyDescent="0.2">
      <c r="A63" s="2">
        <v>35</v>
      </c>
      <c r="B63" s="48" t="s">
        <v>154</v>
      </c>
      <c r="C63" s="3" t="s">
        <v>155</v>
      </c>
      <c r="D63" s="2" t="s">
        <v>122</v>
      </c>
      <c r="E63" s="47">
        <v>1.7498701707475999E-4</v>
      </c>
      <c r="F63" s="9">
        <v>12430</v>
      </c>
      <c r="G63" s="14">
        <f t="shared" si="4"/>
        <v>2.1800000000000002</v>
      </c>
      <c r="H63" s="46">
        <f t="shared" si="3"/>
        <v>3.1246416695333104E-3</v>
      </c>
      <c r="I63" s="14">
        <f>ROUND(F63*Прил.10!$D$12,2)</f>
        <v>99937.2</v>
      </c>
      <c r="J63" s="14">
        <f t="shared" si="5"/>
        <v>17.489999999999998</v>
      </c>
    </row>
    <row r="64" spans="1:10" s="1" customFormat="1" ht="14.25" hidden="1" customHeight="1" outlineLevel="1" x14ac:dyDescent="0.2">
      <c r="A64" s="2">
        <v>36</v>
      </c>
      <c r="B64" s="48" t="s">
        <v>156</v>
      </c>
      <c r="C64" s="3" t="s">
        <v>157</v>
      </c>
      <c r="D64" s="2" t="s">
        <v>138</v>
      </c>
      <c r="E64" s="47">
        <v>6.9409629814005003E-2</v>
      </c>
      <c r="F64" s="9">
        <v>28.6</v>
      </c>
      <c r="G64" s="14">
        <f t="shared" si="4"/>
        <v>1.99</v>
      </c>
      <c r="H64" s="46">
        <f t="shared" si="3"/>
        <v>2.8523105148492143E-3</v>
      </c>
      <c r="I64" s="14">
        <f>ROUND(F64*Прил.10!$D$12,2)</f>
        <v>229.94</v>
      </c>
      <c r="J64" s="14">
        <f t="shared" si="5"/>
        <v>15.96</v>
      </c>
    </row>
    <row r="65" spans="1:10" s="1" customFormat="1" ht="14.25" hidden="1" customHeight="1" outlineLevel="1" x14ac:dyDescent="0.2">
      <c r="A65" s="2">
        <v>37</v>
      </c>
      <c r="B65" s="48" t="s">
        <v>158</v>
      </c>
      <c r="C65" s="3" t="s">
        <v>159</v>
      </c>
      <c r="D65" s="2" t="s">
        <v>122</v>
      </c>
      <c r="E65" s="47">
        <v>4.502524322946E-5</v>
      </c>
      <c r="F65" s="9">
        <v>42700.01</v>
      </c>
      <c r="G65" s="14">
        <f t="shared" si="4"/>
        <v>1.92</v>
      </c>
      <c r="H65" s="46">
        <f t="shared" si="3"/>
        <v>2.7519779841761261E-3</v>
      </c>
      <c r="I65" s="14">
        <f>ROUND(F65*Прил.10!$D$12,2)</f>
        <v>343308.08</v>
      </c>
      <c r="J65" s="14">
        <f t="shared" si="5"/>
        <v>15.46</v>
      </c>
    </row>
    <row r="66" spans="1:10" s="1" customFormat="1" ht="25.5" hidden="1" customHeight="1" outlineLevel="1" x14ac:dyDescent="0.2">
      <c r="A66" s="2">
        <v>38</v>
      </c>
      <c r="B66" s="48" t="s">
        <v>160</v>
      </c>
      <c r="C66" s="3" t="s">
        <v>161</v>
      </c>
      <c r="D66" s="2" t="s">
        <v>122</v>
      </c>
      <c r="E66" s="47">
        <v>1.4993606875155999E-5</v>
      </c>
      <c r="F66" s="9">
        <v>114220</v>
      </c>
      <c r="G66" s="14">
        <f t="shared" si="4"/>
        <v>1.71</v>
      </c>
      <c r="H66" s="46">
        <f t="shared" si="3"/>
        <v>2.4509803921568623E-3</v>
      </c>
      <c r="I66" s="14">
        <f>ROUND(F66*Прил.10!$D$12,2)</f>
        <v>918328.8</v>
      </c>
      <c r="J66" s="14">
        <f t="shared" si="5"/>
        <v>13.77</v>
      </c>
    </row>
    <row r="67" spans="1:10" s="1" customFormat="1" ht="38.25" hidden="1" customHeight="1" outlineLevel="1" x14ac:dyDescent="0.2">
      <c r="A67" s="2">
        <v>39</v>
      </c>
      <c r="B67" s="48" t="s">
        <v>162</v>
      </c>
      <c r="C67" s="3" t="s">
        <v>163</v>
      </c>
      <c r="D67" s="2" t="s">
        <v>138</v>
      </c>
      <c r="E67" s="47">
        <v>1.2488212679303E-2</v>
      </c>
      <c r="F67" s="9">
        <v>91.29</v>
      </c>
      <c r="G67" s="14">
        <f t="shared" si="4"/>
        <v>1.1399999999999999</v>
      </c>
      <c r="H67" s="46">
        <f t="shared" si="3"/>
        <v>1.6339869281045748E-3</v>
      </c>
      <c r="I67" s="14">
        <f>ROUND(F67*Прил.10!$D$12,2)</f>
        <v>733.97</v>
      </c>
      <c r="J67" s="14">
        <f t="shared" si="5"/>
        <v>9.17</v>
      </c>
    </row>
    <row r="68" spans="1:10" s="1" customFormat="1" ht="25.5" hidden="1" customHeight="1" outlineLevel="1" x14ac:dyDescent="0.2">
      <c r="A68" s="2">
        <v>40</v>
      </c>
      <c r="B68" s="48" t="s">
        <v>164</v>
      </c>
      <c r="C68" s="3" t="s">
        <v>165</v>
      </c>
      <c r="D68" s="2" t="s">
        <v>122</v>
      </c>
      <c r="E68" s="47">
        <v>1.0000407458571E-4</v>
      </c>
      <c r="F68" s="9">
        <v>9800</v>
      </c>
      <c r="G68" s="14">
        <f t="shared" si="4"/>
        <v>0.98</v>
      </c>
      <c r="H68" s="46">
        <f t="shared" si="3"/>
        <v>1.4046554294232312E-3</v>
      </c>
      <c r="I68" s="14">
        <f>ROUND(F68*Прил.10!$D$12,2)</f>
        <v>78792</v>
      </c>
      <c r="J68" s="14">
        <f t="shared" si="5"/>
        <v>7.88</v>
      </c>
    </row>
    <row r="69" spans="1:10" s="1" customFormat="1" ht="14.25" hidden="1" customHeight="1" outlineLevel="1" x14ac:dyDescent="0.2">
      <c r="A69" s="2">
        <v>41</v>
      </c>
      <c r="B69" s="48" t="s">
        <v>166</v>
      </c>
      <c r="C69" s="3" t="s">
        <v>167</v>
      </c>
      <c r="D69" s="2" t="s">
        <v>138</v>
      </c>
      <c r="E69" s="47">
        <v>2.9990659029954E-2</v>
      </c>
      <c r="F69" s="9">
        <v>28.26</v>
      </c>
      <c r="G69" s="14">
        <f t="shared" si="4"/>
        <v>0.85</v>
      </c>
      <c r="H69" s="46">
        <f t="shared" si="3"/>
        <v>1.2183235867446393E-3</v>
      </c>
      <c r="I69" s="14">
        <f>ROUND(F69*Прил.10!$D$12,2)</f>
        <v>227.21</v>
      </c>
      <c r="J69" s="14">
        <f t="shared" si="5"/>
        <v>6.81</v>
      </c>
    </row>
    <row r="70" spans="1:10" s="1" customFormat="1" ht="14.25" hidden="1" customHeight="1" outlineLevel="1" x14ac:dyDescent="0.2">
      <c r="A70" s="2">
        <v>42</v>
      </c>
      <c r="B70" s="48" t="s">
        <v>168</v>
      </c>
      <c r="C70" s="3" t="s">
        <v>169</v>
      </c>
      <c r="D70" s="2" t="s">
        <v>138</v>
      </c>
      <c r="E70" s="47">
        <v>4.6304872411768996E-3</v>
      </c>
      <c r="F70" s="9">
        <v>138.76</v>
      </c>
      <c r="G70" s="14">
        <f t="shared" si="4"/>
        <v>0.64</v>
      </c>
      <c r="H70" s="46">
        <f t="shared" si="3"/>
        <v>9.173259947253755E-4</v>
      </c>
      <c r="I70" s="14">
        <f>ROUND(F70*Прил.10!$D$12,2)</f>
        <v>1115.6300000000001</v>
      </c>
      <c r="J70" s="14">
        <f t="shared" si="5"/>
        <v>5.17</v>
      </c>
    </row>
    <row r="71" spans="1:10" s="1" customFormat="1" ht="14.25" hidden="1" customHeight="1" outlineLevel="1" x14ac:dyDescent="0.2">
      <c r="A71" s="2">
        <v>43</v>
      </c>
      <c r="B71" s="48" t="s">
        <v>170</v>
      </c>
      <c r="C71" s="3" t="s">
        <v>171</v>
      </c>
      <c r="D71" s="2" t="s">
        <v>138</v>
      </c>
      <c r="E71" s="47">
        <v>1.2508484338312999E-2</v>
      </c>
      <c r="F71" s="9">
        <v>47.57</v>
      </c>
      <c r="G71" s="14">
        <f t="shared" si="4"/>
        <v>0.6</v>
      </c>
      <c r="H71" s="46">
        <f t="shared" si="3"/>
        <v>8.5999312005503945E-4</v>
      </c>
      <c r="I71" s="14">
        <f>ROUND(F71*Прил.10!$D$12,2)</f>
        <v>382.46</v>
      </c>
      <c r="J71" s="14">
        <f t="shared" si="5"/>
        <v>4.78</v>
      </c>
    </row>
    <row r="72" spans="1:10" s="1" customFormat="1" ht="14.25" hidden="1" customHeight="1" outlineLevel="1" x14ac:dyDescent="0.2">
      <c r="A72" s="2">
        <v>44</v>
      </c>
      <c r="B72" s="48" t="s">
        <v>172</v>
      </c>
      <c r="C72" s="3" t="s">
        <v>173</v>
      </c>
      <c r="D72" s="2" t="s">
        <v>138</v>
      </c>
      <c r="E72" s="47">
        <v>1.7542847185385999E-2</v>
      </c>
      <c r="F72" s="9">
        <v>28.93</v>
      </c>
      <c r="G72" s="14">
        <f t="shared" si="4"/>
        <v>0.51</v>
      </c>
      <c r="H72" s="46">
        <f t="shared" si="3"/>
        <v>7.3099415204678359E-4</v>
      </c>
      <c r="I72" s="14">
        <f>ROUND(F72*Прил.10!$D$12,2)</f>
        <v>232.6</v>
      </c>
      <c r="J72" s="14">
        <f t="shared" si="5"/>
        <v>4.08</v>
      </c>
    </row>
    <row r="73" spans="1:10" s="1" customFormat="1" ht="14.25" hidden="1" customHeight="1" outlineLevel="1" x14ac:dyDescent="0.2">
      <c r="A73" s="2">
        <v>45</v>
      </c>
      <c r="B73" s="48" t="s">
        <v>174</v>
      </c>
      <c r="C73" s="3" t="s">
        <v>175</v>
      </c>
      <c r="D73" s="2" t="s">
        <v>125</v>
      </c>
      <c r="E73" s="47">
        <v>1.2524888224666001E-2</v>
      </c>
      <c r="F73" s="9">
        <v>30.74</v>
      </c>
      <c r="G73" s="14">
        <f t="shared" si="4"/>
        <v>0.39</v>
      </c>
      <c r="H73" s="46">
        <f t="shared" si="3"/>
        <v>5.5899552803577565E-4</v>
      </c>
      <c r="I73" s="14">
        <f>ROUND(F73*Прил.10!$D$12,2)</f>
        <v>247.15</v>
      </c>
      <c r="J73" s="14">
        <f t="shared" si="5"/>
        <v>3.1</v>
      </c>
    </row>
    <row r="74" spans="1:10" s="1" customFormat="1" ht="38.25" hidden="1" customHeight="1" outlineLevel="1" x14ac:dyDescent="0.2">
      <c r="A74" s="2">
        <v>46</v>
      </c>
      <c r="B74" s="48" t="s">
        <v>176</v>
      </c>
      <c r="C74" s="3" t="s">
        <v>177</v>
      </c>
      <c r="D74" s="2" t="s">
        <v>178</v>
      </c>
      <c r="E74" s="47">
        <v>7.5270794911887998E-4</v>
      </c>
      <c r="F74" s="9">
        <v>405.22</v>
      </c>
      <c r="G74" s="14">
        <f t="shared" si="4"/>
        <v>0.31</v>
      </c>
      <c r="H74" s="46">
        <f t="shared" si="3"/>
        <v>4.4432977869510371E-4</v>
      </c>
      <c r="I74" s="14">
        <f>ROUND(F74*Прил.10!$D$12,2)</f>
        <v>3257.97</v>
      </c>
      <c r="J74" s="14">
        <f t="shared" si="5"/>
        <v>2.4500000000000002</v>
      </c>
    </row>
    <row r="75" spans="1:10" s="1" customFormat="1" ht="14.25" hidden="1" customHeight="1" outlineLevel="1" x14ac:dyDescent="0.2">
      <c r="A75" s="2">
        <v>47</v>
      </c>
      <c r="B75" s="48" t="s">
        <v>179</v>
      </c>
      <c r="C75" s="3" t="s">
        <v>180</v>
      </c>
      <c r="D75" s="2" t="s">
        <v>138</v>
      </c>
      <c r="E75" s="47">
        <v>1.0815129260671E-2</v>
      </c>
      <c r="F75" s="9">
        <v>27.74</v>
      </c>
      <c r="G75" s="14">
        <f t="shared" si="4"/>
        <v>0.3</v>
      </c>
      <c r="H75" s="46">
        <f t="shared" si="3"/>
        <v>4.2999656002751973E-4</v>
      </c>
      <c r="I75" s="14">
        <f>ROUND(F75*Прил.10!$D$12,2)</f>
        <v>223.03</v>
      </c>
      <c r="J75" s="14">
        <f t="shared" si="5"/>
        <v>2.41</v>
      </c>
    </row>
    <row r="76" spans="1:10" s="1" customFormat="1" ht="25.5" hidden="1" customHeight="1" outlineLevel="1" x14ac:dyDescent="0.2">
      <c r="A76" s="2">
        <v>48</v>
      </c>
      <c r="B76" s="48" t="s">
        <v>181</v>
      </c>
      <c r="C76" s="3" t="s">
        <v>182</v>
      </c>
      <c r="D76" s="2" t="s">
        <v>138</v>
      </c>
      <c r="E76" s="47">
        <v>7.4990889993471E-3</v>
      </c>
      <c r="F76" s="9">
        <v>38.340000000000003</v>
      </c>
      <c r="G76" s="14">
        <f t="shared" si="4"/>
        <v>0.28999999999999998</v>
      </c>
      <c r="H76" s="46">
        <f t="shared" si="3"/>
        <v>4.1566334135993574E-4</v>
      </c>
      <c r="I76" s="14">
        <f>ROUND(F76*Прил.10!$D$12,2)</f>
        <v>308.25</v>
      </c>
      <c r="J76" s="14">
        <f t="shared" si="5"/>
        <v>2.31</v>
      </c>
    </row>
    <row r="77" spans="1:10" s="1" customFormat="1" ht="25.5" hidden="1" customHeight="1" outlineLevel="1" x14ac:dyDescent="0.2">
      <c r="A77" s="2">
        <v>49</v>
      </c>
      <c r="B77" s="48" t="s">
        <v>183</v>
      </c>
      <c r="C77" s="3" t="s">
        <v>184</v>
      </c>
      <c r="D77" s="2" t="s">
        <v>138</v>
      </c>
      <c r="E77" s="47">
        <v>6.4713206622611001E-3</v>
      </c>
      <c r="F77" s="9">
        <v>39.020000000000003</v>
      </c>
      <c r="G77" s="14">
        <f t="shared" si="4"/>
        <v>0.25</v>
      </c>
      <c r="H77" s="46">
        <f t="shared" si="3"/>
        <v>3.583304666895998E-4</v>
      </c>
      <c r="I77" s="14">
        <f>ROUND(F77*Прил.10!$D$12,2)</f>
        <v>313.72000000000003</v>
      </c>
      <c r="J77" s="14">
        <f t="shared" si="5"/>
        <v>2.0299999999999998</v>
      </c>
    </row>
    <row r="78" spans="1:10" s="1" customFormat="1" ht="25.5" hidden="1" customHeight="1" outlineLevel="1" x14ac:dyDescent="0.2">
      <c r="A78" s="2">
        <v>50</v>
      </c>
      <c r="B78" s="48" t="s">
        <v>185</v>
      </c>
      <c r="C78" s="3" t="s">
        <v>186</v>
      </c>
      <c r="D78" s="2" t="s">
        <v>122</v>
      </c>
      <c r="E78" s="47">
        <v>2.4982649051537E-6</v>
      </c>
      <c r="F78" s="9">
        <v>68050</v>
      </c>
      <c r="G78" s="14">
        <f t="shared" si="4"/>
        <v>0.17</v>
      </c>
      <c r="H78" s="46">
        <f t="shared" si="3"/>
        <v>2.4366471734892786E-4</v>
      </c>
      <c r="I78" s="14">
        <f>ROUND(F78*Прил.10!$D$12,2)</f>
        <v>547122</v>
      </c>
      <c r="J78" s="14">
        <f t="shared" si="5"/>
        <v>1.37</v>
      </c>
    </row>
    <row r="79" spans="1:10" s="1" customFormat="1" ht="25.5" hidden="1" customHeight="1" outlineLevel="1" x14ac:dyDescent="0.2">
      <c r="A79" s="2">
        <v>51</v>
      </c>
      <c r="B79" s="48" t="s">
        <v>187</v>
      </c>
      <c r="C79" s="3" t="s">
        <v>188</v>
      </c>
      <c r="D79" s="2" t="s">
        <v>122</v>
      </c>
      <c r="E79" s="47">
        <v>6.0219233993804997E-6</v>
      </c>
      <c r="F79" s="9">
        <v>22419</v>
      </c>
      <c r="G79" s="14">
        <f t="shared" si="4"/>
        <v>0.14000000000000001</v>
      </c>
      <c r="H79" s="46">
        <f t="shared" si="3"/>
        <v>2.0066506134617591E-4</v>
      </c>
      <c r="I79" s="14">
        <f>ROUND(F79*Прил.10!$D$12,2)</f>
        <v>180248.76</v>
      </c>
      <c r="J79" s="14">
        <f t="shared" si="5"/>
        <v>1.0900000000000001</v>
      </c>
    </row>
    <row r="80" spans="1:10" s="1" customFormat="1" ht="14.25" hidden="1" customHeight="1" outlineLevel="1" x14ac:dyDescent="0.2">
      <c r="A80" s="2">
        <v>52</v>
      </c>
      <c r="B80" s="48" t="s">
        <v>189</v>
      </c>
      <c r="C80" s="3" t="s">
        <v>190</v>
      </c>
      <c r="D80" s="2" t="s">
        <v>122</v>
      </c>
      <c r="E80" s="47">
        <v>8.9047151456615996E-5</v>
      </c>
      <c r="F80" s="9">
        <v>729.98</v>
      </c>
      <c r="G80" s="14">
        <f t="shared" si="4"/>
        <v>7.0000000000000007E-2</v>
      </c>
      <c r="H80" s="46">
        <f t="shared" si="3"/>
        <v>1.0033253067308795E-4</v>
      </c>
      <c r="I80" s="14">
        <f>ROUND(F80*Прил.10!$D$12,2)</f>
        <v>5869.04</v>
      </c>
      <c r="J80" s="14">
        <f t="shared" si="5"/>
        <v>0.52</v>
      </c>
    </row>
    <row r="81" spans="1:10" s="1" customFormat="1" ht="14.25" hidden="1" customHeight="1" outlineLevel="1" x14ac:dyDescent="0.2">
      <c r="A81" s="2">
        <v>53</v>
      </c>
      <c r="B81" s="48" t="s">
        <v>191</v>
      </c>
      <c r="C81" s="3" t="s">
        <v>192</v>
      </c>
      <c r="D81" s="2" t="s">
        <v>138</v>
      </c>
      <c r="E81" s="47">
        <v>1.473512754656E-3</v>
      </c>
      <c r="F81" s="9">
        <v>35.630000000000003</v>
      </c>
      <c r="G81" s="14">
        <f t="shared" si="4"/>
        <v>0.05</v>
      </c>
      <c r="H81" s="46">
        <f t="shared" si="3"/>
        <v>7.1666093337919955E-5</v>
      </c>
      <c r="I81" s="14">
        <f>ROUND(F81*Прил.10!$D$12,2)</f>
        <v>286.47000000000003</v>
      </c>
      <c r="J81" s="14">
        <f t="shared" si="5"/>
        <v>0.42</v>
      </c>
    </row>
    <row r="82" spans="1:10" s="1" customFormat="1" ht="14.25" hidden="1" customHeight="1" outlineLevel="1" x14ac:dyDescent="0.2">
      <c r="A82" s="2">
        <v>54</v>
      </c>
      <c r="B82" s="48" t="s">
        <v>193</v>
      </c>
      <c r="C82" s="3" t="s">
        <v>194</v>
      </c>
      <c r="D82" s="2" t="s">
        <v>195</v>
      </c>
      <c r="E82" s="47">
        <v>1.2484980740204E-2</v>
      </c>
      <c r="F82" s="9">
        <v>0.4</v>
      </c>
      <c r="G82" s="14">
        <f t="shared" si="4"/>
        <v>0</v>
      </c>
      <c r="H82" s="46">
        <f t="shared" si="3"/>
        <v>0</v>
      </c>
      <c r="I82" s="14">
        <f>ROUND(F82*Прил.10!$D$12,2)</f>
        <v>3.22</v>
      </c>
      <c r="J82" s="14">
        <f t="shared" si="5"/>
        <v>0.04</v>
      </c>
    </row>
    <row r="83" spans="1:10" s="1" customFormat="1" ht="14.25" customHeight="1" collapsed="1" x14ac:dyDescent="0.2">
      <c r="A83" s="2"/>
      <c r="B83" s="2"/>
      <c r="C83" s="3" t="s">
        <v>271</v>
      </c>
      <c r="D83" s="2"/>
      <c r="E83" s="50"/>
      <c r="F83" s="4"/>
      <c r="G83" s="14">
        <f>SUM(G50:G82)</f>
        <v>99.500000000000014</v>
      </c>
      <c r="H83" s="46">
        <f>G83/G84</f>
        <v>0.14261552574246072</v>
      </c>
      <c r="I83" s="14"/>
      <c r="J83" s="14">
        <f>SUM(J50:J82)</f>
        <v>799.58999999999992</v>
      </c>
    </row>
    <row r="84" spans="1:10" s="1" customFormat="1" ht="14.25" customHeight="1" x14ac:dyDescent="0.2">
      <c r="A84" s="2"/>
      <c r="B84" s="2"/>
      <c r="C84" s="5" t="s">
        <v>272</v>
      </c>
      <c r="D84" s="2"/>
      <c r="E84" s="50"/>
      <c r="F84" s="4"/>
      <c r="G84" s="14">
        <f>G49+G83</f>
        <v>697.68000000000006</v>
      </c>
      <c r="H84" s="46">
        <v>1</v>
      </c>
      <c r="I84" s="4"/>
      <c r="J84" s="14">
        <f>J49+J83</f>
        <v>5609.0800000000008</v>
      </c>
    </row>
    <row r="85" spans="1:10" s="1" customFormat="1" ht="14.25" customHeight="1" x14ac:dyDescent="0.2">
      <c r="A85" s="2"/>
      <c r="B85" s="2"/>
      <c r="C85" s="3" t="s">
        <v>273</v>
      </c>
      <c r="D85" s="2"/>
      <c r="E85" s="50"/>
      <c r="F85" s="4"/>
      <c r="G85" s="14">
        <f>G14+G25+G84</f>
        <v>1213.9075440000001</v>
      </c>
      <c r="H85" s="46"/>
      <c r="I85" s="4"/>
      <c r="J85" s="14">
        <f>J14+J25+J84</f>
        <v>28303.460000000003</v>
      </c>
    </row>
    <row r="86" spans="1:10" s="1" customFormat="1" ht="14.25" customHeight="1" x14ac:dyDescent="0.2">
      <c r="A86" s="2"/>
      <c r="B86" s="2"/>
      <c r="C86" s="3" t="s">
        <v>274</v>
      </c>
      <c r="D86" s="2" t="s">
        <v>275</v>
      </c>
      <c r="E86" s="56">
        <v>0.94</v>
      </c>
      <c r="F86" s="4"/>
      <c r="G86" s="14">
        <v>1818.61</v>
      </c>
      <c r="H86" s="46"/>
      <c r="I86" s="4"/>
      <c r="J86" s="14">
        <f>ROUND(E86*(J14+J16),2)</f>
        <v>21093.79</v>
      </c>
    </row>
    <row r="87" spans="1:10" s="1" customFormat="1" ht="14.25" customHeight="1" x14ac:dyDescent="0.2">
      <c r="A87" s="2"/>
      <c r="B87" s="2"/>
      <c r="C87" s="3" t="s">
        <v>276</v>
      </c>
      <c r="D87" s="2" t="s">
        <v>275</v>
      </c>
      <c r="E87" s="56">
        <v>0.49</v>
      </c>
      <c r="F87" s="4"/>
      <c r="G87" s="14">
        <v>961.74</v>
      </c>
      <c r="H87" s="46"/>
      <c r="I87" s="4"/>
      <c r="J87" s="14">
        <f>ROUND(E87*(J14+J16),2)</f>
        <v>10995.7</v>
      </c>
    </row>
    <row r="88" spans="1:10" s="1" customFormat="1" ht="14.25" customHeight="1" x14ac:dyDescent="0.2">
      <c r="A88" s="2"/>
      <c r="B88" s="2"/>
      <c r="C88" s="3" t="s">
        <v>277</v>
      </c>
      <c r="D88" s="2"/>
      <c r="E88" s="50"/>
      <c r="F88" s="4"/>
      <c r="G88" s="14">
        <f>G14+G25+G84+G86+G87</f>
        <v>3994.2575440000001</v>
      </c>
      <c r="H88" s="46"/>
      <c r="I88" s="4"/>
      <c r="J88" s="14">
        <f>J14+J25+J84+J86+J87</f>
        <v>60392.95</v>
      </c>
    </row>
    <row r="89" spans="1:10" s="1" customFormat="1" ht="14.25" customHeight="1" x14ac:dyDescent="0.2">
      <c r="A89" s="2"/>
      <c r="B89" s="2"/>
      <c r="C89" s="3" t="s">
        <v>278</v>
      </c>
      <c r="D89" s="2"/>
      <c r="E89" s="50"/>
      <c r="F89" s="4"/>
      <c r="G89" s="14">
        <f>G88+G40</f>
        <v>25444.837543999998</v>
      </c>
      <c r="H89" s="46"/>
      <c r="I89" s="4"/>
      <c r="J89" s="14">
        <f>J88+J40</f>
        <v>194673.64</v>
      </c>
    </row>
    <row r="90" spans="1:10" s="1" customFormat="1" ht="14.25" customHeight="1" x14ac:dyDescent="0.2">
      <c r="A90" s="2"/>
      <c r="B90" s="2"/>
      <c r="C90" s="3" t="s">
        <v>232</v>
      </c>
      <c r="D90" s="2" t="s">
        <v>279</v>
      </c>
      <c r="E90" s="57">
        <v>1</v>
      </c>
      <c r="F90" s="4"/>
      <c r="G90" s="14">
        <f>G89/E90</f>
        <v>25444.837543999998</v>
      </c>
      <c r="H90" s="46"/>
      <c r="I90" s="4"/>
      <c r="J90" s="14">
        <f>J89/E90</f>
        <v>194673.64</v>
      </c>
    </row>
    <row r="92" spans="1:10" s="1" customFormat="1" ht="14.25" customHeight="1" x14ac:dyDescent="0.2">
      <c r="A92" s="10"/>
    </row>
    <row r="93" spans="1:10" s="1" customFormat="1" ht="14.25" customHeight="1" x14ac:dyDescent="0.2">
      <c r="A93" s="6" t="s">
        <v>32</v>
      </c>
    </row>
    <row r="94" spans="1:10" s="1" customFormat="1" ht="14.25" customHeight="1" x14ac:dyDescent="0.2">
      <c r="A94" s="61" t="s">
        <v>33</v>
      </c>
    </row>
    <row r="95" spans="1:10" s="1" customFormat="1" ht="14.25" customHeight="1" x14ac:dyDescent="0.2">
      <c r="A95" s="6"/>
    </row>
    <row r="96" spans="1:10" s="1" customFormat="1" ht="14.25" customHeight="1" x14ac:dyDescent="0.2">
      <c r="A96" s="6" t="s">
        <v>34</v>
      </c>
    </row>
    <row r="97" spans="1:1" s="1" customFormat="1" ht="14.25" customHeight="1" x14ac:dyDescent="0.2">
      <c r="A97" s="61" t="s">
        <v>35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41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1"/>
  <sheetViews>
    <sheetView view="pageBreakPreview" topLeftCell="A22" workbookViewId="0">
      <selection activeCell="C29" sqref="C29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48" t="s">
        <v>280</v>
      </c>
      <c r="B1" s="148"/>
      <c r="C1" s="148"/>
      <c r="D1" s="148"/>
      <c r="E1" s="148"/>
      <c r="F1" s="148"/>
      <c r="G1" s="148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25" t="s">
        <v>281</v>
      </c>
      <c r="B5" s="125"/>
      <c r="C5" s="125"/>
      <c r="D5" s="125"/>
      <c r="E5" s="125"/>
      <c r="F5" s="125"/>
      <c r="G5" s="125"/>
    </row>
    <row r="6" spans="1:7" ht="64.5" customHeight="1" x14ac:dyDescent="0.25">
      <c r="A6" s="112" t="str">
        <f>'Прил.1 Сравнит табл'!B7</f>
        <v>Наименование разрабатываемого показателя УНЦ: Постоянная часть ПС, СКУД ЗПС 35 кВ</v>
      </c>
      <c r="B6" s="112"/>
      <c r="C6" s="112"/>
      <c r="D6" s="112"/>
      <c r="E6" s="112"/>
      <c r="F6" s="112"/>
      <c r="G6" s="112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49" t="s">
        <v>237</v>
      </c>
      <c r="B8" s="149" t="s">
        <v>54</v>
      </c>
      <c r="C8" s="149" t="s">
        <v>198</v>
      </c>
      <c r="D8" s="149" t="s">
        <v>56</v>
      </c>
      <c r="E8" s="129" t="s">
        <v>238</v>
      </c>
      <c r="F8" s="149" t="s">
        <v>58</v>
      </c>
      <c r="G8" s="149"/>
    </row>
    <row r="9" spans="1:7" x14ac:dyDescent="0.25">
      <c r="A9" s="149"/>
      <c r="B9" s="149"/>
      <c r="C9" s="149"/>
      <c r="D9" s="149"/>
      <c r="E9" s="130"/>
      <c r="F9" s="2" t="s">
        <v>241</v>
      </c>
      <c r="G9" s="2" t="s">
        <v>60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44" t="s">
        <v>282</v>
      </c>
      <c r="C11" s="145"/>
      <c r="D11" s="145"/>
      <c r="E11" s="145"/>
      <c r="F11" s="145"/>
      <c r="G11" s="146"/>
    </row>
    <row r="12" spans="1:7" ht="27" customHeight="1" x14ac:dyDescent="0.25">
      <c r="A12" s="2"/>
      <c r="B12" s="5"/>
      <c r="C12" s="3" t="s">
        <v>283</v>
      </c>
      <c r="D12" s="5"/>
      <c r="E12" s="8"/>
      <c r="F12" s="4"/>
      <c r="G12" s="4">
        <v>0</v>
      </c>
    </row>
    <row r="13" spans="1:7" x14ac:dyDescent="0.25">
      <c r="A13" s="2"/>
      <c r="B13" s="133" t="s">
        <v>284</v>
      </c>
      <c r="C13" s="133"/>
      <c r="D13" s="133"/>
      <c r="E13" s="147"/>
      <c r="F13" s="135"/>
      <c r="G13" s="135"/>
    </row>
    <row r="14" spans="1:7" ht="25.5" customHeight="1" x14ac:dyDescent="0.25">
      <c r="A14" s="2">
        <v>1</v>
      </c>
      <c r="B14" s="57" t="str">
        <f>'Прил.5 Расчет СМР и ОБ'!B28</f>
        <v>61.2.07.08-0002</v>
      </c>
      <c r="C14" s="82" t="str">
        <f>'Прил.5 Расчет СМР и ОБ'!C28</f>
        <v>Считыватель VinSonic для магнитных карт MSR-0101</v>
      </c>
      <c r="D14" s="57" t="str">
        <f>'Прил.5 Расчет СМР и ОБ'!D28</f>
        <v>10 шт</v>
      </c>
      <c r="E14" s="57">
        <f>'Прил.5 Расчет СМР и ОБ'!E28</f>
        <v>0.4000093431542</v>
      </c>
      <c r="F14" s="14">
        <f>'Прил.5 Расчет СМР и ОБ'!F28</f>
        <v>19707.400000000001</v>
      </c>
      <c r="G14" s="14">
        <f t="shared" ref="G14:G23" si="0">ROUND(E14*F14,2)</f>
        <v>7883.14</v>
      </c>
    </row>
    <row r="15" spans="1:7" ht="25.5" customHeight="1" x14ac:dyDescent="0.25">
      <c r="A15" s="2">
        <v>2</v>
      </c>
      <c r="B15" s="57" t="str">
        <f>'Прил.5 Расчет СМР и ОБ'!B29</f>
        <v>62.4.02.01-0049</v>
      </c>
      <c r="C15" s="82" t="str">
        <f>'Прил.5 Расчет СМР и ОБ'!C29</f>
        <v>Источник бесперебойного питания: Delta N Series UPS</v>
      </c>
      <c r="D15" s="57" t="str">
        <f>'Прил.5 Расчет СМР и ОБ'!D29</f>
        <v>шт</v>
      </c>
      <c r="E15" s="57">
        <f>'Прил.5 Расчет СМР и ОБ'!E29</f>
        <v>1.2500292084452</v>
      </c>
      <c r="F15" s="14">
        <f>'Прил.5 Расчет СМР и ОБ'!F29</f>
        <v>5415.89</v>
      </c>
      <c r="G15" s="14">
        <f t="shared" si="0"/>
        <v>6770.02</v>
      </c>
    </row>
    <row r="16" spans="1:7" ht="25.5" customHeight="1" x14ac:dyDescent="0.25">
      <c r="A16" s="2">
        <v>3</v>
      </c>
      <c r="B16" s="57" t="str">
        <f>'Прил.5 Расчет СМР и ОБ'!B30</f>
        <v>61.2.07.04-0004</v>
      </c>
      <c r="C16" s="82" t="str">
        <f>'Прил.5 Расчет СМР и ОБ'!C30</f>
        <v>Контроллер доступа, марка "С2000-2" исп. 01</v>
      </c>
      <c r="D16" s="57" t="str">
        <f>'Прил.5 Расчет СМР и ОБ'!D30</f>
        <v>шт</v>
      </c>
      <c r="E16" s="57">
        <f>'Прил.5 Расчет СМР и ОБ'!E30</f>
        <v>2.0000469838415</v>
      </c>
      <c r="F16" s="14">
        <f>'Прил.5 Расчет СМР и ОБ'!F30</f>
        <v>575.80999999999995</v>
      </c>
      <c r="G16" s="14">
        <f t="shared" si="0"/>
        <v>1151.6500000000001</v>
      </c>
    </row>
    <row r="17" spans="1:7" ht="38.25" customHeight="1" x14ac:dyDescent="0.25">
      <c r="A17" s="2">
        <v>4</v>
      </c>
      <c r="B17" s="57" t="str">
        <f>'Прил.5 Расчет СМР и ОБ'!B32</f>
        <v>61.2.01.03-0019</v>
      </c>
      <c r="C17" s="82" t="str">
        <f>'Прил.5 Расчет СМР и ОБ'!C32</f>
        <v>Извещатель охранный инфракрасный пассивный: "Пирон-1", взрывозащитное исполнение</v>
      </c>
      <c r="D17" s="57" t="str">
        <f>'Прил.5 Расчет СМР и ОБ'!D32</f>
        <v>шт</v>
      </c>
      <c r="E17" s="57">
        <f>'Прил.5 Расчет СМР и ОБ'!E32</f>
        <v>0.75001733605785004</v>
      </c>
      <c r="F17" s="14">
        <f>'Прил.5 Расчет СМР и ОБ'!F32</f>
        <v>2122.7199999999998</v>
      </c>
      <c r="G17" s="14">
        <f t="shared" si="0"/>
        <v>1592.08</v>
      </c>
    </row>
    <row r="18" spans="1:7" ht="25.5" customHeight="1" x14ac:dyDescent="0.25">
      <c r="A18" s="2">
        <v>5</v>
      </c>
      <c r="B18" s="57" t="str">
        <f>'Прил.5 Расчет СМР и ОБ'!B33</f>
        <v>61.2.07.01-0011</v>
      </c>
      <c r="C18" s="82" t="str">
        <f>'Прил.5 Расчет СМР и ОБ'!C33</f>
        <v>Замок электромеханический горизонтальный NICE PLA 11</v>
      </c>
      <c r="D18" s="57" t="str">
        <f>'Прил.5 Расчет СМР и ОБ'!D33</f>
        <v>шт</v>
      </c>
      <c r="E18" s="57">
        <f>'Прил.5 Расчет СМР и ОБ'!E33</f>
        <v>1.7500411828694</v>
      </c>
      <c r="F18" s="14">
        <f>'Прил.5 Расчет СМР и ОБ'!F33</f>
        <v>615.58000000000004</v>
      </c>
      <c r="G18" s="14">
        <f t="shared" si="0"/>
        <v>1077.29</v>
      </c>
    </row>
    <row r="19" spans="1:7" ht="38.25" customHeight="1" x14ac:dyDescent="0.25">
      <c r="A19" s="2">
        <v>6</v>
      </c>
      <c r="B19" s="57" t="str">
        <f>'Прил.5 Расчет СМР и ОБ'!B34</f>
        <v>61.2.01.03-0020</v>
      </c>
      <c r="C19" s="82" t="str">
        <f>'Прил.5 Расчет СМР и ОБ'!C34</f>
        <v>Извещатель охранный инфракрасный пассивный: "Пирон-1А", взрывозащитное исполнение</v>
      </c>
      <c r="D19" s="57" t="str">
        <f>'Прил.5 Расчет СМР и ОБ'!D34</f>
        <v>шт</v>
      </c>
      <c r="E19" s="57">
        <f>'Прил.5 Расчет СМР и ОБ'!E34</f>
        <v>0.50001155737189995</v>
      </c>
      <c r="F19" s="14">
        <f>'Прил.5 Расчет СМР и ОБ'!F34</f>
        <v>2122.7199999999998</v>
      </c>
      <c r="G19" s="14">
        <f t="shared" si="0"/>
        <v>1061.3800000000001</v>
      </c>
    </row>
    <row r="20" spans="1:7" ht="25.5" customHeight="1" x14ac:dyDescent="0.25">
      <c r="A20" s="2">
        <v>7</v>
      </c>
      <c r="B20" s="57" t="str">
        <f>'Прил.5 Расчет СМР и ОБ'!B35</f>
        <v>62.4.02.01-0075</v>
      </c>
      <c r="C20" s="82" t="str">
        <f>'Прил.5 Расчет СМР и ОБ'!C35</f>
        <v>Источник бесперебойного питания: СКАТ-1200У2</v>
      </c>
      <c r="D20" s="57" t="str">
        <f>'Прил.5 Расчет СМР и ОБ'!D35</f>
        <v>шт</v>
      </c>
      <c r="E20" s="57">
        <f>'Прил.5 Расчет СМР и ОБ'!E35</f>
        <v>0.25000581053814003</v>
      </c>
      <c r="F20" s="14">
        <f>'Прил.5 Расчет СМР и ОБ'!F35</f>
        <v>3451.57</v>
      </c>
      <c r="G20" s="14">
        <f t="shared" si="0"/>
        <v>862.91</v>
      </c>
    </row>
    <row r="21" spans="1:7" ht="25.5" customHeight="1" x14ac:dyDescent="0.25">
      <c r="A21" s="2">
        <v>8</v>
      </c>
      <c r="B21" s="57" t="str">
        <f>'Прил.5 Расчет СМР и ОБ'!B36</f>
        <v>61.3.03.01-0002</v>
      </c>
      <c r="C21" s="82" t="str">
        <f>'Прил.5 Расчет СМР и ОБ'!C36</f>
        <v>Домофон многоабонентный "Мета ком-99" на 100 абонентов</v>
      </c>
      <c r="D21" s="57" t="str">
        <f>'Прил.5 Расчет СМР и ОБ'!D36</f>
        <v>шт</v>
      </c>
      <c r="E21" s="57">
        <f>'Прил.5 Расчет СМР и ОБ'!E36</f>
        <v>0.25000590886037</v>
      </c>
      <c r="F21" s="14">
        <f>'Прил.5 Расчет СМР и ОБ'!F36</f>
        <v>2061.4</v>
      </c>
      <c r="G21" s="14">
        <f t="shared" si="0"/>
        <v>515.36</v>
      </c>
    </row>
    <row r="22" spans="1:7" ht="25.5" customHeight="1" x14ac:dyDescent="0.25">
      <c r="A22" s="2">
        <v>9</v>
      </c>
      <c r="B22" s="57" t="str">
        <f>'Прил.5 Расчет СМР и ОБ'!B37</f>
        <v>61.2.01.05-0002</v>
      </c>
      <c r="C22" s="82" t="str">
        <f>'Прил.5 Расчет СМР и ОБ'!C37</f>
        <v>Извещатель охранный контактный: ДПМ-1-100</v>
      </c>
      <c r="D22" s="57" t="str">
        <f>'Прил.5 Расчет СМР и ОБ'!D37</f>
        <v>шт</v>
      </c>
      <c r="E22" s="57">
        <f>'Прил.5 Расчет СМР и ОБ'!E37</f>
        <v>1.7500376604787999</v>
      </c>
      <c r="F22" s="14">
        <f>'Прил.5 Расчет СМР и ОБ'!F37</f>
        <v>283.18</v>
      </c>
      <c r="G22" s="14">
        <f t="shared" si="0"/>
        <v>495.58</v>
      </c>
    </row>
    <row r="23" spans="1:7" ht="25.5" customHeight="1" x14ac:dyDescent="0.25">
      <c r="A23" s="2">
        <v>10</v>
      </c>
      <c r="B23" s="57" t="str">
        <f>'Прил.5 Расчет СМР и ОБ'!B38</f>
        <v>61.1.03.03-0001</v>
      </c>
      <c r="C23" s="82" t="str">
        <f>'Прил.5 Расчет СМР и ОБ'!C38</f>
        <v>Изделия домофона до 200 абонентских пультов</v>
      </c>
      <c r="D23" s="57" t="str">
        <f>'Прил.5 Расчет СМР и ОБ'!D38</f>
        <v>шт</v>
      </c>
      <c r="E23" s="57">
        <f>'Прил.5 Расчет СМР и ОБ'!E38</f>
        <v>0.25000568586652</v>
      </c>
      <c r="F23" s="14">
        <f>'Прил.5 Расчет СМР и ОБ'!F38</f>
        <v>164.69</v>
      </c>
      <c r="G23" s="14">
        <f t="shared" si="0"/>
        <v>41.17</v>
      </c>
    </row>
    <row r="24" spans="1:7" ht="25.5" customHeight="1" x14ac:dyDescent="0.25">
      <c r="A24" s="2"/>
      <c r="B24" s="12"/>
      <c r="C24" s="12" t="s">
        <v>285</v>
      </c>
      <c r="D24" s="12"/>
      <c r="E24" s="13"/>
      <c r="F24" s="4"/>
      <c r="G24" s="14">
        <f>SUM(G14:G23)</f>
        <v>21450.58</v>
      </c>
    </row>
    <row r="25" spans="1:7" ht="19.5" customHeight="1" x14ac:dyDescent="0.25">
      <c r="A25" s="2"/>
      <c r="B25" s="3"/>
      <c r="C25" s="3" t="s">
        <v>286</v>
      </c>
      <c r="D25" s="3"/>
      <c r="E25" s="9"/>
      <c r="F25" s="4"/>
      <c r="G25" s="14">
        <f>G12+G24</f>
        <v>21450.58</v>
      </c>
    </row>
    <row r="26" spans="1:7" x14ac:dyDescent="0.25">
      <c r="A26" s="10"/>
      <c r="B26" s="11"/>
      <c r="C26" s="10"/>
      <c r="D26" s="10"/>
      <c r="E26" s="10"/>
      <c r="F26" s="10"/>
      <c r="G26" s="10"/>
    </row>
    <row r="27" spans="1:7" x14ac:dyDescent="0.25">
      <c r="A27" s="6" t="s">
        <v>32</v>
      </c>
      <c r="B27" s="1"/>
      <c r="C27" s="1"/>
      <c r="D27" s="10"/>
      <c r="E27" s="10"/>
      <c r="F27" s="10"/>
      <c r="G27" s="10"/>
    </row>
    <row r="28" spans="1:7" x14ac:dyDescent="0.25">
      <c r="A28" s="61" t="s">
        <v>33</v>
      </c>
      <c r="B28" s="1"/>
      <c r="C28" s="1"/>
      <c r="D28" s="10"/>
      <c r="E28" s="10"/>
      <c r="F28" s="10"/>
      <c r="G28" s="10"/>
    </row>
    <row r="29" spans="1:7" x14ac:dyDescent="0.25">
      <c r="A29" s="6"/>
      <c r="B29" s="1"/>
      <c r="C29" s="1"/>
      <c r="D29" s="10"/>
      <c r="E29" s="10"/>
      <c r="F29" s="10"/>
      <c r="G29" s="10"/>
    </row>
    <row r="30" spans="1:7" x14ac:dyDescent="0.25">
      <c r="A30" s="6" t="s">
        <v>34</v>
      </c>
      <c r="B30" s="1"/>
      <c r="C30" s="1"/>
      <c r="D30" s="10"/>
      <c r="E30" s="10"/>
      <c r="F30" s="10"/>
      <c r="G30" s="10"/>
    </row>
    <row r="31" spans="1:7" x14ac:dyDescent="0.25">
      <c r="A31" s="61" t="s">
        <v>35</v>
      </c>
      <c r="B31" s="1"/>
      <c r="C31" s="1"/>
      <c r="D31" s="10"/>
      <c r="E31" s="10"/>
      <c r="F31" s="10"/>
      <c r="G31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0"/>
      <c r="B1" s="60"/>
      <c r="C1" s="60"/>
      <c r="D1" s="60" t="s">
        <v>287</v>
      </c>
    </row>
    <row r="2" spans="1:4" ht="15.75" customHeight="1" x14ac:dyDescent="0.25">
      <c r="A2" s="60"/>
      <c r="B2" s="60"/>
      <c r="C2" s="60"/>
      <c r="D2" s="60"/>
    </row>
    <row r="3" spans="1:4" ht="15.75" customHeight="1" x14ac:dyDescent="0.25">
      <c r="A3" s="60"/>
      <c r="B3" s="101" t="s">
        <v>288</v>
      </c>
      <c r="C3" s="60"/>
      <c r="D3" s="60"/>
    </row>
    <row r="4" spans="1:4" ht="15.75" customHeight="1" x14ac:dyDescent="0.25">
      <c r="A4" s="60"/>
      <c r="B4" s="60"/>
      <c r="C4" s="60"/>
      <c r="D4" s="60"/>
    </row>
    <row r="5" spans="1:4" ht="31.5" customHeight="1" x14ac:dyDescent="0.25">
      <c r="A5" s="150" t="s">
        <v>289</v>
      </c>
      <c r="B5" s="150"/>
      <c r="C5" s="150"/>
      <c r="D5" s="102" t="str">
        <f>'Прил.5 Расчет СМР и ОБ'!D6:J6</f>
        <v>Постоянная часть ПС, СКУД ЗПС 35 кВ</v>
      </c>
    </row>
    <row r="6" spans="1:4" ht="15.75" customHeight="1" x14ac:dyDescent="0.25">
      <c r="A6" s="60" t="s">
        <v>6</v>
      </c>
      <c r="B6" s="60"/>
      <c r="C6" s="60"/>
      <c r="D6" s="60"/>
    </row>
    <row r="7" spans="1:4" ht="15.75" customHeight="1" x14ac:dyDescent="0.25">
      <c r="A7" s="60"/>
      <c r="B7" s="60"/>
      <c r="C7" s="60"/>
      <c r="D7" s="60"/>
    </row>
    <row r="8" spans="1:4" x14ac:dyDescent="0.25">
      <c r="A8" s="116" t="s">
        <v>290</v>
      </c>
      <c r="B8" s="116" t="s">
        <v>291</v>
      </c>
      <c r="C8" s="116" t="s">
        <v>292</v>
      </c>
      <c r="D8" s="116" t="s">
        <v>293</v>
      </c>
    </row>
    <row r="9" spans="1:4" x14ac:dyDescent="0.25">
      <c r="A9" s="116"/>
      <c r="B9" s="116"/>
      <c r="C9" s="116"/>
      <c r="D9" s="116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105" t="s">
        <v>294</v>
      </c>
      <c r="B11" s="105" t="s">
        <v>295</v>
      </c>
      <c r="C11" s="103" t="s">
        <v>296</v>
      </c>
      <c r="D11" s="104">
        <f>'Прил.4 РМ'!C41/1000</f>
        <v>221.35791999999998</v>
      </c>
    </row>
    <row r="13" spans="1:4" x14ac:dyDescent="0.25">
      <c r="A13" s="6" t="s">
        <v>297</v>
      </c>
      <c r="B13" s="1"/>
      <c r="C13" s="1"/>
      <c r="D13" s="10"/>
    </row>
    <row r="14" spans="1:4" x14ac:dyDescent="0.25">
      <c r="A14" s="61" t="s">
        <v>33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34</v>
      </c>
      <c r="B16" s="1"/>
      <c r="C16" s="1"/>
      <c r="D16" s="10"/>
    </row>
    <row r="17" spans="1:4" x14ac:dyDescent="0.25">
      <c r="A17" s="61" t="s">
        <v>35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zoomScale="60" zoomScaleNormal="100" workbookViewId="0">
      <selection activeCell="C24" sqref="C2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10" t="s">
        <v>298</v>
      </c>
      <c r="C4" s="110"/>
      <c r="D4" s="110"/>
    </row>
    <row r="5" spans="2:5" ht="18.75" customHeight="1" x14ac:dyDescent="0.25">
      <c r="B5" s="35"/>
    </row>
    <row r="6" spans="2:5" ht="15.75" customHeight="1" x14ac:dyDescent="0.25">
      <c r="B6" s="111" t="s">
        <v>299</v>
      </c>
      <c r="C6" s="111"/>
      <c r="D6" s="111"/>
    </row>
    <row r="7" spans="2:5" x14ac:dyDescent="0.25">
      <c r="B7" s="151"/>
      <c r="C7" s="151"/>
      <c r="D7" s="151"/>
      <c r="E7" s="151"/>
    </row>
    <row r="8" spans="2:5" ht="47.25" customHeight="1" x14ac:dyDescent="0.25">
      <c r="B8" s="37" t="s">
        <v>300</v>
      </c>
      <c r="C8" s="37" t="s">
        <v>301</v>
      </c>
      <c r="D8" s="37" t="s">
        <v>302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303</v>
      </c>
      <c r="C10" s="37" t="s">
        <v>304</v>
      </c>
      <c r="D10" s="37">
        <v>44.29</v>
      </c>
    </row>
    <row r="11" spans="2:5" ht="31.5" customHeight="1" x14ac:dyDescent="0.25">
      <c r="B11" s="37" t="s">
        <v>305</v>
      </c>
      <c r="C11" s="37" t="s">
        <v>304</v>
      </c>
      <c r="D11" s="37">
        <v>13.47</v>
      </c>
    </row>
    <row r="12" spans="2:5" ht="31.5" customHeight="1" x14ac:dyDescent="0.25">
      <c r="B12" s="37" t="s">
        <v>306</v>
      </c>
      <c r="C12" s="37" t="s">
        <v>304</v>
      </c>
      <c r="D12" s="37">
        <v>8.0399999999999991</v>
      </c>
    </row>
    <row r="13" spans="2:5" ht="31.5" customHeight="1" x14ac:dyDescent="0.25">
      <c r="B13" s="37" t="s">
        <v>307</v>
      </c>
      <c r="C13" s="38" t="s">
        <v>308</v>
      </c>
      <c r="D13" s="37">
        <v>6.26</v>
      </c>
    </row>
    <row r="14" spans="2:5" ht="78.75" customHeight="1" x14ac:dyDescent="0.25">
      <c r="B14" s="37" t="s">
        <v>309</v>
      </c>
      <c r="C14" s="37" t="s">
        <v>310</v>
      </c>
      <c r="D14" s="39">
        <v>3.9E-2</v>
      </c>
    </row>
    <row r="15" spans="2:5" ht="78.75" customHeight="1" x14ac:dyDescent="0.25">
      <c r="B15" s="37" t="s">
        <v>311</v>
      </c>
      <c r="C15" s="37" t="s">
        <v>312</v>
      </c>
      <c r="D15" s="39">
        <v>2.1000000000000001E-2</v>
      </c>
    </row>
    <row r="16" spans="2:5" ht="15.75" customHeight="1" x14ac:dyDescent="0.25">
      <c r="B16" s="37" t="s">
        <v>222</v>
      </c>
      <c r="C16" s="37"/>
      <c r="D16" s="37"/>
    </row>
    <row r="17" spans="2:4" ht="31.5" customHeight="1" x14ac:dyDescent="0.25">
      <c r="B17" s="37" t="s">
        <v>313</v>
      </c>
      <c r="C17" s="37" t="s">
        <v>314</v>
      </c>
      <c r="D17" s="39">
        <v>2.1399999999999999E-2</v>
      </c>
    </row>
    <row r="18" spans="2:4" ht="31.5" customHeight="1" x14ac:dyDescent="0.25">
      <c r="B18" s="37" t="s">
        <v>228</v>
      </c>
      <c r="C18" s="37" t="s">
        <v>315</v>
      </c>
      <c r="D18" s="39">
        <v>2E-3</v>
      </c>
    </row>
    <row r="19" spans="2:4" ht="24" customHeight="1" x14ac:dyDescent="0.25">
      <c r="B19" s="37" t="s">
        <v>230</v>
      </c>
      <c r="C19" s="37" t="s">
        <v>316</v>
      </c>
      <c r="D19" s="39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32</v>
      </c>
      <c r="C26" s="1"/>
    </row>
    <row r="27" spans="2:4" x14ac:dyDescent="0.25">
      <c r="B27" s="61" t="s">
        <v>33</v>
      </c>
      <c r="C27" s="1"/>
    </row>
    <row r="28" spans="2:4" x14ac:dyDescent="0.25">
      <c r="B28" s="6"/>
      <c r="C28" s="1"/>
    </row>
    <row r="29" spans="2:4" x14ac:dyDescent="0.25">
      <c r="B29" s="6" t="s">
        <v>34</v>
      </c>
      <c r="C29" s="1"/>
    </row>
    <row r="30" spans="2:4" x14ac:dyDescent="0.25">
      <c r="B30" s="61" t="s">
        <v>35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I16" sqref="I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52" t="s">
        <v>317</v>
      </c>
      <c r="B2" s="152"/>
      <c r="C2" s="152"/>
      <c r="D2" s="152"/>
      <c r="E2" s="152"/>
      <c r="F2" s="152"/>
    </row>
    <row r="4" spans="1:7" ht="18" customHeight="1" x14ac:dyDescent="0.25">
      <c r="A4" s="20" t="s">
        <v>318</v>
      </c>
    </row>
    <row r="5" spans="1:7" x14ac:dyDescent="0.25">
      <c r="A5" s="21" t="s">
        <v>237</v>
      </c>
      <c r="B5" s="21" t="s">
        <v>319</v>
      </c>
      <c r="C5" s="21" t="s">
        <v>320</v>
      </c>
      <c r="D5" s="21" t="s">
        <v>321</v>
      </c>
      <c r="E5" s="21" t="s">
        <v>322</v>
      </c>
      <c r="F5" s="21" t="s">
        <v>323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324</v>
      </c>
      <c r="B7" s="24" t="s">
        <v>325</v>
      </c>
      <c r="C7" s="23" t="s">
        <v>326</v>
      </c>
      <c r="D7" s="23" t="s">
        <v>327</v>
      </c>
      <c r="E7" s="25">
        <v>47872.94</v>
      </c>
      <c r="F7" s="24" t="s">
        <v>328</v>
      </c>
    </row>
    <row r="8" spans="1:7" ht="30" customHeight="1" x14ac:dyDescent="0.25">
      <c r="A8" s="22" t="s">
        <v>329</v>
      </c>
      <c r="B8" s="24" t="s">
        <v>330</v>
      </c>
      <c r="C8" s="23" t="s">
        <v>331</v>
      </c>
      <c r="D8" s="23" t="s">
        <v>332</v>
      </c>
      <c r="E8" s="25">
        <f>1973/12</f>
        <v>164.41666666667001</v>
      </c>
      <c r="F8" s="24" t="s">
        <v>333</v>
      </c>
      <c r="G8" s="26"/>
    </row>
    <row r="9" spans="1:7" x14ac:dyDescent="0.25">
      <c r="A9" s="22" t="s">
        <v>334</v>
      </c>
      <c r="B9" s="24" t="s">
        <v>335</v>
      </c>
      <c r="C9" s="23" t="s">
        <v>336</v>
      </c>
      <c r="D9" s="23" t="s">
        <v>327</v>
      </c>
      <c r="E9" s="25">
        <v>1</v>
      </c>
      <c r="F9" s="24"/>
      <c r="G9" s="27"/>
    </row>
    <row r="10" spans="1:7" x14ac:dyDescent="0.25">
      <c r="A10" s="22" t="s">
        <v>337</v>
      </c>
      <c r="B10" s="24" t="s">
        <v>338</v>
      </c>
      <c r="C10" s="23"/>
      <c r="D10" s="23"/>
      <c r="E10" s="28">
        <v>4.0999999999999996</v>
      </c>
      <c r="F10" s="24" t="s">
        <v>339</v>
      </c>
      <c r="G10" s="27"/>
    </row>
    <row r="11" spans="1:7" ht="75" customHeight="1" x14ac:dyDescent="0.25">
      <c r="A11" s="22" t="s">
        <v>340</v>
      </c>
      <c r="B11" s="24" t="s">
        <v>341</v>
      </c>
      <c r="C11" s="23" t="s">
        <v>342</v>
      </c>
      <c r="D11" s="23" t="s">
        <v>327</v>
      </c>
      <c r="E11" s="29">
        <v>1.359</v>
      </c>
      <c r="F11" s="24" t="s">
        <v>343</v>
      </c>
    </row>
    <row r="12" spans="1:7" ht="75" customHeight="1" x14ac:dyDescent="0.25">
      <c r="A12" s="22" t="s">
        <v>344</v>
      </c>
      <c r="B12" s="30" t="s">
        <v>345</v>
      </c>
      <c r="C12" s="23" t="s">
        <v>346</v>
      </c>
      <c r="D12" s="23" t="s">
        <v>327</v>
      </c>
      <c r="E12" s="31">
        <v>1.139</v>
      </c>
      <c r="F12" s="32" t="s">
        <v>347</v>
      </c>
      <c r="G12" s="27"/>
    </row>
    <row r="13" spans="1:7" ht="60" customHeight="1" x14ac:dyDescent="0.25">
      <c r="A13" s="22" t="s">
        <v>348</v>
      </c>
      <c r="B13" s="33" t="s">
        <v>349</v>
      </c>
      <c r="C13" s="23" t="s">
        <v>350</v>
      </c>
      <c r="D13" s="23" t="s">
        <v>351</v>
      </c>
      <c r="E13" s="34">
        <f>((E7*E9/E8)*E11)*E12</f>
        <v>450.69987855412</v>
      </c>
      <c r="F13" s="24" t="s">
        <v>352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2023-11-27T06:04:52Z</cp:lastPrinted>
  <dcterms:created xsi:type="dcterms:W3CDTF">2020-09-30T08:50:27Z</dcterms:created>
  <dcterms:modified xsi:type="dcterms:W3CDTF">2023-11-27T06:05:05Z</dcterms:modified>
  <cp:category/>
</cp:coreProperties>
</file>