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148D3FD1-530F-4A50-BEB4-8E92401D654C}" xr6:coauthVersionLast="47" xr6:coauthVersionMax="47" xr10:uidLastSave="{00000000-0000-0000-0000-000000000000}"/>
  <bookViews>
    <workbookView xWindow="2250" yWindow="-120" windowWidth="26670" windowHeight="16440" tabRatio="891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Прил.3!$A$1:$H$82</definedName>
    <definedName name="_xlnm.Print_Area" localSheetId="3">'Прил.4 РМ'!$A$1:$E$48</definedName>
    <definedName name="_xlnm.Print_Area" localSheetId="4">'Прил.5 Расчет СМР и ОБ'!$A$1:$J$97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B7" i="1" l="1"/>
  <c r="E13" i="9" l="1"/>
  <c r="E8" i="9"/>
  <c r="D5" i="7"/>
  <c r="C11" i="7" s="1"/>
  <c r="G25" i="6"/>
  <c r="G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G90" i="5"/>
  <c r="G89" i="5"/>
  <c r="G88" i="5"/>
  <c r="E87" i="5"/>
  <c r="E86" i="5"/>
  <c r="G85" i="5"/>
  <c r="J84" i="5"/>
  <c r="G84" i="5"/>
  <c r="J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1" i="5"/>
  <c r="H41" i="5"/>
  <c r="G41" i="5"/>
  <c r="J40" i="5"/>
  <c r="H40" i="5"/>
  <c r="G40" i="5"/>
  <c r="J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F16" i="5"/>
  <c r="E16" i="5"/>
  <c r="G14" i="5"/>
  <c r="E14" i="5"/>
  <c r="I13" i="5"/>
  <c r="J13" i="5" s="1"/>
  <c r="J14" i="5" s="1"/>
  <c r="H13" i="5"/>
  <c r="G13" i="5"/>
  <c r="E13" i="5"/>
  <c r="A7" i="5"/>
  <c r="C26" i="4"/>
  <c r="C25" i="4"/>
  <c r="C23" i="4"/>
  <c r="C21" i="4"/>
  <c r="C18" i="4"/>
  <c r="C17" i="4"/>
  <c r="C16" i="4"/>
  <c r="C15" i="4"/>
  <c r="C14" i="4"/>
  <c r="C13" i="4"/>
  <c r="C12" i="4"/>
  <c r="B8" i="4"/>
  <c r="B7" i="4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4" i="3" s="1"/>
  <c r="H28" i="3"/>
  <c r="H27" i="3"/>
  <c r="H26" i="3"/>
  <c r="H25" i="3"/>
  <c r="H23" i="3"/>
  <c r="H22" i="3"/>
  <c r="H21" i="3"/>
  <c r="H20" i="3"/>
  <c r="H19" i="3"/>
  <c r="H17" i="3"/>
  <c r="F17" i="3"/>
  <c r="H16" i="3"/>
  <c r="H15" i="3"/>
  <c r="H14" i="3"/>
  <c r="H13" i="3"/>
  <c r="H12" i="3"/>
  <c r="H11" i="3"/>
  <c r="H10" i="3"/>
  <c r="F10" i="3"/>
  <c r="A5" i="3"/>
  <c r="B7" i="2"/>
  <c r="B6" i="2"/>
  <c r="J87" i="5" l="1"/>
  <c r="J88" i="5" s="1"/>
  <c r="J89" i="5" s="1"/>
  <c r="J90" i="5" s="1"/>
  <c r="C11" i="4"/>
  <c r="J86" i="5"/>
  <c r="J85" i="5"/>
  <c r="C22" i="4" l="1"/>
  <c r="C19" i="4"/>
  <c r="C20" i="4"/>
  <c r="C24" i="4" l="1"/>
  <c r="D22" i="4"/>
  <c r="C27" i="4" l="1"/>
  <c r="D24" i="4"/>
  <c r="D18" i="4"/>
  <c r="D16" i="4"/>
  <c r="D14" i="4"/>
  <c r="D12" i="4"/>
  <c r="C29" i="4"/>
  <c r="D17" i="4"/>
  <c r="D15" i="4"/>
  <c r="D13" i="4"/>
  <c r="D11" i="4"/>
  <c r="D20" i="4"/>
  <c r="C30" i="4" l="1"/>
  <c r="C37" i="4" s="1"/>
  <c r="C36" i="4"/>
  <c r="C38" i="4" l="1"/>
  <c r="C39" i="4" l="1"/>
  <c r="C40" i="4" l="1"/>
  <c r="E39" i="4"/>
  <c r="E32" i="4" l="1"/>
  <c r="E18" i="4"/>
  <c r="E16" i="4"/>
  <c r="E14" i="4"/>
  <c r="E12" i="4"/>
  <c r="E31" i="4"/>
  <c r="E13" i="4"/>
  <c r="E40" i="4"/>
  <c r="E17" i="4"/>
  <c r="E33" i="4"/>
  <c r="E26" i="4"/>
  <c r="E35" i="4"/>
  <c r="E15" i="4"/>
  <c r="C41" i="4"/>
  <c r="D11" i="7" s="1"/>
  <c r="E34" i="4"/>
  <c r="E25" i="4"/>
  <c r="E11" i="4"/>
  <c r="E20" i="4"/>
  <c r="E22" i="4"/>
  <c r="E24" i="4"/>
  <c r="E29" i="4"/>
  <c r="E27" i="4"/>
  <c r="E30" i="4"/>
  <c r="E37" i="4"/>
  <c r="E36" i="4"/>
  <c r="E38" i="4"/>
</calcChain>
</file>

<file path=xl/sharedStrings.xml><?xml version="1.0" encoding="utf-8"?>
<sst xmlns="http://schemas.openxmlformats.org/spreadsheetml/2006/main" count="605" uniqueCount="353">
  <si>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</si>
  <si>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</si>
  <si>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</si>
  <si>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</si>
  <si>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</si>
  <si>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</si>
  <si>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</si>
  <si>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</si>
  <si>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</si>
  <si>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</si>
  <si>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</si>
  <si>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</si>
  <si>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</si>
  <si>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</si>
  <si>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</si>
  <si>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</si>
  <si>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</si>
  <si>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</si>
  <si>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</si>
  <si>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</si>
  <si>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</si>
  <si>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</si>
  <si>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</si>
  <si>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</si>
  <si>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</si>
  <si>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</si>
  <si>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</si>
  <si>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</si>
  <si>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</si>
  <si>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</si>
  <si>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</si>
  <si>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</si>
  <si>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</si>
  <si>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</si>
  <si>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</si>
  <si>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</si>
  <si>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</si>
  <si>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</si>
  <si>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</si>
  <si>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</si>
  <si>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</si>
  <si>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</si>
  <si>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</si>
  <si>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</si>
  <si>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</si>
  <si>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</si>
  <si>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</si>
  <si>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</si>
  <si>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</si>
  <si>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</si>
  <si>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</si>
  <si>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</si>
  <si>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</si>
  <si>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</si>
  <si>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</si>
  <si>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</si>
  <si>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</si>
  <si>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</si>
  <si>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</si>
  <si>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</si>
  <si>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</si>
  <si>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</si>
  <si>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</si>
  <si>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</si>
  <si>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</si>
  <si>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</si>
  <si>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</si>
  <si>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</si>
  <si>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</si>
  <si>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</si>
  <si>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</si>
  <si>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</si>
  <si>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</si>
  <si>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</si>
  <si>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</si>
  <si>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</si>
  <si>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</si>
  <si>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</si>
  <si>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</si>
  <si>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</si>
  <si>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</si>
  <si>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</si>
  <si>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</si>
  <si>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</si>
  <si>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</si>
  <si>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</si>
  <si>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</si>
  <si>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</si>
  <si>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</si>
  <si>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</si>
  <si>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</si>
  <si>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</si>
  <si>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</si>
  <si>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</si>
  <si>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</si>
  <si>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</si>
  <si>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</si>
  <si>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</si>
  <si>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</si>
  <si>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</si>
  <si>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</si>
  <si>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</si>
  <si>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</si>
  <si>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</si>
  <si>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</si>
  <si>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</si>
  <si>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</si>
  <si>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</si>
  <si>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</si>
  <si>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</si>
  <si>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</si>
  <si>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</si>
  <si>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</si>
  <si>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</si>
  <si>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</si>
  <si>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</si>
  <si>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</si>
  <si>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</si>
  <si>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</si>
  <si>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</si>
  <si>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</si>
  <si>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</si>
  <si>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</si>
  <si>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</si>
  <si>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</si>
  <si>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</si>
  <si>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</si>
  <si>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</si>
  <si>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</si>
  <si>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</si>
  <si>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</si>
  <si>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</si>
  <si>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</si>
  <si>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</si>
  <si>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</si>
  <si>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</si>
  <si>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</si>
  <si>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</si>
  <si>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</si>
  <si>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</si>
  <si>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</si>
  <si>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</si>
  <si>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</si>
  <si>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</si>
  <si>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</si>
  <si>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</si>
  <si>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</si>
  <si>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</si>
  <si>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</si>
  <si>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</si>
  <si>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</si>
  <si>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</si>
  <si>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</si>
  <si>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</si>
  <si>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</si>
  <si>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</si>
  <si>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</si>
  <si>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</si>
  <si>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</si>
  <si>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</si>
  <si>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</si>
  <si>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</si>
  <si>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</si>
  <si>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</si>
  <si>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</si>
  <si>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</si>
  <si>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</si>
  <si>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</si>
  <si>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</si>
  <si>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</si>
  <si>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</si>
  <si>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</si>
  <si>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</si>
  <si>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</si>
  <si>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</si>
  <si>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</si>
  <si>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</si>
  <si>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</si>
  <si>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</si>
  <si>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</si>
  <si>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</si>
  <si>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</si>
  <si>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</si>
  <si>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</si>
  <si>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</si>
  <si>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</si>
  <si>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</si>
  <si>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</si>
  <si>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</si>
  <si>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</si>
  <si>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</si>
  <si>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</si>
  <si>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</si>
  <si>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</si>
  <si>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</si>
  <si>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</si>
  <si>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</si>
  <si>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</si>
  <si>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</si>
  <si>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</si>
  <si>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</si>
  <si>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</si>
  <si>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</si>
  <si>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</si>
  <si>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</si>
  <si>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</si>
  <si>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</si>
  <si>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</si>
  <si>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</si>
  <si>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</si>
  <si>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</si>
  <si>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</si>
  <si>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</si>
  <si>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</si>
  <si>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</si>
  <si>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</si>
  <si>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</si>
  <si>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</si>
  <si>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</si>
  <si>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</si>
  <si>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</si>
  <si>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</si>
  <si>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</si>
  <si>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</si>
  <si>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</si>
  <si>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</si>
  <si>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</si>
  <si>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</si>
  <si>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</si>
  <si>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</si>
  <si>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</si>
  <si>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</si>
  <si>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</si>
  <si>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</si>
  <si>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</si>
  <si>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</si>
  <si>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</si>
  <si>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</si>
  <si>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</si>
  <si>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</si>
  <si>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</si>
  <si>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</si>
  <si>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</si>
  <si>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</si>
  <si>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</si>
  <si>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</si>
  <si>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</si>
  <si>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</si>
  <si>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</si>
  <si>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</si>
  <si>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</si>
  <si>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</si>
  <si>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</si>
  <si>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</si>
  <si>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</si>
  <si>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</si>
  <si>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</si>
  <si>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</si>
  <si>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</si>
  <si>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</si>
  <si>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</si>
  <si>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</si>
  <si>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</si>
  <si>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</si>
  <si>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</si>
  <si>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</si>
  <si>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</si>
  <si>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</si>
  <si>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</si>
  <si>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</si>
  <si>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</si>
  <si>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</si>
  <si>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</si>
  <si>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</si>
  <si>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</si>
  <si>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</si>
  <si>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</si>
  <si>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</si>
  <si>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</si>
  <si>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</si>
  <si>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</si>
  <si>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</si>
  <si>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</si>
  <si>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</si>
  <si>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</si>
  <si>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</si>
  <si>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</si>
  <si>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</si>
  <si>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</si>
  <si>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</si>
  <si>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</si>
  <si>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</si>
  <si>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</si>
  <si>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</si>
  <si>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</si>
  <si>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</si>
  <si>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</si>
  <si>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</si>
  <si>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</si>
  <si>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</si>
  <si>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</si>
  <si>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</si>
  <si>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</si>
  <si>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</si>
  <si>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</si>
  <si>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</si>
  <si>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</si>
  <si>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</si>
  <si>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</si>
  <si>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</si>
  <si>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</si>
  <si>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</si>
  <si>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</si>
  <si>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</si>
  <si>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</si>
  <si>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</si>
  <si>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</si>
  <si>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</si>
  <si>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</si>
  <si>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</si>
  <si>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</si>
  <si>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</si>
  <si>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</si>
  <si>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</si>
  <si>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</si>
  <si>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</si>
  <si>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</si>
  <si>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</si>
  <si>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</si>
  <si>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</si>
  <si>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</si>
  <si>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</si>
  <si>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</si>
  <si>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</si>
  <si>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</si>
  <si>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</si>
  <si>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</si>
  <si>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</si>
  <si>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</si>
  <si>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 ПС</t>
  </si>
  <si>
    <t>Единица измерения  — 1 ПС</t>
  </si>
  <si>
    <t>ПС 500 кВ Очаково</t>
  </si>
  <si>
    <t>Москва</t>
  </si>
  <si>
    <t>IIВ</t>
  </si>
  <si>
    <t>Постоянная часть ПС, СКУД ЗПС 500 кВ</t>
  </si>
  <si>
    <t>З2-05</t>
  </si>
  <si>
    <t>УНЦ постоянной части ЗПС 500 кВ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</si>
  <si>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</si>
  <si>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</si>
  <si>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</si>
  <si>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СКУД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</si>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</sst>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2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u/>
      <sz val="12"/>
      <color rgb="FF000000"/>
      <name val="Times New Roman"/>
    </font>
    <font>
      <sz val="12"/>
      <color rgb="FFFF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0" borderId="0"/>
  </cellStyleXfs>
  <cellXfs count="16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3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/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6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6" fontId="14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5" fillId="0" borderId="0" xfId="0" applyFont="1"/>
    <xf numFmtId="169" fontId="12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6" fillId="0" borderId="0" xfId="0" applyFont="1"/>
    <xf numFmtId="0" fontId="9" fillId="0" borderId="1" xfId="0" applyFont="1" applyBorder="1" applyAlignment="1">
      <alignment vertical="center" wrapText="1"/>
    </xf>
    <xf numFmtId="0" fontId="16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9" fillId="0" borderId="0" xfId="0" applyFont="1"/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4" fontId="19" fillId="0" borderId="5" xfId="0" applyNumberFormat="1" applyFont="1" applyBorder="1" applyAlignment="1">
      <alignment horizontal="center" vertical="center"/>
    </xf>
    <xf numFmtId="4" fontId="19" fillId="0" borderId="8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right" vertical="center"/>
    </xf>
    <xf numFmtId="4" fontId="19" fillId="0" borderId="1" xfId="0" applyNumberFormat="1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4" fontId="20" fillId="0" borderId="5" xfId="0" applyNumberFormat="1" applyFont="1" applyBorder="1" applyAlignment="1">
      <alignment horizontal="center" vertical="center" wrapText="1"/>
    </xf>
    <xf numFmtId="4" fontId="20" fillId="0" borderId="8" xfId="0" applyNumberFormat="1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center" wrapText="1"/>
    </xf>
    <xf numFmtId="0" fontId="19" fillId="0" borderId="0" xfId="1" applyFont="1" applyAlignment="1">
      <alignment horizontal="justify" vertical="center"/>
    </xf>
    <xf numFmtId="4" fontId="19" fillId="0" borderId="1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 5 3" xfId="1" xr:uid="{3B112893-FE46-4F7A-B82B-4FC34B0811A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7" zoomScale="70" zoomScaleNormal="70" workbookViewId="0">
      <selection activeCell="C22" sqref="C22"/>
    </sheetView>
  </sheetViews>
  <sheetFormatPr defaultRowHeight="15.75" x14ac:dyDescent="0.25"/>
  <cols>
    <col min="1" max="2" width="9.140625" style="63" customWidth="1"/>
    <col min="3" max="3" width="41.7109375" style="63" customWidth="1"/>
    <col min="4" max="4" width="36.5703125" style="63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63"/>
      <c r="F1" s="63"/>
      <c r="G1" s="63"/>
      <c r="H1" s="63"/>
      <c r="I1" s="63"/>
    </row>
    <row r="2" spans="2:9" x14ac:dyDescent="0.25">
      <c r="E2" s="63"/>
      <c r="F2" s="63"/>
      <c r="G2" s="63"/>
      <c r="H2" s="63"/>
      <c r="I2" s="63"/>
    </row>
    <row r="3" spans="2:9" x14ac:dyDescent="0.25">
      <c r="B3" s="112" t="s">
        <v>0</v>
      </c>
      <c r="C3" s="112"/>
      <c r="D3" s="112"/>
      <c r="E3" s="63"/>
      <c r="F3" s="63"/>
      <c r="G3" s="63"/>
      <c r="H3" s="63"/>
      <c r="I3" s="63"/>
    </row>
    <row r="4" spans="2:9" x14ac:dyDescent="0.25">
      <c r="B4" s="113" t="s">
        <v>1</v>
      </c>
      <c r="C4" s="113"/>
      <c r="D4" s="113"/>
      <c r="E4" s="63"/>
      <c r="F4" s="63"/>
      <c r="G4" s="63"/>
      <c r="H4" s="63"/>
      <c r="I4" s="63"/>
    </row>
    <row r="5" spans="2:9" ht="66" customHeight="1" x14ac:dyDescent="0.25">
      <c r="B5" s="114" t="s">
        <v>2</v>
      </c>
      <c r="C5" s="114"/>
      <c r="D5" s="114"/>
      <c r="E5" s="63"/>
      <c r="F5" s="63"/>
      <c r="G5" s="63"/>
      <c r="H5" s="63"/>
      <c r="I5" s="63"/>
    </row>
    <row r="6" spans="2:9" x14ac:dyDescent="0.25">
      <c r="B6" s="73"/>
      <c r="C6" s="73"/>
      <c r="D6" s="73"/>
      <c r="E6" s="63"/>
      <c r="F6" s="63"/>
      <c r="G6" s="63"/>
      <c r="H6" s="63"/>
      <c r="I6" s="63"/>
    </row>
    <row r="7" spans="2:9" ht="57" customHeight="1" x14ac:dyDescent="0.25">
      <c r="B7" s="111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ЗПС 500 кВ</v>
      </c>
      <c r="C7" s="111"/>
      <c r="D7" s="111"/>
      <c r="E7" s="97"/>
      <c r="F7" s="63"/>
      <c r="G7" s="63"/>
      <c r="H7" s="63"/>
      <c r="I7" s="63"/>
    </row>
    <row r="8" spans="2:9" ht="15.75" customHeight="1" x14ac:dyDescent="0.25">
      <c r="B8" s="162" t="s">
        <v>351</v>
      </c>
      <c r="C8" s="162"/>
      <c r="D8" s="162"/>
      <c r="E8" s="63"/>
      <c r="F8" s="63"/>
      <c r="G8" s="63"/>
      <c r="H8" s="63"/>
      <c r="I8" s="63"/>
    </row>
    <row r="9" spans="2:9" ht="15.75" customHeight="1" x14ac:dyDescent="0.25">
      <c r="B9" s="111" t="s">
        <v>340</v>
      </c>
      <c r="C9" s="111"/>
      <c r="D9" s="111"/>
      <c r="E9" s="97"/>
      <c r="F9" s="63"/>
      <c r="G9" s="63"/>
      <c r="H9" s="63"/>
      <c r="I9" s="63"/>
    </row>
    <row r="10" spans="2:9" x14ac:dyDescent="0.25">
      <c r="B10" s="71"/>
      <c r="E10" s="63"/>
      <c r="F10" s="63"/>
      <c r="G10" s="63"/>
      <c r="H10" s="63"/>
      <c r="I10" s="63"/>
    </row>
    <row r="11" spans="2:9" x14ac:dyDescent="0.25">
      <c r="B11" s="37" t="s">
        <v>3</v>
      </c>
      <c r="C11" s="37" t="s">
        <v>4</v>
      </c>
      <c r="D11" s="37" t="s">
        <v>5</v>
      </c>
      <c r="E11" s="97"/>
      <c r="F11" s="63"/>
      <c r="G11" s="63"/>
      <c r="H11" s="63"/>
      <c r="I11" s="63"/>
    </row>
    <row r="12" spans="2:9" ht="31.5" customHeight="1" x14ac:dyDescent="0.25">
      <c r="B12" s="37">
        <v>1</v>
      </c>
      <c r="C12" s="98" t="s">
        <v>6</v>
      </c>
      <c r="D12" s="37" t="s">
        <v>341</v>
      </c>
      <c r="E12" s="63"/>
      <c r="F12" s="63"/>
      <c r="G12" s="63"/>
      <c r="H12" s="63"/>
      <c r="I12" s="63"/>
    </row>
    <row r="13" spans="2:9" ht="31.5" customHeight="1" x14ac:dyDescent="0.25">
      <c r="B13" s="37">
        <v>2</v>
      </c>
      <c r="C13" s="98" t="s">
        <v>7</v>
      </c>
      <c r="D13" s="37" t="s">
        <v>342</v>
      </c>
      <c r="E13" s="63"/>
      <c r="F13" s="63"/>
      <c r="G13" s="63"/>
      <c r="H13" s="63"/>
      <c r="I13" s="63"/>
    </row>
    <row r="14" spans="2:9" x14ac:dyDescent="0.25">
      <c r="B14" s="37">
        <v>3</v>
      </c>
      <c r="C14" s="98" t="s">
        <v>8</v>
      </c>
      <c r="D14" s="37" t="s">
        <v>343</v>
      </c>
      <c r="E14" s="63"/>
      <c r="F14" s="63"/>
      <c r="G14" s="63"/>
      <c r="H14" s="63"/>
      <c r="I14" s="63"/>
    </row>
    <row r="15" spans="2:9" x14ac:dyDescent="0.25">
      <c r="B15" s="37">
        <v>4</v>
      </c>
      <c r="C15" s="98" t="s">
        <v>9</v>
      </c>
      <c r="D15" s="37">
        <v>1</v>
      </c>
      <c r="E15" s="63"/>
      <c r="F15" s="63"/>
      <c r="G15" s="63"/>
      <c r="H15" s="63"/>
      <c r="I15" s="63"/>
    </row>
    <row r="16" spans="2:9" ht="100.5" customHeight="1" x14ac:dyDescent="0.25">
      <c r="B16" s="37">
        <v>5</v>
      </c>
      <c r="C16" s="38" t="s">
        <v>10</v>
      </c>
      <c r="D16" s="37" t="s">
        <v>11</v>
      </c>
      <c r="E16" s="63"/>
      <c r="F16" s="63"/>
      <c r="G16" s="63"/>
      <c r="H16" s="63"/>
      <c r="I16" s="63"/>
    </row>
    <row r="17" spans="2:9" ht="82.5" customHeight="1" x14ac:dyDescent="0.25">
      <c r="B17" s="37">
        <v>6</v>
      </c>
      <c r="C17" s="38" t="s">
        <v>12</v>
      </c>
      <c r="D17" s="163">
        <v>232.0444761</v>
      </c>
      <c r="E17" s="99"/>
      <c r="F17" s="63"/>
      <c r="G17" s="63"/>
      <c r="H17" s="63"/>
      <c r="I17" s="63"/>
    </row>
    <row r="18" spans="2:9" x14ac:dyDescent="0.25">
      <c r="B18" s="100" t="s">
        <v>13</v>
      </c>
      <c r="C18" s="98" t="s">
        <v>14</v>
      </c>
      <c r="D18" s="163">
        <v>33.550744899999998</v>
      </c>
      <c r="E18" s="63"/>
      <c r="F18" s="63"/>
      <c r="G18" s="63"/>
      <c r="H18" s="63"/>
      <c r="I18" s="63"/>
    </row>
    <row r="19" spans="2:9" x14ac:dyDescent="0.25">
      <c r="B19" s="100" t="s">
        <v>15</v>
      </c>
      <c r="C19" s="98" t="s">
        <v>16</v>
      </c>
      <c r="D19" s="163">
        <v>198.49373120000001</v>
      </c>
      <c r="E19" s="63"/>
      <c r="F19" s="63"/>
      <c r="G19" s="63"/>
      <c r="H19" s="63"/>
      <c r="I19" s="63"/>
    </row>
    <row r="20" spans="2:9" x14ac:dyDescent="0.25">
      <c r="B20" s="100" t="s">
        <v>17</v>
      </c>
      <c r="C20" s="98" t="s">
        <v>18</v>
      </c>
      <c r="D20" s="163"/>
      <c r="E20" s="63"/>
      <c r="F20" s="63"/>
      <c r="G20" s="63"/>
      <c r="H20" s="63"/>
      <c r="I20" s="63"/>
    </row>
    <row r="21" spans="2:9" ht="31.5" customHeight="1" x14ac:dyDescent="0.25">
      <c r="B21" s="100" t="s">
        <v>19</v>
      </c>
      <c r="C21" s="101" t="s">
        <v>20</v>
      </c>
      <c r="D21" s="163"/>
      <c r="E21" s="63"/>
      <c r="F21" s="63"/>
      <c r="G21" s="63"/>
      <c r="H21" s="63"/>
      <c r="I21" s="63"/>
    </row>
    <row r="22" spans="2:9" x14ac:dyDescent="0.25">
      <c r="B22" s="37">
        <v>7</v>
      </c>
      <c r="C22" s="101" t="s">
        <v>21</v>
      </c>
      <c r="D22" s="110" t="s">
        <v>352</v>
      </c>
      <c r="E22" s="99"/>
      <c r="F22" s="63"/>
      <c r="G22" s="63"/>
      <c r="H22" s="63"/>
      <c r="I22" s="63"/>
    </row>
    <row r="23" spans="2:9" ht="119.25" customHeight="1" x14ac:dyDescent="0.25">
      <c r="B23" s="37">
        <v>8</v>
      </c>
      <c r="C23" s="102" t="s">
        <v>22</v>
      </c>
      <c r="D23" s="163">
        <v>232.0444761</v>
      </c>
      <c r="E23" s="63"/>
      <c r="F23" s="63"/>
      <c r="G23" s="63"/>
      <c r="H23" s="63"/>
      <c r="I23" s="63"/>
    </row>
    <row r="24" spans="2:9" ht="47.25" customHeight="1" x14ac:dyDescent="0.25">
      <c r="B24" s="37">
        <v>9</v>
      </c>
      <c r="C24" s="38" t="s">
        <v>23</v>
      </c>
      <c r="D24" s="163">
        <v>232.0444761</v>
      </c>
      <c r="E24" s="99"/>
      <c r="F24" s="63"/>
      <c r="G24" s="63"/>
      <c r="H24" s="63"/>
      <c r="I24" s="63"/>
    </row>
    <row r="25" spans="2:9" ht="48" customHeight="1" x14ac:dyDescent="0.25">
      <c r="B25" s="37">
        <v>10</v>
      </c>
      <c r="C25" s="98" t="s">
        <v>24</v>
      </c>
      <c r="D25" s="98"/>
      <c r="E25" s="63"/>
      <c r="F25" s="63"/>
      <c r="G25" s="63"/>
      <c r="H25" s="63"/>
      <c r="I25" s="63"/>
    </row>
    <row r="26" spans="2:9" x14ac:dyDescent="0.25">
      <c r="B26" s="96"/>
      <c r="C26" s="103"/>
      <c r="D26" s="103"/>
      <c r="E26" s="63"/>
      <c r="F26" s="63"/>
      <c r="G26" s="63"/>
      <c r="H26" s="63"/>
      <c r="I26" s="63"/>
    </row>
    <row r="27" spans="2:9" x14ac:dyDescent="0.25">
      <c r="B27" s="72"/>
      <c r="E27" s="63"/>
      <c r="F27" s="63"/>
      <c r="G27" s="63"/>
      <c r="H27" s="63"/>
      <c r="I27" s="63"/>
    </row>
    <row r="28" spans="2:9" x14ac:dyDescent="0.25">
      <c r="B28" s="63" t="s">
        <v>25</v>
      </c>
      <c r="E28" s="63"/>
      <c r="F28" s="63"/>
      <c r="G28" s="63"/>
      <c r="H28" s="63"/>
      <c r="I28" s="63"/>
    </row>
    <row r="29" spans="2:9" ht="22.5" customHeight="1" x14ac:dyDescent="0.25">
      <c r="B29" s="83" t="s">
        <v>26</v>
      </c>
      <c r="E29" s="63"/>
      <c r="F29" s="63"/>
      <c r="G29" s="63"/>
      <c r="H29" s="63"/>
      <c r="I29" s="63"/>
    </row>
    <row r="30" spans="2:9" x14ac:dyDescent="0.25">
      <c r="E30" s="63"/>
      <c r="F30" s="63"/>
      <c r="G30" s="63"/>
      <c r="H30" s="63"/>
      <c r="I30" s="63"/>
    </row>
    <row r="31" spans="2:9" x14ac:dyDescent="0.25">
      <c r="B31" s="63" t="s">
        <v>27</v>
      </c>
      <c r="E31" s="63"/>
      <c r="F31" s="63"/>
      <c r="G31" s="63"/>
      <c r="H31" s="63"/>
      <c r="I31" s="63"/>
    </row>
    <row r="32" spans="2:9" ht="22.5" customHeight="1" x14ac:dyDescent="0.25">
      <c r="B32" s="83" t="s">
        <v>28</v>
      </c>
      <c r="E32" s="63"/>
      <c r="F32" s="63"/>
      <c r="G32" s="63"/>
      <c r="H32" s="63"/>
      <c r="I32" s="63"/>
    </row>
    <row r="33" spans="5:9" x14ac:dyDescent="0.25">
      <c r="E33" s="63"/>
      <c r="F33" s="63"/>
      <c r="G33" s="63"/>
      <c r="H33" s="63"/>
      <c r="I33" s="63"/>
    </row>
    <row r="34" spans="5:9" x14ac:dyDescent="0.25">
      <c r="E34" s="63"/>
      <c r="F34" s="63"/>
      <c r="G34" s="63"/>
      <c r="H34" s="63"/>
      <c r="I34" s="63"/>
    </row>
    <row r="35" spans="5:9" x14ac:dyDescent="0.25">
      <c r="E35" s="63"/>
      <c r="F35" s="63"/>
      <c r="G35" s="63"/>
      <c r="H35" s="63"/>
      <c r="I35" s="63"/>
    </row>
  </sheetData>
  <mergeCells count="6">
    <mergeCell ref="B9:D9"/>
    <mergeCell ref="B3:D3"/>
    <mergeCell ref="B4:D4"/>
    <mergeCell ref="B7:D7"/>
    <mergeCell ref="B5:D5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zoomScale="85" zoomScaleNormal="85" workbookViewId="0">
      <selection activeCell="F14" sqref="F14:G14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2" ht="15.7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</row>
    <row r="2" spans="1:12" ht="15.7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pans="1:12" ht="15.75" customHeight="1" x14ac:dyDescent="0.25">
      <c r="A3" s="63"/>
      <c r="B3" s="112" t="s">
        <v>29</v>
      </c>
      <c r="C3" s="112"/>
      <c r="D3" s="112"/>
      <c r="E3" s="112"/>
      <c r="F3" s="112"/>
      <c r="G3" s="112"/>
      <c r="H3" s="112"/>
      <c r="I3" s="112"/>
      <c r="J3" s="112"/>
    </row>
    <row r="4" spans="1:12" ht="15.75" customHeight="1" x14ac:dyDescent="0.25">
      <c r="A4" s="63"/>
      <c r="B4" s="113" t="s">
        <v>30</v>
      </c>
      <c r="C4" s="113"/>
      <c r="D4" s="113"/>
      <c r="E4" s="113"/>
      <c r="F4" s="113"/>
      <c r="G4" s="113"/>
      <c r="H4" s="113"/>
      <c r="I4" s="113"/>
      <c r="J4" s="113"/>
    </row>
    <row r="5" spans="1:12" ht="15.75" customHeight="1" x14ac:dyDescent="0.25">
      <c r="A5" s="63"/>
      <c r="B5" s="73"/>
      <c r="C5" s="73"/>
      <c r="D5" s="73"/>
      <c r="E5" s="73"/>
      <c r="F5" s="73"/>
      <c r="G5" s="73"/>
      <c r="H5" s="73"/>
      <c r="I5" s="73"/>
      <c r="J5" s="73"/>
    </row>
    <row r="6" spans="1:12" ht="15.75" customHeight="1" x14ac:dyDescent="0.25">
      <c r="A6" s="63"/>
      <c r="B6" s="115" t="str">
        <f>'Прил.1 Сравнит табл'!B7</f>
        <v>Наименование разрабатываемого показателя УНЦ - Постоянная часть ПС, СКУД ЗПС 500 кВ</v>
      </c>
      <c r="C6" s="115"/>
      <c r="D6" s="115"/>
      <c r="E6" s="115"/>
      <c r="F6" s="115"/>
      <c r="G6" s="115"/>
      <c r="H6" s="115"/>
      <c r="I6" s="115"/>
      <c r="J6" s="115"/>
    </row>
    <row r="7" spans="1:12" ht="15.75" customHeight="1" x14ac:dyDescent="0.25">
      <c r="A7" s="63"/>
      <c r="B7" s="111" t="str">
        <f>'Прил.1 Сравнит табл'!B9</f>
        <v>Единица измерения  — 1 ПС</v>
      </c>
      <c r="C7" s="111"/>
      <c r="D7" s="111"/>
      <c r="E7" s="111"/>
      <c r="F7" s="111"/>
      <c r="G7" s="111"/>
      <c r="H7" s="111"/>
      <c r="I7" s="111"/>
      <c r="J7" s="111"/>
    </row>
    <row r="8" spans="1:12" ht="15.75" customHeight="1" x14ac:dyDescent="0.25">
      <c r="A8" s="63"/>
      <c r="B8" s="71"/>
      <c r="C8" s="63"/>
      <c r="D8" s="63"/>
      <c r="E8" s="63"/>
      <c r="F8" s="63"/>
      <c r="G8" s="63"/>
      <c r="H8" s="63"/>
      <c r="I8" s="63"/>
      <c r="J8" s="63"/>
    </row>
    <row r="9" spans="1:12" ht="15.75" customHeight="1" x14ac:dyDescent="0.25">
      <c r="A9" s="148"/>
      <c r="B9" s="149" t="s">
        <v>3</v>
      </c>
      <c r="C9" s="149" t="s">
        <v>31</v>
      </c>
      <c r="D9" s="149" t="s">
        <v>347</v>
      </c>
      <c r="E9" s="149"/>
      <c r="F9" s="149"/>
      <c r="G9" s="149"/>
      <c r="H9" s="149"/>
      <c r="I9" s="149"/>
      <c r="J9" s="149"/>
      <c r="K9" s="148"/>
      <c r="L9" s="148"/>
    </row>
    <row r="10" spans="1:12" ht="15.75" customHeight="1" x14ac:dyDescent="0.25">
      <c r="A10" s="148"/>
      <c r="B10" s="149"/>
      <c r="C10" s="149"/>
      <c r="D10" s="149" t="s">
        <v>32</v>
      </c>
      <c r="E10" s="149" t="s">
        <v>33</v>
      </c>
      <c r="F10" s="149" t="s">
        <v>348</v>
      </c>
      <c r="G10" s="149"/>
      <c r="H10" s="149"/>
      <c r="I10" s="149"/>
      <c r="J10" s="149"/>
      <c r="K10" s="148"/>
      <c r="L10" s="148"/>
    </row>
    <row r="11" spans="1:12" ht="83.25" customHeight="1" x14ac:dyDescent="0.25">
      <c r="A11" s="148"/>
      <c r="B11" s="149"/>
      <c r="C11" s="149"/>
      <c r="D11" s="149"/>
      <c r="E11" s="149"/>
      <c r="F11" s="110" t="s">
        <v>34</v>
      </c>
      <c r="G11" s="110" t="s">
        <v>35</v>
      </c>
      <c r="H11" s="110" t="s">
        <v>36</v>
      </c>
      <c r="I11" s="110" t="s">
        <v>37</v>
      </c>
      <c r="J11" s="110" t="s">
        <v>38</v>
      </c>
      <c r="K11" s="148"/>
      <c r="L11" s="148"/>
    </row>
    <row r="12" spans="1:12" ht="37.5" customHeight="1" x14ac:dyDescent="0.25">
      <c r="A12" s="148"/>
      <c r="B12" s="150">
        <v>1</v>
      </c>
      <c r="C12" s="151" t="s">
        <v>350</v>
      </c>
      <c r="D12" s="152"/>
      <c r="E12" s="153"/>
      <c r="F12" s="154">
        <v>33.550744899999998</v>
      </c>
      <c r="G12" s="155"/>
      <c r="H12" s="156">
        <v>198.49373120000001</v>
      </c>
      <c r="I12" s="156"/>
      <c r="J12" s="157">
        <v>232.0444761</v>
      </c>
      <c r="K12" s="148"/>
      <c r="L12" s="148"/>
    </row>
    <row r="13" spans="1:12" ht="15.75" customHeight="1" x14ac:dyDescent="0.25">
      <c r="A13" s="148"/>
      <c r="B13" s="158" t="s">
        <v>39</v>
      </c>
      <c r="C13" s="158"/>
      <c r="D13" s="158"/>
      <c r="E13" s="158"/>
      <c r="F13" s="159">
        <v>33.550744899999998</v>
      </c>
      <c r="G13" s="160"/>
      <c r="H13" s="161">
        <v>198.49373120000001</v>
      </c>
      <c r="I13" s="161"/>
      <c r="J13" s="161">
        <v>232.0444761</v>
      </c>
      <c r="K13" s="148"/>
      <c r="L13" s="148"/>
    </row>
    <row r="14" spans="1:12" ht="28.5" customHeight="1" x14ac:dyDescent="0.25">
      <c r="A14" s="148"/>
      <c r="B14" s="158" t="s">
        <v>349</v>
      </c>
      <c r="C14" s="158"/>
      <c r="D14" s="158"/>
      <c r="E14" s="158"/>
      <c r="F14" s="159">
        <v>33.550744899999998</v>
      </c>
      <c r="G14" s="160"/>
      <c r="H14" s="161">
        <v>198.49373120000001</v>
      </c>
      <c r="I14" s="161"/>
      <c r="J14" s="161">
        <v>232.0444761</v>
      </c>
      <c r="K14" s="148"/>
      <c r="L14" s="148"/>
    </row>
    <row r="15" spans="1:12" ht="15.75" customHeight="1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</row>
    <row r="17" spans="2:4" ht="15.75" customHeight="1" x14ac:dyDescent="0.25">
      <c r="B17" s="63" t="s">
        <v>25</v>
      </c>
      <c r="C17" s="63"/>
      <c r="D17" s="63"/>
    </row>
    <row r="18" spans="2:4" ht="22.5" customHeight="1" x14ac:dyDescent="0.25">
      <c r="B18" s="83" t="s">
        <v>26</v>
      </c>
      <c r="C18" s="63"/>
      <c r="D18" s="63"/>
    </row>
    <row r="19" spans="2:4" ht="15.75" customHeight="1" x14ac:dyDescent="0.25">
      <c r="B19" s="63"/>
      <c r="C19" s="63"/>
      <c r="D19" s="63"/>
    </row>
    <row r="20" spans="2:4" ht="15.75" customHeight="1" x14ac:dyDescent="0.25">
      <c r="B20" s="63" t="s">
        <v>27</v>
      </c>
      <c r="C20" s="63"/>
      <c r="D20" s="63"/>
    </row>
    <row r="21" spans="2:4" ht="22.5" customHeight="1" x14ac:dyDescent="0.25">
      <c r="B21" s="83" t="s">
        <v>28</v>
      </c>
      <c r="C21" s="63"/>
      <c r="D21" s="63"/>
    </row>
  </sheetData>
  <mergeCells count="15">
    <mergeCell ref="B14:E14"/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F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0"/>
  <sheetViews>
    <sheetView view="pageBreakPreview" zoomScale="70" workbookViewId="0">
      <selection activeCell="M25" sqref="M25"/>
    </sheetView>
  </sheetViews>
  <sheetFormatPr defaultRowHeight="15.75" x14ac:dyDescent="0.25"/>
  <cols>
    <col min="1" max="1" width="9.140625" style="63" customWidth="1"/>
    <col min="2" max="2" width="12.5703125" style="63" customWidth="1"/>
    <col min="3" max="3" width="22.42578125" style="63" customWidth="1"/>
    <col min="4" max="4" width="49.7109375" style="63" customWidth="1"/>
    <col min="5" max="5" width="10.140625" style="63" customWidth="1"/>
    <col min="6" max="6" width="20.7109375" style="63" customWidth="1"/>
    <col min="7" max="7" width="16.140625" style="63" customWidth="1"/>
    <col min="8" max="8" width="16.7109375" style="63" customWidth="1"/>
    <col min="9" max="9" width="5.5703125" style="63" customWidth="1"/>
    <col min="10" max="10" width="13.85546875" style="63" customWidth="1"/>
    <col min="11" max="11" width="13" customWidth="1"/>
    <col min="12" max="13" width="9.140625" customWidth="1"/>
  </cols>
  <sheetData>
    <row r="1" spans="1:11" x14ac:dyDescent="0.25">
      <c r="K1" s="63"/>
    </row>
    <row r="2" spans="1:11" x14ac:dyDescent="0.25">
      <c r="A2" s="112" t="s">
        <v>40</v>
      </c>
      <c r="B2" s="112"/>
      <c r="C2" s="112"/>
      <c r="D2" s="112"/>
      <c r="E2" s="112"/>
      <c r="F2" s="112"/>
      <c r="G2" s="112"/>
      <c r="H2" s="112"/>
      <c r="K2" s="63"/>
    </row>
    <row r="3" spans="1:11" x14ac:dyDescent="0.25">
      <c r="A3" s="113" t="s">
        <v>41</v>
      </c>
      <c r="B3" s="113"/>
      <c r="C3" s="113"/>
      <c r="D3" s="113"/>
      <c r="E3" s="113"/>
      <c r="F3" s="113"/>
      <c r="G3" s="113"/>
      <c r="H3" s="113"/>
      <c r="K3" s="63"/>
    </row>
    <row r="4" spans="1:11" ht="18.75" customHeight="1" x14ac:dyDescent="0.25">
      <c r="A4" s="71"/>
      <c r="K4" s="63"/>
    </row>
    <row r="5" spans="1:11" x14ac:dyDescent="0.25">
      <c r="A5" s="115" t="str">
        <f>'Прил.1 Сравнит табл'!B7</f>
        <v>Наименование разрабатываемого показателя УНЦ - Постоянная часть ПС, СКУД ЗПС 500 кВ</v>
      </c>
      <c r="B5" s="115"/>
      <c r="C5" s="115"/>
      <c r="D5" s="115"/>
      <c r="E5" s="115"/>
      <c r="F5" s="115"/>
      <c r="G5" s="115"/>
      <c r="H5" s="115"/>
      <c r="K5" s="63"/>
    </row>
    <row r="6" spans="1:11" x14ac:dyDescent="0.25">
      <c r="A6" s="74"/>
      <c r="B6" s="74"/>
      <c r="C6" s="74"/>
      <c r="D6" s="74"/>
      <c r="E6" s="74"/>
      <c r="F6" s="74"/>
      <c r="G6" s="74"/>
      <c r="H6" s="74"/>
      <c r="K6" s="63"/>
    </row>
    <row r="7" spans="1:11" ht="15.75" customHeight="1" x14ac:dyDescent="0.25">
      <c r="A7" s="116" t="s">
        <v>42</v>
      </c>
      <c r="B7" s="116" t="s">
        <v>43</v>
      </c>
      <c r="C7" s="116" t="s">
        <v>44</v>
      </c>
      <c r="D7" s="116" t="s">
        <v>45</v>
      </c>
      <c r="E7" s="116" t="s">
        <v>46</v>
      </c>
      <c r="F7" s="116" t="s">
        <v>47</v>
      </c>
      <c r="G7" s="116" t="s">
        <v>48</v>
      </c>
      <c r="H7" s="116"/>
      <c r="K7" s="63"/>
    </row>
    <row r="8" spans="1:11" x14ac:dyDescent="0.25">
      <c r="A8" s="116"/>
      <c r="B8" s="116"/>
      <c r="C8" s="116"/>
      <c r="D8" s="116"/>
      <c r="E8" s="116"/>
      <c r="F8" s="116"/>
      <c r="G8" s="37" t="s">
        <v>49</v>
      </c>
      <c r="H8" s="37" t="s">
        <v>50</v>
      </c>
      <c r="K8" s="63"/>
    </row>
    <row r="9" spans="1:11" x14ac:dyDescent="0.25">
      <c r="A9" s="75">
        <v>1</v>
      </c>
      <c r="B9" s="75"/>
      <c r="C9" s="75">
        <v>2</v>
      </c>
      <c r="D9" s="75" t="s">
        <v>51</v>
      </c>
      <c r="E9" s="75">
        <v>4</v>
      </c>
      <c r="F9" s="75">
        <v>5</v>
      </c>
      <c r="G9" s="75">
        <v>6</v>
      </c>
      <c r="H9" s="75">
        <v>7</v>
      </c>
      <c r="K9" s="63"/>
    </row>
    <row r="10" spans="1:11" x14ac:dyDescent="0.25">
      <c r="A10" s="117" t="s">
        <v>52</v>
      </c>
      <c r="B10" s="118"/>
      <c r="C10" s="119"/>
      <c r="D10" s="119"/>
      <c r="E10" s="118"/>
      <c r="F10" s="76">
        <f>SUM(F11:F16)</f>
        <v>196.798</v>
      </c>
      <c r="G10" s="76"/>
      <c r="H10" s="76">
        <f>SUM(H11:H16)</f>
        <v>1924.99</v>
      </c>
      <c r="I10" s="95"/>
      <c r="J10" s="94"/>
      <c r="K10" s="77"/>
    </row>
    <row r="11" spans="1:11" x14ac:dyDescent="0.25">
      <c r="A11" s="78">
        <v>1</v>
      </c>
      <c r="B11" s="93"/>
      <c r="C11" s="79" t="s">
        <v>53</v>
      </c>
      <c r="D11" s="80" t="s">
        <v>54</v>
      </c>
      <c r="E11" s="78" t="s">
        <v>55</v>
      </c>
      <c r="F11" s="78">
        <v>100.21</v>
      </c>
      <c r="G11" s="81">
        <v>9.6199999999999992</v>
      </c>
      <c r="H11" s="81">
        <f t="shared" ref="H11:H16" si="0">ROUND(F11*G11,2)</f>
        <v>964.02</v>
      </c>
      <c r="K11" s="63"/>
    </row>
    <row r="12" spans="1:11" ht="15" customHeight="1" x14ac:dyDescent="0.25">
      <c r="A12" s="78">
        <v>2</v>
      </c>
      <c r="B12" s="92"/>
      <c r="C12" s="79" t="s">
        <v>56</v>
      </c>
      <c r="D12" s="80" t="s">
        <v>57</v>
      </c>
      <c r="E12" s="78" t="s">
        <v>55</v>
      </c>
      <c r="F12" s="78">
        <v>34.56</v>
      </c>
      <c r="G12" s="81">
        <v>10.35</v>
      </c>
      <c r="H12" s="81">
        <f t="shared" si="0"/>
        <v>357.7</v>
      </c>
      <c r="K12" s="63"/>
    </row>
    <row r="13" spans="1:11" x14ac:dyDescent="0.25">
      <c r="A13" s="78">
        <v>3</v>
      </c>
      <c r="B13" s="92"/>
      <c r="C13" s="79" t="s">
        <v>58</v>
      </c>
      <c r="D13" s="80" t="s">
        <v>59</v>
      </c>
      <c r="E13" s="78" t="s">
        <v>55</v>
      </c>
      <c r="F13" s="78">
        <v>19.2</v>
      </c>
      <c r="G13" s="81">
        <v>10.5</v>
      </c>
      <c r="H13" s="81">
        <f t="shared" si="0"/>
        <v>201.6</v>
      </c>
      <c r="K13" s="63"/>
    </row>
    <row r="14" spans="1:11" x14ac:dyDescent="0.25">
      <c r="A14" s="78">
        <v>4</v>
      </c>
      <c r="B14" s="92"/>
      <c r="C14" s="79" t="s">
        <v>60</v>
      </c>
      <c r="D14" s="80" t="s">
        <v>61</v>
      </c>
      <c r="E14" s="78" t="s">
        <v>55</v>
      </c>
      <c r="F14" s="78">
        <v>21.177</v>
      </c>
      <c r="G14" s="81">
        <v>9.51</v>
      </c>
      <c r="H14" s="81">
        <f t="shared" si="0"/>
        <v>201.39</v>
      </c>
      <c r="K14" s="63"/>
    </row>
    <row r="15" spans="1:11" x14ac:dyDescent="0.25">
      <c r="A15" s="78">
        <v>5</v>
      </c>
      <c r="B15" s="92"/>
      <c r="C15" s="79" t="s">
        <v>62</v>
      </c>
      <c r="D15" s="80" t="s">
        <v>63</v>
      </c>
      <c r="E15" s="78" t="s">
        <v>55</v>
      </c>
      <c r="F15" s="78">
        <v>15.651</v>
      </c>
      <c r="G15" s="81">
        <v>9.4</v>
      </c>
      <c r="H15" s="81">
        <f t="shared" si="0"/>
        <v>147.12</v>
      </c>
      <c r="K15" s="63"/>
    </row>
    <row r="16" spans="1:11" x14ac:dyDescent="0.25">
      <c r="A16" s="78">
        <v>6</v>
      </c>
      <c r="B16" s="92"/>
      <c r="C16" s="79" t="s">
        <v>64</v>
      </c>
      <c r="D16" s="80" t="s">
        <v>65</v>
      </c>
      <c r="E16" s="78" t="s">
        <v>55</v>
      </c>
      <c r="F16" s="78">
        <v>6</v>
      </c>
      <c r="G16" s="81">
        <v>8.86</v>
      </c>
      <c r="H16" s="81">
        <f t="shared" si="0"/>
        <v>53.16</v>
      </c>
      <c r="K16" s="63"/>
    </row>
    <row r="17" spans="1:11" x14ac:dyDescent="0.25">
      <c r="A17" s="117" t="s">
        <v>66</v>
      </c>
      <c r="B17" s="118"/>
      <c r="C17" s="119"/>
      <c r="D17" s="119"/>
      <c r="E17" s="118"/>
      <c r="F17" s="82">
        <f>F18</f>
        <v>1.554</v>
      </c>
      <c r="G17" s="76"/>
      <c r="H17" s="76">
        <f>H18</f>
        <v>19.600000000000001</v>
      </c>
      <c r="K17" s="63"/>
    </row>
    <row r="18" spans="1:11" x14ac:dyDescent="0.25">
      <c r="A18" s="78">
        <v>7</v>
      </c>
      <c r="B18" s="92"/>
      <c r="C18" s="87">
        <v>2</v>
      </c>
      <c r="D18" s="80" t="s">
        <v>66</v>
      </c>
      <c r="E18" s="78" t="s">
        <v>55</v>
      </c>
      <c r="F18" s="78">
        <v>1.554</v>
      </c>
      <c r="G18" s="81"/>
      <c r="H18" s="81">
        <v>19.600000000000001</v>
      </c>
      <c r="K18" s="63"/>
    </row>
    <row r="19" spans="1:11" x14ac:dyDescent="0.25">
      <c r="A19" s="117" t="s">
        <v>67</v>
      </c>
      <c r="B19" s="118"/>
      <c r="C19" s="119"/>
      <c r="D19" s="119"/>
      <c r="E19" s="118"/>
      <c r="F19" s="82"/>
      <c r="G19" s="76"/>
      <c r="H19" s="76">
        <f>SUM(H20:H23)</f>
        <v>139.93</v>
      </c>
      <c r="I19" s="77"/>
      <c r="J19" s="77"/>
      <c r="K19" s="77"/>
    </row>
    <row r="20" spans="1:11" ht="31.5" customHeight="1" x14ac:dyDescent="0.25">
      <c r="A20" s="78">
        <v>8</v>
      </c>
      <c r="B20" s="92"/>
      <c r="C20" s="80" t="s">
        <v>68</v>
      </c>
      <c r="D20" s="80" t="s">
        <v>69</v>
      </c>
      <c r="E20" s="78" t="s">
        <v>70</v>
      </c>
      <c r="F20" s="78">
        <v>0.74550000000000005</v>
      </c>
      <c r="G20" s="81">
        <v>115.4</v>
      </c>
      <c r="H20" s="81">
        <f>ROUND(F20*G20,2)</f>
        <v>86.03</v>
      </c>
      <c r="K20" s="63"/>
    </row>
    <row r="21" spans="1:11" ht="31.5" customHeight="1" x14ac:dyDescent="0.25">
      <c r="A21" s="78">
        <v>9</v>
      </c>
      <c r="B21" s="92"/>
      <c r="C21" s="80" t="s">
        <v>71</v>
      </c>
      <c r="D21" s="80" t="s">
        <v>72</v>
      </c>
      <c r="E21" s="78" t="s">
        <v>70</v>
      </c>
      <c r="F21" s="78">
        <v>0.74550000000000005</v>
      </c>
      <c r="G21" s="81">
        <v>65.709999999999994</v>
      </c>
      <c r="H21" s="81">
        <f>ROUND(F21*G21,2)</f>
        <v>48.99</v>
      </c>
      <c r="I21" s="77"/>
      <c r="J21" s="77"/>
      <c r="K21" s="77"/>
    </row>
    <row r="22" spans="1:11" x14ac:dyDescent="0.25">
      <c r="A22" s="78">
        <v>10</v>
      </c>
      <c r="B22" s="92"/>
      <c r="C22" s="80" t="s">
        <v>73</v>
      </c>
      <c r="D22" s="80" t="s">
        <v>74</v>
      </c>
      <c r="E22" s="78" t="s">
        <v>70</v>
      </c>
      <c r="F22" s="78">
        <v>0.05</v>
      </c>
      <c r="G22" s="81">
        <v>89.99</v>
      </c>
      <c r="H22" s="81">
        <f>ROUND(F22*G22,2)</f>
        <v>4.5</v>
      </c>
      <c r="K22" s="63"/>
    </row>
    <row r="23" spans="1:11" ht="31.5" customHeight="1" x14ac:dyDescent="0.25">
      <c r="A23" s="78">
        <v>11</v>
      </c>
      <c r="B23" s="92"/>
      <c r="C23" s="80" t="s">
        <v>75</v>
      </c>
      <c r="D23" s="80" t="s">
        <v>76</v>
      </c>
      <c r="E23" s="78" t="s">
        <v>70</v>
      </c>
      <c r="F23" s="78">
        <v>1.2999999999999999E-2</v>
      </c>
      <c r="G23" s="81">
        <v>31.26</v>
      </c>
      <c r="H23" s="81">
        <f>ROUND(F23*G23,2)</f>
        <v>0.41</v>
      </c>
      <c r="K23" s="63"/>
    </row>
    <row r="24" spans="1:11" x14ac:dyDescent="0.25">
      <c r="A24" s="117" t="s">
        <v>36</v>
      </c>
      <c r="B24" s="118"/>
      <c r="C24" s="119"/>
      <c r="D24" s="119"/>
      <c r="E24" s="118"/>
      <c r="F24" s="82"/>
      <c r="G24" s="76"/>
      <c r="H24" s="76">
        <f>SUM(H25:H34)</f>
        <v>46377.04</v>
      </c>
      <c r="J24" s="89"/>
    </row>
    <row r="25" spans="1:11" ht="31.5" customHeight="1" x14ac:dyDescent="0.25">
      <c r="A25" s="78">
        <v>12</v>
      </c>
      <c r="B25" s="92"/>
      <c r="C25" s="80" t="s">
        <v>77</v>
      </c>
      <c r="D25" s="80" t="s">
        <v>78</v>
      </c>
      <c r="E25" s="78" t="s">
        <v>79</v>
      </c>
      <c r="F25" s="78">
        <v>1.6</v>
      </c>
      <c r="G25" s="81">
        <v>19707.400000000001</v>
      </c>
      <c r="H25" s="81">
        <f t="shared" ref="H25:H34" si="1">ROUND(F25*G25,2)</f>
        <v>31531.84</v>
      </c>
    </row>
    <row r="26" spans="1:11" x14ac:dyDescent="0.25">
      <c r="A26" s="78">
        <v>13</v>
      </c>
      <c r="B26" s="92"/>
      <c r="C26" s="80" t="s">
        <v>80</v>
      </c>
      <c r="D26" s="80" t="s">
        <v>81</v>
      </c>
      <c r="E26" s="78" t="s">
        <v>82</v>
      </c>
      <c r="F26" s="78">
        <v>8</v>
      </c>
      <c r="G26" s="81">
        <v>575.80999999999995</v>
      </c>
      <c r="H26" s="81">
        <f t="shared" si="1"/>
        <v>4606.4799999999996</v>
      </c>
    </row>
    <row r="27" spans="1:11" ht="31.5" customHeight="1" x14ac:dyDescent="0.25">
      <c r="A27" s="78">
        <v>14</v>
      </c>
      <c r="B27" s="92"/>
      <c r="C27" s="80" t="s">
        <v>83</v>
      </c>
      <c r="D27" s="80" t="s">
        <v>84</v>
      </c>
      <c r="E27" s="78" t="s">
        <v>82</v>
      </c>
      <c r="F27" s="78">
        <v>5</v>
      </c>
      <c r="G27" s="81">
        <v>670.8</v>
      </c>
      <c r="H27" s="81">
        <f t="shared" si="1"/>
        <v>3354</v>
      </c>
    </row>
    <row r="28" spans="1:11" ht="47.25" customHeight="1" x14ac:dyDescent="0.25">
      <c r="A28" s="78">
        <v>15</v>
      </c>
      <c r="B28" s="92"/>
      <c r="C28" s="80" t="s">
        <v>85</v>
      </c>
      <c r="D28" s="80" t="s">
        <v>86</v>
      </c>
      <c r="E28" s="78" t="s">
        <v>82</v>
      </c>
      <c r="F28" s="78">
        <v>7</v>
      </c>
      <c r="G28" s="81">
        <v>474.61</v>
      </c>
      <c r="H28" s="81">
        <f t="shared" si="1"/>
        <v>3322.27</v>
      </c>
    </row>
    <row r="29" spans="1:11" ht="31.5" customHeight="1" x14ac:dyDescent="0.25">
      <c r="A29" s="78">
        <v>16</v>
      </c>
      <c r="B29" s="92"/>
      <c r="C29" s="80" t="s">
        <v>87</v>
      </c>
      <c r="D29" s="80" t="s">
        <v>88</v>
      </c>
      <c r="E29" s="78" t="s">
        <v>82</v>
      </c>
      <c r="F29" s="78">
        <v>1</v>
      </c>
      <c r="G29" s="81">
        <v>2061.4</v>
      </c>
      <c r="H29" s="81">
        <f t="shared" si="1"/>
        <v>2061.4</v>
      </c>
    </row>
    <row r="30" spans="1:11" ht="31.5" customHeight="1" x14ac:dyDescent="0.25">
      <c r="A30" s="78">
        <v>17</v>
      </c>
      <c r="B30" s="92"/>
      <c r="C30" s="80" t="s">
        <v>89</v>
      </c>
      <c r="D30" s="80" t="s">
        <v>90</v>
      </c>
      <c r="E30" s="78" t="s">
        <v>82</v>
      </c>
      <c r="F30" s="78">
        <v>3</v>
      </c>
      <c r="G30" s="81">
        <v>188.24</v>
      </c>
      <c r="H30" s="81">
        <f t="shared" si="1"/>
        <v>564.72</v>
      </c>
    </row>
    <row r="31" spans="1:11" ht="31.5" customHeight="1" x14ac:dyDescent="0.25">
      <c r="A31" s="78">
        <v>18</v>
      </c>
      <c r="B31" s="92"/>
      <c r="C31" s="80" t="s">
        <v>91</v>
      </c>
      <c r="D31" s="80" t="s">
        <v>92</v>
      </c>
      <c r="E31" s="78" t="s">
        <v>82</v>
      </c>
      <c r="F31" s="78">
        <v>2</v>
      </c>
      <c r="G31" s="81">
        <v>210.93</v>
      </c>
      <c r="H31" s="81">
        <f t="shared" si="1"/>
        <v>421.86</v>
      </c>
    </row>
    <row r="32" spans="1:11" ht="31.5" customHeight="1" x14ac:dyDescent="0.25">
      <c r="A32" s="78">
        <v>19</v>
      </c>
      <c r="B32" s="92"/>
      <c r="C32" s="80" t="s">
        <v>93</v>
      </c>
      <c r="D32" s="80" t="s">
        <v>94</v>
      </c>
      <c r="E32" s="78" t="s">
        <v>82</v>
      </c>
      <c r="F32" s="78">
        <v>1</v>
      </c>
      <c r="G32" s="81">
        <v>286.64</v>
      </c>
      <c r="H32" s="81">
        <f t="shared" si="1"/>
        <v>286.64</v>
      </c>
    </row>
    <row r="33" spans="1:10" x14ac:dyDescent="0.25">
      <c r="A33" s="78">
        <v>20</v>
      </c>
      <c r="B33" s="92"/>
      <c r="C33" s="80" t="s">
        <v>95</v>
      </c>
      <c r="D33" s="80" t="s">
        <v>96</v>
      </c>
      <c r="E33" s="78" t="s">
        <v>82</v>
      </c>
      <c r="F33" s="78">
        <v>1</v>
      </c>
      <c r="G33" s="81">
        <v>164.69</v>
      </c>
      <c r="H33" s="81">
        <f t="shared" si="1"/>
        <v>164.69</v>
      </c>
    </row>
    <row r="34" spans="1:10" ht="47.25" customHeight="1" x14ac:dyDescent="0.25">
      <c r="A34" s="78">
        <v>21</v>
      </c>
      <c r="B34" s="92"/>
      <c r="C34" s="80" t="s">
        <v>97</v>
      </c>
      <c r="D34" s="80" t="s">
        <v>98</v>
      </c>
      <c r="E34" s="78" t="s">
        <v>82</v>
      </c>
      <c r="F34" s="78">
        <v>7</v>
      </c>
      <c r="G34" s="81">
        <v>9.02</v>
      </c>
      <c r="H34" s="81">
        <f t="shared" si="1"/>
        <v>63.14</v>
      </c>
    </row>
    <row r="35" spans="1:10" x14ac:dyDescent="0.25">
      <c r="A35" s="117" t="s">
        <v>99</v>
      </c>
      <c r="B35" s="118"/>
      <c r="C35" s="119"/>
      <c r="D35" s="119"/>
      <c r="E35" s="118"/>
      <c r="F35" s="82"/>
      <c r="G35" s="76"/>
      <c r="H35" s="76">
        <f>SUM(H36:H73)</f>
        <v>2790.47</v>
      </c>
      <c r="J35" s="89"/>
    </row>
    <row r="36" spans="1:10" x14ac:dyDescent="0.25">
      <c r="A36" s="78">
        <v>22</v>
      </c>
      <c r="B36" s="92"/>
      <c r="C36" s="80" t="s">
        <v>100</v>
      </c>
      <c r="D36" s="80" t="s">
        <v>101</v>
      </c>
      <c r="E36" s="78" t="s">
        <v>102</v>
      </c>
      <c r="F36" s="78">
        <v>0.23</v>
      </c>
      <c r="G36" s="81">
        <v>4760.47</v>
      </c>
      <c r="H36" s="81">
        <f t="shared" ref="H36:H73" si="2">ROUND(F36*G36,2)</f>
        <v>1094.9100000000001</v>
      </c>
    </row>
    <row r="37" spans="1:10" ht="31.5" customHeight="1" x14ac:dyDescent="0.25">
      <c r="A37" s="78">
        <v>23</v>
      </c>
      <c r="B37" s="92"/>
      <c r="C37" s="80" t="s">
        <v>103</v>
      </c>
      <c r="D37" s="80" t="s">
        <v>104</v>
      </c>
      <c r="E37" s="78" t="s">
        <v>102</v>
      </c>
      <c r="F37" s="78">
        <v>0.17499999999999999</v>
      </c>
      <c r="G37" s="81">
        <v>4863.9799999999996</v>
      </c>
      <c r="H37" s="81">
        <f t="shared" si="2"/>
        <v>851.2</v>
      </c>
    </row>
    <row r="38" spans="1:10" ht="31.5" customHeight="1" x14ac:dyDescent="0.25">
      <c r="A38" s="78">
        <v>24</v>
      </c>
      <c r="B38" s="92"/>
      <c r="C38" s="80" t="s">
        <v>105</v>
      </c>
      <c r="D38" s="80" t="s">
        <v>106</v>
      </c>
      <c r="E38" s="78" t="s">
        <v>102</v>
      </c>
      <c r="F38" s="78">
        <v>0.15</v>
      </c>
      <c r="G38" s="81">
        <v>1361.22</v>
      </c>
      <c r="H38" s="81">
        <f t="shared" si="2"/>
        <v>204.18</v>
      </c>
    </row>
    <row r="39" spans="1:10" x14ac:dyDescent="0.25">
      <c r="A39" s="78">
        <v>25</v>
      </c>
      <c r="B39" s="92"/>
      <c r="C39" s="80" t="s">
        <v>107</v>
      </c>
      <c r="D39" s="80" t="s">
        <v>108</v>
      </c>
      <c r="E39" s="78" t="s">
        <v>109</v>
      </c>
      <c r="F39" s="78">
        <v>130</v>
      </c>
      <c r="G39" s="81">
        <v>1.1499999999999999</v>
      </c>
      <c r="H39" s="81">
        <f t="shared" si="2"/>
        <v>149.5</v>
      </c>
    </row>
    <row r="40" spans="1:10" ht="15" customHeight="1" x14ac:dyDescent="0.25">
      <c r="A40" s="78">
        <v>26</v>
      </c>
      <c r="B40" s="92"/>
      <c r="C40" s="80" t="s">
        <v>110</v>
      </c>
      <c r="D40" s="80" t="s">
        <v>111</v>
      </c>
      <c r="E40" s="78" t="s">
        <v>112</v>
      </c>
      <c r="F40" s="78">
        <v>6.0000000000000001E-3</v>
      </c>
      <c r="G40" s="81">
        <v>15481</v>
      </c>
      <c r="H40" s="81">
        <f t="shared" si="2"/>
        <v>92.89</v>
      </c>
    </row>
    <row r="41" spans="1:10" ht="31.5" customHeight="1" x14ac:dyDescent="0.25">
      <c r="A41" s="78">
        <v>27</v>
      </c>
      <c r="B41" s="92"/>
      <c r="C41" s="80" t="s">
        <v>113</v>
      </c>
      <c r="D41" s="80" t="s">
        <v>114</v>
      </c>
      <c r="E41" s="78" t="s">
        <v>115</v>
      </c>
      <c r="F41" s="78">
        <v>0.62</v>
      </c>
      <c r="G41" s="81">
        <v>83</v>
      </c>
      <c r="H41" s="81">
        <f t="shared" si="2"/>
        <v>51.46</v>
      </c>
    </row>
    <row r="42" spans="1:10" ht="31.5" customHeight="1" x14ac:dyDescent="0.25">
      <c r="A42" s="78">
        <v>28</v>
      </c>
      <c r="B42" s="92"/>
      <c r="C42" s="80" t="s">
        <v>116</v>
      </c>
      <c r="D42" s="80" t="s">
        <v>117</v>
      </c>
      <c r="E42" s="78" t="s">
        <v>118</v>
      </c>
      <c r="F42" s="78">
        <v>0.26</v>
      </c>
      <c r="G42" s="81">
        <v>180</v>
      </c>
      <c r="H42" s="81">
        <f t="shared" si="2"/>
        <v>46.8</v>
      </c>
    </row>
    <row r="43" spans="1:10" ht="15" customHeight="1" x14ac:dyDescent="0.25">
      <c r="A43" s="78">
        <v>29</v>
      </c>
      <c r="B43" s="92"/>
      <c r="C43" s="80" t="s">
        <v>119</v>
      </c>
      <c r="D43" s="80" t="s">
        <v>120</v>
      </c>
      <c r="E43" s="78" t="s">
        <v>121</v>
      </c>
      <c r="F43" s="78">
        <v>38.481499999999997</v>
      </c>
      <c r="G43" s="81">
        <v>1</v>
      </c>
      <c r="H43" s="81">
        <f t="shared" si="2"/>
        <v>38.479999999999997</v>
      </c>
    </row>
    <row r="44" spans="1:10" ht="31.5" customHeight="1" x14ac:dyDescent="0.25">
      <c r="A44" s="78">
        <v>30</v>
      </c>
      <c r="B44" s="92"/>
      <c r="C44" s="80" t="s">
        <v>122</v>
      </c>
      <c r="D44" s="80" t="s">
        <v>123</v>
      </c>
      <c r="E44" s="78" t="s">
        <v>112</v>
      </c>
      <c r="F44" s="78">
        <v>4.64E-4</v>
      </c>
      <c r="G44" s="81">
        <v>65750</v>
      </c>
      <c r="H44" s="81">
        <f t="shared" si="2"/>
        <v>30.51</v>
      </c>
    </row>
    <row r="45" spans="1:10" ht="47.25" customHeight="1" x14ac:dyDescent="0.25">
      <c r="A45" s="78">
        <v>31</v>
      </c>
      <c r="B45" s="92"/>
      <c r="C45" s="80" t="s">
        <v>124</v>
      </c>
      <c r="D45" s="80" t="s">
        <v>125</v>
      </c>
      <c r="E45" s="78" t="s">
        <v>112</v>
      </c>
      <c r="F45" s="78">
        <v>4.0000000000000002E-4</v>
      </c>
      <c r="G45" s="81">
        <v>75162.289999999994</v>
      </c>
      <c r="H45" s="81">
        <f t="shared" si="2"/>
        <v>30.06</v>
      </c>
    </row>
    <row r="46" spans="1:10" ht="47.25" customHeight="1" x14ac:dyDescent="0.25">
      <c r="A46" s="78">
        <v>32</v>
      </c>
      <c r="B46" s="92"/>
      <c r="C46" s="80" t="s">
        <v>126</v>
      </c>
      <c r="D46" s="80" t="s">
        <v>127</v>
      </c>
      <c r="E46" s="78" t="s">
        <v>128</v>
      </c>
      <c r="F46" s="78">
        <v>0.88800000000000001</v>
      </c>
      <c r="G46" s="81">
        <v>30.4</v>
      </c>
      <c r="H46" s="81">
        <f t="shared" si="2"/>
        <v>27</v>
      </c>
    </row>
    <row r="47" spans="1:10" x14ac:dyDescent="0.25">
      <c r="A47" s="78">
        <v>33</v>
      </c>
      <c r="B47" s="92"/>
      <c r="C47" s="80" t="s">
        <v>129</v>
      </c>
      <c r="D47" s="80" t="s">
        <v>130</v>
      </c>
      <c r="E47" s="78" t="s">
        <v>128</v>
      </c>
      <c r="F47" s="78">
        <v>0.16</v>
      </c>
      <c r="G47" s="81">
        <v>155</v>
      </c>
      <c r="H47" s="81">
        <f t="shared" si="2"/>
        <v>24.8</v>
      </c>
    </row>
    <row r="48" spans="1:10" x14ac:dyDescent="0.25">
      <c r="A48" s="78">
        <v>34</v>
      </c>
      <c r="B48" s="92"/>
      <c r="C48" s="80" t="s">
        <v>131</v>
      </c>
      <c r="D48" s="80" t="s">
        <v>132</v>
      </c>
      <c r="E48" s="78" t="s">
        <v>115</v>
      </c>
      <c r="F48" s="78">
        <v>0.1</v>
      </c>
      <c r="G48" s="81">
        <v>203</v>
      </c>
      <c r="H48" s="81">
        <f t="shared" si="2"/>
        <v>20.3</v>
      </c>
    </row>
    <row r="49" spans="1:10" x14ac:dyDescent="0.25">
      <c r="A49" s="78">
        <v>35</v>
      </c>
      <c r="B49" s="92"/>
      <c r="C49" s="80" t="s">
        <v>133</v>
      </c>
      <c r="D49" s="80" t="s">
        <v>134</v>
      </c>
      <c r="E49" s="78" t="s">
        <v>135</v>
      </c>
      <c r="F49" s="78">
        <v>2.7749999999999999</v>
      </c>
      <c r="G49" s="81">
        <v>6.9</v>
      </c>
      <c r="H49" s="81">
        <f t="shared" si="2"/>
        <v>19.149999999999999</v>
      </c>
      <c r="I49" s="77"/>
      <c r="J49" s="77"/>
    </row>
    <row r="50" spans="1:10" x14ac:dyDescent="0.25">
      <c r="A50" s="78">
        <v>36</v>
      </c>
      <c r="B50" s="92"/>
      <c r="C50" s="80" t="s">
        <v>136</v>
      </c>
      <c r="D50" s="80" t="s">
        <v>137</v>
      </c>
      <c r="E50" s="78" t="s">
        <v>112</v>
      </c>
      <c r="F50" s="78">
        <v>1.2999999999999999E-3</v>
      </c>
      <c r="G50" s="81">
        <v>12430</v>
      </c>
      <c r="H50" s="81">
        <f t="shared" si="2"/>
        <v>16.16</v>
      </c>
    </row>
    <row r="51" spans="1:10" x14ac:dyDescent="0.25">
      <c r="A51" s="78">
        <v>37</v>
      </c>
      <c r="B51" s="92"/>
      <c r="C51" s="80" t="s">
        <v>138</v>
      </c>
      <c r="D51" s="80" t="s">
        <v>139</v>
      </c>
      <c r="E51" s="78" t="s">
        <v>128</v>
      </c>
      <c r="F51" s="78">
        <v>1.38</v>
      </c>
      <c r="G51" s="81">
        <v>9.0399999999999991</v>
      </c>
      <c r="H51" s="81">
        <f t="shared" si="2"/>
        <v>12.48</v>
      </c>
    </row>
    <row r="52" spans="1:10" ht="31.5" customHeight="1" x14ac:dyDescent="0.25">
      <c r="A52" s="78">
        <v>38</v>
      </c>
      <c r="B52" s="92"/>
      <c r="C52" s="80" t="s">
        <v>140</v>
      </c>
      <c r="D52" s="80" t="s">
        <v>141</v>
      </c>
      <c r="E52" s="78" t="s">
        <v>112</v>
      </c>
      <c r="F52" s="78">
        <v>9.7000000000000005E-4</v>
      </c>
      <c r="G52" s="81">
        <v>12606</v>
      </c>
      <c r="H52" s="81">
        <f t="shared" si="2"/>
        <v>12.23</v>
      </c>
    </row>
    <row r="53" spans="1:10" ht="31.5" customHeight="1" x14ac:dyDescent="0.25">
      <c r="A53" s="78">
        <v>39</v>
      </c>
      <c r="B53" s="92"/>
      <c r="C53" s="80" t="s">
        <v>142</v>
      </c>
      <c r="D53" s="80" t="s">
        <v>143</v>
      </c>
      <c r="E53" s="78" t="s">
        <v>112</v>
      </c>
      <c r="F53" s="78">
        <v>2.7999999999999998E-4</v>
      </c>
      <c r="G53" s="81">
        <v>37517</v>
      </c>
      <c r="H53" s="81">
        <f t="shared" si="2"/>
        <v>10.5</v>
      </c>
    </row>
    <row r="54" spans="1:10" x14ac:dyDescent="0.25">
      <c r="A54" s="78">
        <v>40</v>
      </c>
      <c r="B54" s="92"/>
      <c r="C54" s="80" t="s">
        <v>144</v>
      </c>
      <c r="D54" s="80" t="s">
        <v>145</v>
      </c>
      <c r="E54" s="78" t="s">
        <v>112</v>
      </c>
      <c r="F54" s="78">
        <v>6.9999999999999999E-4</v>
      </c>
      <c r="G54" s="81">
        <v>12430</v>
      </c>
      <c r="H54" s="81">
        <f t="shared" si="2"/>
        <v>8.6999999999999993</v>
      </c>
    </row>
    <row r="55" spans="1:10" x14ac:dyDescent="0.25">
      <c r="A55" s="78">
        <v>41</v>
      </c>
      <c r="B55" s="92"/>
      <c r="C55" s="80" t="s">
        <v>146</v>
      </c>
      <c r="D55" s="80" t="s">
        <v>147</v>
      </c>
      <c r="E55" s="78" t="s">
        <v>128</v>
      </c>
      <c r="F55" s="78">
        <v>0.27750000000000002</v>
      </c>
      <c r="G55" s="81">
        <v>28.6</v>
      </c>
      <c r="H55" s="81">
        <f t="shared" si="2"/>
        <v>7.94</v>
      </c>
    </row>
    <row r="56" spans="1:10" x14ac:dyDescent="0.25">
      <c r="A56" s="78">
        <v>42</v>
      </c>
      <c r="B56" s="92"/>
      <c r="C56" s="80" t="s">
        <v>148</v>
      </c>
      <c r="D56" s="80" t="s">
        <v>149</v>
      </c>
      <c r="E56" s="78" t="s">
        <v>112</v>
      </c>
      <c r="F56" s="78">
        <v>1.8000000000000001E-4</v>
      </c>
      <c r="G56" s="81">
        <v>42700.01</v>
      </c>
      <c r="H56" s="81">
        <f t="shared" si="2"/>
        <v>7.69</v>
      </c>
    </row>
    <row r="57" spans="1:10" ht="31.5" customHeight="1" x14ac:dyDescent="0.25">
      <c r="A57" s="78">
        <v>43</v>
      </c>
      <c r="B57" s="92"/>
      <c r="C57" s="80" t="s">
        <v>150</v>
      </c>
      <c r="D57" s="80" t="s">
        <v>151</v>
      </c>
      <c r="E57" s="78" t="s">
        <v>112</v>
      </c>
      <c r="F57" s="78">
        <v>6.0000000000000002E-5</v>
      </c>
      <c r="G57" s="81">
        <v>114220</v>
      </c>
      <c r="H57" s="81">
        <f t="shared" si="2"/>
        <v>6.85</v>
      </c>
    </row>
    <row r="58" spans="1:10" ht="47.25" customHeight="1" x14ac:dyDescent="0.25">
      <c r="A58" s="78">
        <v>44</v>
      </c>
      <c r="B58" s="92"/>
      <c r="C58" s="80" t="s">
        <v>152</v>
      </c>
      <c r="D58" s="80" t="s">
        <v>153</v>
      </c>
      <c r="E58" s="78" t="s">
        <v>128</v>
      </c>
      <c r="F58" s="78">
        <v>0.05</v>
      </c>
      <c r="G58" s="81">
        <v>91.29</v>
      </c>
      <c r="H58" s="81">
        <f t="shared" si="2"/>
        <v>4.5599999999999996</v>
      </c>
    </row>
    <row r="59" spans="1:10" ht="31.5" customHeight="1" x14ac:dyDescent="0.25">
      <c r="A59" s="78">
        <v>45</v>
      </c>
      <c r="B59" s="92"/>
      <c r="C59" s="80" t="s">
        <v>154</v>
      </c>
      <c r="D59" s="80" t="s">
        <v>155</v>
      </c>
      <c r="E59" s="78" t="s">
        <v>112</v>
      </c>
      <c r="F59" s="78">
        <v>4.0000000000000002E-4</v>
      </c>
      <c r="G59" s="81">
        <v>9800</v>
      </c>
      <c r="H59" s="81">
        <f t="shared" si="2"/>
        <v>3.92</v>
      </c>
    </row>
    <row r="60" spans="1:10" x14ac:dyDescent="0.25">
      <c r="A60" s="78">
        <v>46</v>
      </c>
      <c r="B60" s="92"/>
      <c r="C60" s="80" t="s">
        <v>156</v>
      </c>
      <c r="D60" s="80" t="s">
        <v>157</v>
      </c>
      <c r="E60" s="78" t="s">
        <v>128</v>
      </c>
      <c r="F60" s="78">
        <v>0.12</v>
      </c>
      <c r="G60" s="81">
        <v>28.26</v>
      </c>
      <c r="H60" s="81">
        <f t="shared" si="2"/>
        <v>3.39</v>
      </c>
    </row>
    <row r="61" spans="1:10" x14ac:dyDescent="0.25">
      <c r="A61" s="78">
        <v>47</v>
      </c>
      <c r="B61" s="92"/>
      <c r="C61" s="80" t="s">
        <v>158</v>
      </c>
      <c r="D61" s="80" t="s">
        <v>159</v>
      </c>
      <c r="E61" s="78" t="s">
        <v>128</v>
      </c>
      <c r="F61" s="78">
        <v>1.8499999999999999E-2</v>
      </c>
      <c r="G61" s="81">
        <v>138.76</v>
      </c>
      <c r="H61" s="81">
        <f t="shared" si="2"/>
        <v>2.57</v>
      </c>
    </row>
    <row r="62" spans="1:10" x14ac:dyDescent="0.25">
      <c r="A62" s="78">
        <v>48</v>
      </c>
      <c r="B62" s="92"/>
      <c r="C62" s="80" t="s">
        <v>160</v>
      </c>
      <c r="D62" s="80" t="s">
        <v>161</v>
      </c>
      <c r="E62" s="78" t="s">
        <v>128</v>
      </c>
      <c r="F62" s="78">
        <v>0.05</v>
      </c>
      <c r="G62" s="81">
        <v>47.57</v>
      </c>
      <c r="H62" s="81">
        <f t="shared" si="2"/>
        <v>2.38</v>
      </c>
    </row>
    <row r="63" spans="1:10" x14ac:dyDescent="0.25">
      <c r="A63" s="78">
        <v>49</v>
      </c>
      <c r="B63" s="92"/>
      <c r="C63" s="80" t="s">
        <v>162</v>
      </c>
      <c r="D63" s="80" t="s">
        <v>163</v>
      </c>
      <c r="E63" s="78" t="s">
        <v>128</v>
      </c>
      <c r="F63" s="78">
        <v>7.0000000000000007E-2</v>
      </c>
      <c r="G63" s="81">
        <v>28.93</v>
      </c>
      <c r="H63" s="81">
        <f t="shared" si="2"/>
        <v>2.0299999999999998</v>
      </c>
    </row>
    <row r="64" spans="1:10" x14ac:dyDescent="0.25">
      <c r="A64" s="78">
        <v>50</v>
      </c>
      <c r="B64" s="92"/>
      <c r="C64" s="80" t="s">
        <v>164</v>
      </c>
      <c r="D64" s="80" t="s">
        <v>165</v>
      </c>
      <c r="E64" s="78" t="s">
        <v>115</v>
      </c>
      <c r="F64" s="78">
        <v>0.05</v>
      </c>
      <c r="G64" s="81">
        <v>30.74</v>
      </c>
      <c r="H64" s="81">
        <f t="shared" si="2"/>
        <v>1.54</v>
      </c>
    </row>
    <row r="65" spans="1:8" ht="47.25" customHeight="1" x14ac:dyDescent="0.25">
      <c r="A65" s="78">
        <v>51</v>
      </c>
      <c r="B65" s="92"/>
      <c r="C65" s="80" t="s">
        <v>166</v>
      </c>
      <c r="D65" s="80" t="s">
        <v>167</v>
      </c>
      <c r="E65" s="78" t="s">
        <v>168</v>
      </c>
      <c r="F65" s="78">
        <v>3.0000000000000001E-3</v>
      </c>
      <c r="G65" s="81">
        <v>405.22</v>
      </c>
      <c r="H65" s="81">
        <f t="shared" si="2"/>
        <v>1.22</v>
      </c>
    </row>
    <row r="66" spans="1:8" x14ac:dyDescent="0.25">
      <c r="A66" s="78">
        <v>52</v>
      </c>
      <c r="B66" s="92"/>
      <c r="C66" s="80" t="s">
        <v>169</v>
      </c>
      <c r="D66" s="80" t="s">
        <v>170</v>
      </c>
      <c r="E66" s="78" t="s">
        <v>128</v>
      </c>
      <c r="F66" s="78">
        <v>4.3200000000000002E-2</v>
      </c>
      <c r="G66" s="81">
        <v>27.74</v>
      </c>
      <c r="H66" s="81">
        <f t="shared" si="2"/>
        <v>1.2</v>
      </c>
    </row>
    <row r="67" spans="1:8" ht="31.5" customHeight="1" x14ac:dyDescent="0.25">
      <c r="A67" s="78">
        <v>53</v>
      </c>
      <c r="B67" s="92"/>
      <c r="C67" s="80" t="s">
        <v>171</v>
      </c>
      <c r="D67" s="80" t="s">
        <v>172</v>
      </c>
      <c r="E67" s="78" t="s">
        <v>128</v>
      </c>
      <c r="F67" s="78">
        <v>2.9940000000000001E-2</v>
      </c>
      <c r="G67" s="81">
        <v>38.340000000000003</v>
      </c>
      <c r="H67" s="81">
        <f t="shared" si="2"/>
        <v>1.1499999999999999</v>
      </c>
    </row>
    <row r="68" spans="1:8" x14ac:dyDescent="0.25">
      <c r="A68" s="78">
        <v>54</v>
      </c>
      <c r="B68" s="92"/>
      <c r="C68" s="80" t="s">
        <v>173</v>
      </c>
      <c r="D68" s="80" t="s">
        <v>174</v>
      </c>
      <c r="E68" s="78" t="s">
        <v>128</v>
      </c>
      <c r="F68" s="78">
        <v>2.5999999999999999E-2</v>
      </c>
      <c r="G68" s="81">
        <v>39.020000000000003</v>
      </c>
      <c r="H68" s="81">
        <f t="shared" si="2"/>
        <v>1.01</v>
      </c>
    </row>
    <row r="69" spans="1:8" ht="31.5" customHeight="1" x14ac:dyDescent="0.25">
      <c r="A69" s="78">
        <v>55</v>
      </c>
      <c r="B69" s="92"/>
      <c r="C69" s="80" t="s">
        <v>175</v>
      </c>
      <c r="D69" s="80" t="s">
        <v>176</v>
      </c>
      <c r="E69" s="78" t="s">
        <v>112</v>
      </c>
      <c r="F69" s="78">
        <v>1.0000000000000001E-5</v>
      </c>
      <c r="G69" s="81">
        <v>68050</v>
      </c>
      <c r="H69" s="81">
        <f t="shared" si="2"/>
        <v>0.68</v>
      </c>
    </row>
    <row r="70" spans="1:8" ht="31.5" customHeight="1" x14ac:dyDescent="0.25">
      <c r="A70" s="78">
        <v>56</v>
      </c>
      <c r="B70" s="92"/>
      <c r="C70" s="80" t="s">
        <v>177</v>
      </c>
      <c r="D70" s="80" t="s">
        <v>178</v>
      </c>
      <c r="E70" s="78" t="s">
        <v>112</v>
      </c>
      <c r="F70" s="78">
        <v>2.4000000000000001E-5</v>
      </c>
      <c r="G70" s="81">
        <v>22419</v>
      </c>
      <c r="H70" s="81">
        <f t="shared" si="2"/>
        <v>0.54</v>
      </c>
    </row>
    <row r="71" spans="1:8" x14ac:dyDescent="0.25">
      <c r="A71" s="78">
        <v>57</v>
      </c>
      <c r="B71" s="92"/>
      <c r="C71" s="80" t="s">
        <v>179</v>
      </c>
      <c r="D71" s="80" t="s">
        <v>180</v>
      </c>
      <c r="E71" s="78" t="s">
        <v>112</v>
      </c>
      <c r="F71" s="78">
        <v>3.6000000000000002E-4</v>
      </c>
      <c r="G71" s="81">
        <v>729.98</v>
      </c>
      <c r="H71" s="81">
        <f t="shared" si="2"/>
        <v>0.26</v>
      </c>
    </row>
    <row r="72" spans="1:8" x14ac:dyDescent="0.25">
      <c r="A72" s="78">
        <v>58</v>
      </c>
      <c r="B72" s="92"/>
      <c r="C72" s="80" t="s">
        <v>181</v>
      </c>
      <c r="D72" s="80" t="s">
        <v>182</v>
      </c>
      <c r="E72" s="78" t="s">
        <v>128</v>
      </c>
      <c r="F72" s="78">
        <v>6.0000000000000001E-3</v>
      </c>
      <c r="G72" s="81">
        <v>35.630000000000003</v>
      </c>
      <c r="H72" s="81">
        <f t="shared" si="2"/>
        <v>0.21</v>
      </c>
    </row>
    <row r="73" spans="1:8" x14ac:dyDescent="0.25">
      <c r="A73" s="78">
        <v>59</v>
      </c>
      <c r="B73" s="92"/>
      <c r="C73" s="80" t="s">
        <v>183</v>
      </c>
      <c r="D73" s="80" t="s">
        <v>184</v>
      </c>
      <c r="E73" s="78" t="s">
        <v>185</v>
      </c>
      <c r="F73" s="78">
        <v>0.06</v>
      </c>
      <c r="G73" s="81">
        <v>0.4</v>
      </c>
      <c r="H73" s="81">
        <f t="shared" si="2"/>
        <v>0.02</v>
      </c>
    </row>
    <row r="76" spans="1:8" x14ac:dyDescent="0.25">
      <c r="B76" s="63" t="s">
        <v>25</v>
      </c>
    </row>
    <row r="77" spans="1:8" x14ac:dyDescent="0.25">
      <c r="B77" s="72" t="s">
        <v>26</v>
      </c>
    </row>
    <row r="79" spans="1:8" x14ac:dyDescent="0.25">
      <c r="B79" s="63" t="s">
        <v>27</v>
      </c>
    </row>
    <row r="80" spans="1:8" x14ac:dyDescent="0.25">
      <c r="B80" s="72" t="s">
        <v>28</v>
      </c>
    </row>
  </sheetData>
  <mergeCells count="15">
    <mergeCell ref="A10:E10"/>
    <mergeCell ref="A17:E17"/>
    <mergeCell ref="A19:E19"/>
    <mergeCell ref="A35:E3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view="pageBreakPreview" topLeftCell="A13" workbookViewId="0">
      <selection activeCell="L26" sqref="L25:L26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186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0" t="s">
        <v>187</v>
      </c>
      <c r="C5" s="120"/>
      <c r="D5" s="120"/>
      <c r="E5" s="120"/>
    </row>
    <row r="6" spans="2:5" x14ac:dyDescent="0.25">
      <c r="B6" s="16"/>
      <c r="C6" s="6"/>
      <c r="D6" s="6"/>
      <c r="E6" s="6"/>
    </row>
    <row r="7" spans="2:5" ht="39.75" customHeight="1" x14ac:dyDescent="0.25">
      <c r="B7" s="121" t="str">
        <f>'Прил.1 Сравнит табл'!B7</f>
        <v>Наименование разрабатываемого показателя УНЦ - Постоянная часть ПС, СКУД ЗПС 500 кВ</v>
      </c>
      <c r="C7" s="121"/>
      <c r="D7" s="121"/>
      <c r="E7" s="121"/>
    </row>
    <row r="8" spans="2:5" x14ac:dyDescent="0.25">
      <c r="B8" s="122" t="str">
        <f>'Прил.1 Сравнит табл'!B9</f>
        <v>Единица измерения  — 1 ПС</v>
      </c>
      <c r="C8" s="122"/>
      <c r="D8" s="122"/>
      <c r="E8" s="122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188</v>
      </c>
      <c r="C10" s="2" t="s">
        <v>189</v>
      </c>
      <c r="D10" s="2" t="s">
        <v>190</v>
      </c>
      <c r="E10" s="2" t="s">
        <v>191</v>
      </c>
    </row>
    <row r="11" spans="2:5" x14ac:dyDescent="0.25">
      <c r="B11" s="7" t="s">
        <v>192</v>
      </c>
      <c r="C11" s="42">
        <f>'Прил.5 Расчет СМР и ОБ'!J14</f>
        <v>88892.7</v>
      </c>
      <c r="D11" s="41">
        <f t="shared" ref="D11:D18" si="0">C11/$C$24</f>
        <v>0.3679773019253334</v>
      </c>
      <c r="E11" s="41">
        <f t="shared" ref="E11:E18" si="1">C11/$C$40</f>
        <v>0.1032606885651281</v>
      </c>
    </row>
    <row r="12" spans="2:5" x14ac:dyDescent="0.25">
      <c r="B12" s="7" t="s">
        <v>193</v>
      </c>
      <c r="C12" s="42">
        <f>'Прил.5 Расчет СМР и ОБ'!J21</f>
        <v>1818.69</v>
      </c>
      <c r="D12" s="41">
        <f t="shared" si="0"/>
        <v>7.5285894031634163E-3</v>
      </c>
      <c r="E12" s="41">
        <f t="shared" si="1"/>
        <v>2.1126502140953402E-3</v>
      </c>
    </row>
    <row r="13" spans="2:5" x14ac:dyDescent="0.25">
      <c r="B13" s="7" t="s">
        <v>194</v>
      </c>
      <c r="C13" s="42">
        <f>'Прил.5 Расчет СМР и ОБ'!J24</f>
        <v>66.08</v>
      </c>
      <c r="D13" s="41">
        <f t="shared" si="0"/>
        <v>2.7354259811239879E-4</v>
      </c>
      <c r="E13" s="41">
        <f t="shared" si="1"/>
        <v>7.6760704764099473E-5</v>
      </c>
    </row>
    <row r="14" spans="2:5" x14ac:dyDescent="0.25">
      <c r="B14" s="7" t="s">
        <v>195</v>
      </c>
      <c r="C14" s="42">
        <f>C13+C12</f>
        <v>1884.77</v>
      </c>
      <c r="D14" s="41">
        <f t="shared" si="0"/>
        <v>7.8021320012758143E-3</v>
      </c>
      <c r="E14" s="41">
        <f t="shared" si="1"/>
        <v>2.1894109188594396E-3</v>
      </c>
    </row>
    <row r="15" spans="2:5" x14ac:dyDescent="0.25">
      <c r="B15" s="7" t="s">
        <v>196</v>
      </c>
      <c r="C15" s="42">
        <f>'Прил.5 Расчет СМР и ОБ'!J16</f>
        <v>868.08</v>
      </c>
      <c r="D15" s="41">
        <f t="shared" si="0"/>
        <v>3.5934754626121539E-3</v>
      </c>
      <c r="E15" s="41">
        <f t="shared" si="1"/>
        <v>1.0083903237230549E-3</v>
      </c>
    </row>
    <row r="16" spans="2:5" x14ac:dyDescent="0.25">
      <c r="B16" s="7" t="s">
        <v>197</v>
      </c>
      <c r="C16" s="42">
        <f>'Прил.5 Расчет СМР и ОБ'!J49</f>
        <v>19237.61</v>
      </c>
      <c r="D16" s="41">
        <f t="shared" si="0"/>
        <v>7.9635378645173491E-2</v>
      </c>
      <c r="E16" s="41">
        <f t="shared" si="1"/>
        <v>2.2347041488754354E-2</v>
      </c>
    </row>
    <row r="17" spans="2:7" x14ac:dyDescent="0.25">
      <c r="B17" s="7" t="s">
        <v>198</v>
      </c>
      <c r="C17" s="42">
        <f>'Прил.5 Расчет СМР и ОБ'!J83</f>
        <v>3198.16</v>
      </c>
      <c r="D17" s="41">
        <f t="shared" si="0"/>
        <v>1.3238998117117876E-2</v>
      </c>
      <c r="E17" s="41">
        <f t="shared" si="1"/>
        <v>3.7150880076929835E-3</v>
      </c>
      <c r="G17" s="17"/>
    </row>
    <row r="18" spans="2:7" x14ac:dyDescent="0.25">
      <c r="B18" s="7" t="s">
        <v>199</v>
      </c>
      <c r="C18" s="42">
        <f>C17+C16</f>
        <v>22435.77</v>
      </c>
      <c r="D18" s="41">
        <f t="shared" si="0"/>
        <v>9.2874376762291364E-2</v>
      </c>
      <c r="E18" s="41">
        <f t="shared" si="1"/>
        <v>2.6062129496447338E-2</v>
      </c>
    </row>
    <row r="19" spans="2:7" x14ac:dyDescent="0.25">
      <c r="B19" s="7" t="s">
        <v>200</v>
      </c>
      <c r="C19" s="42">
        <f>C18+C14+C11</f>
        <v>113213.23999999999</v>
      </c>
      <c r="D19" s="41"/>
      <c r="E19" s="7"/>
    </row>
    <row r="20" spans="2:7" x14ac:dyDescent="0.25">
      <c r="B20" s="7" t="s">
        <v>201</v>
      </c>
      <c r="C20" s="42">
        <f>ROUND(C21*(C11+C15),2)</f>
        <v>43982.78</v>
      </c>
      <c r="D20" s="41">
        <f>C20/$C$24</f>
        <v>0.18206967181304556</v>
      </c>
      <c r="E20" s="41">
        <f>C20/$C$40</f>
        <v>5.1091846099944598E-2</v>
      </c>
    </row>
    <row r="21" spans="2:7" x14ac:dyDescent="0.25">
      <c r="B21" s="7" t="s">
        <v>202</v>
      </c>
      <c r="C21" s="43">
        <f>'Прил.5 Расчет СМР и ОБ'!E87</f>
        <v>0.49</v>
      </c>
      <c r="D21" s="41"/>
      <c r="E21" s="7"/>
    </row>
    <row r="22" spans="2:7" x14ac:dyDescent="0.25">
      <c r="B22" s="7" t="s">
        <v>203</v>
      </c>
      <c r="C22" s="42">
        <f>ROUND(C23*(C11+C15),2)</f>
        <v>84375.13</v>
      </c>
      <c r="D22" s="41">
        <f>C22/$C$24</f>
        <v>0.34927651749805394</v>
      </c>
      <c r="E22" s="41">
        <f>C22/$C$40</f>
        <v>9.801293043829469E-2</v>
      </c>
    </row>
    <row r="23" spans="2:7" x14ac:dyDescent="0.25">
      <c r="B23" s="7" t="s">
        <v>204</v>
      </c>
      <c r="C23" s="43">
        <f>'Прил.5 Расчет СМР и ОБ'!E86</f>
        <v>0.94</v>
      </c>
      <c r="D23" s="41"/>
      <c r="E23" s="7"/>
    </row>
    <row r="24" spans="2:7" x14ac:dyDescent="0.25">
      <c r="B24" s="7" t="s">
        <v>205</v>
      </c>
      <c r="C24" s="42">
        <f>C19+C20+C22</f>
        <v>241571.15</v>
      </c>
      <c r="D24" s="41">
        <f>C24/$C$24</f>
        <v>1</v>
      </c>
      <c r="E24" s="41">
        <f>C24/$C$40</f>
        <v>0.28061700551867413</v>
      </c>
    </row>
    <row r="25" spans="2:7" ht="25.5" customHeight="1" x14ac:dyDescent="0.25">
      <c r="B25" s="7" t="s">
        <v>206</v>
      </c>
      <c r="C25" s="42">
        <f>'Прил.5 Расчет СМР и ОБ'!J40</f>
        <v>537110.19999999995</v>
      </c>
      <c r="D25" s="41"/>
      <c r="E25" s="41">
        <f>C25/$C$40</f>
        <v>0.62392490145257895</v>
      </c>
    </row>
    <row r="26" spans="2:7" ht="25.5" customHeight="1" x14ac:dyDescent="0.25">
      <c r="B26" s="7" t="s">
        <v>207</v>
      </c>
      <c r="C26" s="42">
        <f>'Прил.5 Расчет СМР и ОБ'!J41</f>
        <v>537110.18999999994</v>
      </c>
      <c r="D26" s="41"/>
      <c r="E26" s="41">
        <f>C26/$C$40</f>
        <v>0.6239248898362495</v>
      </c>
    </row>
    <row r="27" spans="2:7" x14ac:dyDescent="0.25">
      <c r="B27" s="7" t="s">
        <v>208</v>
      </c>
      <c r="C27" s="40">
        <f>C24+C25</f>
        <v>778681.35</v>
      </c>
      <c r="D27" s="41"/>
      <c r="E27" s="41">
        <f>C27/$C$40</f>
        <v>0.90454190697125314</v>
      </c>
    </row>
    <row r="28" spans="2:7" ht="33" customHeight="1" x14ac:dyDescent="0.25">
      <c r="B28" s="7" t="s">
        <v>209</v>
      </c>
      <c r="C28" s="7"/>
      <c r="D28" s="7"/>
      <c r="E28" s="7"/>
    </row>
    <row r="29" spans="2:7" ht="25.5" customHeight="1" x14ac:dyDescent="0.25">
      <c r="B29" s="7" t="s">
        <v>210</v>
      </c>
      <c r="C29" s="40">
        <f>ROUND(C24*3.9%,2)</f>
        <v>9421.27</v>
      </c>
      <c r="D29" s="7"/>
      <c r="E29" s="41">
        <f t="shared" ref="E29:E40" si="2">C29/$C$40</f>
        <v>1.0944057581308527E-2</v>
      </c>
    </row>
    <row r="30" spans="2:7" ht="38.25" customHeight="1" x14ac:dyDescent="0.25">
      <c r="B30" s="104" t="s">
        <v>211</v>
      </c>
      <c r="C30" s="105">
        <f>ROUND((C24+C29)*2.1%,2)</f>
        <v>5270.84</v>
      </c>
      <c r="D30" s="104"/>
      <c r="E30" s="106">
        <f t="shared" si="2"/>
        <v>6.1227813725606246E-3</v>
      </c>
    </row>
    <row r="31" spans="2:7" x14ac:dyDescent="0.25">
      <c r="B31" s="104" t="s">
        <v>212</v>
      </c>
      <c r="C31" s="105">
        <v>23300</v>
      </c>
      <c r="D31" s="104"/>
      <c r="E31" s="106">
        <f t="shared" si="2"/>
        <v>2.7066047533346214E-2</v>
      </c>
    </row>
    <row r="32" spans="2:7" ht="25.5" customHeight="1" x14ac:dyDescent="0.25">
      <c r="B32" s="104" t="s">
        <v>213</v>
      </c>
      <c r="C32" s="105">
        <v>0</v>
      </c>
      <c r="D32" s="104"/>
      <c r="E32" s="106">
        <f t="shared" si="2"/>
        <v>0</v>
      </c>
      <c r="G32" s="91"/>
    </row>
    <row r="33" spans="2:12" ht="25.5" customHeight="1" x14ac:dyDescent="0.25">
      <c r="B33" s="104" t="s">
        <v>214</v>
      </c>
      <c r="C33" s="105">
        <v>0</v>
      </c>
      <c r="D33" s="104"/>
      <c r="E33" s="106">
        <f t="shared" si="2"/>
        <v>0</v>
      </c>
      <c r="G33" s="91"/>
    </row>
    <row r="34" spans="2:12" ht="51" customHeight="1" x14ac:dyDescent="0.25">
      <c r="B34" s="104" t="s">
        <v>215</v>
      </c>
      <c r="C34" s="105">
        <v>0</v>
      </c>
      <c r="D34" s="104"/>
      <c r="E34" s="106">
        <f t="shared" si="2"/>
        <v>0</v>
      </c>
      <c r="G34" s="91"/>
    </row>
    <row r="35" spans="2:12" ht="76.5" customHeight="1" x14ac:dyDescent="0.25">
      <c r="B35" s="7" t="s">
        <v>216</v>
      </c>
      <c r="C35" s="40">
        <v>0</v>
      </c>
      <c r="D35" s="7"/>
      <c r="E35" s="41">
        <f t="shared" si="2"/>
        <v>0</v>
      </c>
      <c r="G35" s="91"/>
    </row>
    <row r="36" spans="2:12" ht="25.5" customHeight="1" x14ac:dyDescent="0.25">
      <c r="B36" s="7" t="s">
        <v>217</v>
      </c>
      <c r="C36" s="40">
        <f>ROUND(SUM(C27:C35)*2.14%,2)</f>
        <v>17476.810000000001</v>
      </c>
      <c r="D36" s="7"/>
      <c r="E36" s="41">
        <f t="shared" si="2"/>
        <v>2.0301638205633497E-2</v>
      </c>
      <c r="G36" s="61"/>
      <c r="L36" s="18"/>
    </row>
    <row r="37" spans="2:12" x14ac:dyDescent="0.25">
      <c r="B37" s="7" t="s">
        <v>218</v>
      </c>
      <c r="C37" s="40">
        <f>ROUND(SUM(C27:C35)*0.2%,2)</f>
        <v>1633.35</v>
      </c>
      <c r="D37" s="7"/>
      <c r="E37" s="41">
        <f t="shared" si="2"/>
        <v>1.8973531647463963E-3</v>
      </c>
      <c r="G37" s="61"/>
      <c r="L37" s="18"/>
    </row>
    <row r="38" spans="2:12" ht="38.25" customHeight="1" x14ac:dyDescent="0.25">
      <c r="B38" s="7" t="s">
        <v>219</v>
      </c>
      <c r="C38" s="42">
        <f>SUM(C27:C37)</f>
        <v>835783.62</v>
      </c>
      <c r="D38" s="7"/>
      <c r="E38" s="41">
        <f t="shared" si="2"/>
        <v>0.97087378482884845</v>
      </c>
    </row>
    <row r="39" spans="2:12" ht="13.5" customHeight="1" x14ac:dyDescent="0.25">
      <c r="B39" s="7" t="s">
        <v>220</v>
      </c>
      <c r="C39" s="42">
        <f>ROUND(C38*3%,2)</f>
        <v>25073.51</v>
      </c>
      <c r="D39" s="7"/>
      <c r="E39" s="41">
        <f t="shared" si="2"/>
        <v>2.9126215171151569E-2</v>
      </c>
    </row>
    <row r="40" spans="2:12" x14ac:dyDescent="0.25">
      <c r="B40" s="7" t="s">
        <v>221</v>
      </c>
      <c r="C40" s="42">
        <f>C39+C38</f>
        <v>860857.13</v>
      </c>
      <c r="D40" s="7"/>
      <c r="E40" s="41">
        <f t="shared" si="2"/>
        <v>1</v>
      </c>
    </row>
    <row r="41" spans="2:12" x14ac:dyDescent="0.25">
      <c r="B41" s="7" t="s">
        <v>222</v>
      </c>
      <c r="C41" s="42">
        <f>C40/'Прил.5 Расчет СМР и ОБ'!E90</f>
        <v>860857.13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25</v>
      </c>
      <c r="C43" s="1"/>
      <c r="D43" s="6"/>
      <c r="E43" s="6"/>
    </row>
    <row r="44" spans="2:12" x14ac:dyDescent="0.25">
      <c r="B44" s="64" t="s">
        <v>26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27</v>
      </c>
      <c r="C46" s="1"/>
      <c r="D46" s="6"/>
      <c r="E46" s="6"/>
    </row>
    <row r="47" spans="2:12" x14ac:dyDescent="0.25">
      <c r="B47" s="64" t="s">
        <v>28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97"/>
  <sheetViews>
    <sheetView view="pageBreakPreview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3"/>
      <c r="J2" s="62" t="s">
        <v>223</v>
      </c>
    </row>
    <row r="4" spans="1:12" s="6" customFormat="1" ht="12.75" customHeight="1" x14ac:dyDescent="0.2">
      <c r="A4" s="120" t="s">
        <v>224</v>
      </c>
      <c r="B4" s="120"/>
      <c r="C4" s="120"/>
      <c r="D4" s="120"/>
      <c r="E4" s="120"/>
      <c r="F4" s="120"/>
      <c r="G4" s="120"/>
      <c r="H4" s="120"/>
      <c r="I4" s="44"/>
      <c r="J4" s="44"/>
    </row>
    <row r="5" spans="1:12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2" s="6" customFormat="1" ht="41.25" customHeight="1" x14ac:dyDescent="0.2">
      <c r="A6" s="84" t="s">
        <v>225</v>
      </c>
      <c r="B6" s="85"/>
      <c r="C6" s="85"/>
      <c r="D6" s="134" t="s">
        <v>344</v>
      </c>
      <c r="E6" s="134"/>
      <c r="F6" s="134"/>
      <c r="G6" s="134"/>
      <c r="H6" s="134"/>
      <c r="I6" s="134"/>
      <c r="J6" s="134"/>
    </row>
    <row r="7" spans="1:12" s="6" customFormat="1" ht="12.75" customHeight="1" x14ac:dyDescent="0.2">
      <c r="A7" s="134" t="str">
        <f>'Прил.1 Сравнит табл'!B9</f>
        <v>Единица измерения  — 1 ПС</v>
      </c>
      <c r="B7" s="121"/>
      <c r="C7" s="121"/>
      <c r="D7" s="121"/>
      <c r="E7" s="121"/>
      <c r="F7" s="121"/>
      <c r="G7" s="121"/>
      <c r="H7" s="121"/>
      <c r="I7" s="86"/>
      <c r="J7" s="86"/>
    </row>
    <row r="8" spans="1:12" s="6" customFormat="1" ht="12.75" customHeight="1" x14ac:dyDescent="0.2"/>
    <row r="9" spans="1:12" ht="27" customHeight="1" x14ac:dyDescent="0.25">
      <c r="A9" s="124" t="s">
        <v>226</v>
      </c>
      <c r="B9" s="124" t="s">
        <v>44</v>
      </c>
      <c r="C9" s="124" t="s">
        <v>188</v>
      </c>
      <c r="D9" s="124" t="s">
        <v>46</v>
      </c>
      <c r="E9" s="137" t="s">
        <v>227</v>
      </c>
      <c r="F9" s="132" t="s">
        <v>48</v>
      </c>
      <c r="G9" s="133"/>
      <c r="H9" s="137" t="s">
        <v>228</v>
      </c>
      <c r="I9" s="132" t="s">
        <v>229</v>
      </c>
      <c r="J9" s="133"/>
    </row>
    <row r="10" spans="1:12" ht="28.5" customHeight="1" x14ac:dyDescent="0.25">
      <c r="A10" s="124"/>
      <c r="B10" s="124"/>
      <c r="C10" s="124"/>
      <c r="D10" s="124"/>
      <c r="E10" s="138"/>
      <c r="F10" s="2" t="s">
        <v>230</v>
      </c>
      <c r="G10" s="2" t="s">
        <v>50</v>
      </c>
      <c r="H10" s="138"/>
      <c r="I10" s="2" t="s">
        <v>230</v>
      </c>
      <c r="J10" s="2" t="s">
        <v>50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35" t="s">
        <v>231</v>
      </c>
      <c r="C12" s="123"/>
      <c r="D12" s="124"/>
      <c r="E12" s="125"/>
      <c r="F12" s="126"/>
      <c r="G12" s="126"/>
      <c r="H12" s="136"/>
      <c r="I12" s="45"/>
      <c r="J12" s="45"/>
      <c r="L12" s="66"/>
    </row>
    <row r="13" spans="1:12" ht="25.5" customHeight="1" x14ac:dyDescent="0.25">
      <c r="A13" s="2">
        <v>1</v>
      </c>
      <c r="B13" s="49" t="s">
        <v>232</v>
      </c>
      <c r="C13" s="3" t="s">
        <v>233</v>
      </c>
      <c r="D13" s="2" t="s">
        <v>234</v>
      </c>
      <c r="E13" s="48">
        <f>G13/F13</f>
        <v>197.23258196721</v>
      </c>
      <c r="F13" s="14">
        <v>9.76</v>
      </c>
      <c r="G13" s="14">
        <f>Прил.3!H10</f>
        <v>1924.99</v>
      </c>
      <c r="H13" s="46">
        <f>G13/G14</f>
        <v>1</v>
      </c>
      <c r="I13" s="14">
        <f>ФОТр.тек.!E13</f>
        <v>450.69987855411154</v>
      </c>
      <c r="J13" s="14">
        <f>ROUND(I13*E13,2)</f>
        <v>88892.7</v>
      </c>
    </row>
    <row r="14" spans="1:12" s="1" customFormat="1" ht="25.5" customHeight="1" x14ac:dyDescent="0.25">
      <c r="A14" s="2"/>
      <c r="B14" s="2"/>
      <c r="C14" s="5" t="s">
        <v>235</v>
      </c>
      <c r="D14" s="2" t="s">
        <v>234</v>
      </c>
      <c r="E14" s="48">
        <f>SUM(E13:E13)</f>
        <v>197.23258196721</v>
      </c>
      <c r="F14" s="14"/>
      <c r="G14" s="14">
        <f>SUM(G13:G13)</f>
        <v>1924.99</v>
      </c>
      <c r="H14" s="46">
        <v>1</v>
      </c>
      <c r="I14" s="14"/>
      <c r="J14" s="14">
        <f>SUM(J13:J13)</f>
        <v>88892.7</v>
      </c>
      <c r="L14" s="67"/>
    </row>
    <row r="15" spans="1:12" s="1" customFormat="1" ht="14.25" customHeight="1" x14ac:dyDescent="0.2">
      <c r="A15" s="2"/>
      <c r="B15" s="123" t="s">
        <v>66</v>
      </c>
      <c r="C15" s="123"/>
      <c r="D15" s="124"/>
      <c r="E15" s="125"/>
      <c r="F15" s="126"/>
      <c r="G15" s="126"/>
      <c r="H15" s="136"/>
      <c r="I15" s="45"/>
      <c r="J15" s="45"/>
      <c r="L15" s="66"/>
    </row>
    <row r="16" spans="1:12" s="1" customFormat="1" ht="14.25" customHeight="1" x14ac:dyDescent="0.2">
      <c r="A16" s="2">
        <v>2</v>
      </c>
      <c r="B16" s="2">
        <v>2</v>
      </c>
      <c r="C16" s="3" t="s">
        <v>66</v>
      </c>
      <c r="D16" s="2" t="s">
        <v>234</v>
      </c>
      <c r="E16" s="48">
        <f>Прил.3!F18</f>
        <v>1.554</v>
      </c>
      <c r="F16" s="14">
        <f>G16/E16</f>
        <v>12.612612612613001</v>
      </c>
      <c r="G16" s="14">
        <f>Прил.3!H18</f>
        <v>19.600000000000001</v>
      </c>
      <c r="H16" s="46">
        <v>1</v>
      </c>
      <c r="I16" s="14">
        <f>ROUND(F16*Прил.10!D10,2)</f>
        <v>558.61</v>
      </c>
      <c r="J16" s="14">
        <f>ROUND(I16*E16,2)</f>
        <v>868.08</v>
      </c>
      <c r="L16" s="59"/>
    </row>
    <row r="17" spans="1:12" s="1" customFormat="1" ht="14.25" customHeight="1" x14ac:dyDescent="0.2">
      <c r="A17" s="2"/>
      <c r="B17" s="135" t="s">
        <v>67</v>
      </c>
      <c r="C17" s="123"/>
      <c r="D17" s="124"/>
      <c r="E17" s="125"/>
      <c r="F17" s="126"/>
      <c r="G17" s="126"/>
      <c r="H17" s="127"/>
      <c r="I17" s="46"/>
      <c r="J17" s="46"/>
    </row>
    <row r="18" spans="1:12" s="1" customFormat="1" ht="14.25" customHeight="1" x14ac:dyDescent="0.2">
      <c r="A18" s="2"/>
      <c r="B18" s="123" t="s">
        <v>236</v>
      </c>
      <c r="C18" s="123"/>
      <c r="D18" s="124"/>
      <c r="E18" s="125"/>
      <c r="F18" s="126"/>
      <c r="G18" s="126"/>
      <c r="H18" s="136"/>
      <c r="I18" s="45"/>
      <c r="J18" s="45"/>
    </row>
    <row r="19" spans="1:12" s="1" customFormat="1" ht="25.5" customHeight="1" x14ac:dyDescent="0.2">
      <c r="A19" s="2">
        <v>3</v>
      </c>
      <c r="B19" s="49" t="s">
        <v>68</v>
      </c>
      <c r="C19" s="3" t="s">
        <v>69</v>
      </c>
      <c r="D19" s="2" t="s">
        <v>70</v>
      </c>
      <c r="E19" s="48">
        <v>0.74550000000000005</v>
      </c>
      <c r="F19" s="9">
        <v>115.4</v>
      </c>
      <c r="G19" s="14">
        <f>ROUND(E19*F19,2)</f>
        <v>86.03</v>
      </c>
      <c r="H19" s="46">
        <f>G19/$G$25</f>
        <v>0.61480740370185005</v>
      </c>
      <c r="I19" s="14">
        <f>ROUND(F19*Прил.10!$D$11,2)</f>
        <v>1554.44</v>
      </c>
      <c r="J19" s="14">
        <f>ROUND(I19*E19,2)</f>
        <v>1158.8399999999999</v>
      </c>
    </row>
    <row r="20" spans="1:12" s="1" customFormat="1" ht="25.5" customHeight="1" x14ac:dyDescent="0.2">
      <c r="A20" s="2">
        <v>4</v>
      </c>
      <c r="B20" s="49" t="s">
        <v>71</v>
      </c>
      <c r="C20" s="3" t="s">
        <v>72</v>
      </c>
      <c r="D20" s="2" t="s">
        <v>70</v>
      </c>
      <c r="E20" s="48">
        <v>0.74550000000000005</v>
      </c>
      <c r="F20" s="9">
        <v>65.709999999999994</v>
      </c>
      <c r="G20" s="14">
        <f>ROUND(E20*F20,2)</f>
        <v>48.99</v>
      </c>
      <c r="H20" s="46">
        <f>G20/$G$25</f>
        <v>0.35010362324019001</v>
      </c>
      <c r="I20" s="14">
        <f>ROUND(F20*Прил.10!$D$11,2)</f>
        <v>885.11</v>
      </c>
      <c r="J20" s="14">
        <f>ROUND(I20*E20,2)</f>
        <v>659.85</v>
      </c>
    </row>
    <row r="21" spans="1:12" s="1" customFormat="1" ht="14.25" customHeight="1" x14ac:dyDescent="0.2">
      <c r="B21" s="2"/>
      <c r="C21" s="3" t="s">
        <v>237</v>
      </c>
      <c r="D21" s="2"/>
      <c r="E21" s="50"/>
      <c r="F21" s="14"/>
      <c r="G21" s="14">
        <f>SUM(G19:G20)</f>
        <v>135.02000000000001</v>
      </c>
      <c r="H21" s="46">
        <f>G21/G25</f>
        <v>0.96491102694204001</v>
      </c>
      <c r="I21" s="14"/>
      <c r="J21" s="14">
        <f>SUM(J19:J20)</f>
        <v>1818.69</v>
      </c>
      <c r="L21" s="47"/>
    </row>
    <row r="22" spans="1:12" s="1" customFormat="1" ht="14.25" customHeight="1" outlineLevel="1" x14ac:dyDescent="0.2">
      <c r="A22" s="2">
        <v>5</v>
      </c>
      <c r="B22" s="49" t="s">
        <v>73</v>
      </c>
      <c r="C22" s="3" t="s">
        <v>74</v>
      </c>
      <c r="D22" s="2" t="s">
        <v>70</v>
      </c>
      <c r="E22" s="48">
        <v>0.05</v>
      </c>
      <c r="F22" s="9">
        <v>89.99</v>
      </c>
      <c r="G22" s="14">
        <f>ROUND(E22*F22,2)</f>
        <v>4.5</v>
      </c>
      <c r="H22" s="46">
        <f>G22/$G$25</f>
        <v>3.2158936611163001E-2</v>
      </c>
      <c r="I22" s="14">
        <f>ROUND(F22*Прил.10!$D$11,2)</f>
        <v>1212.17</v>
      </c>
      <c r="J22" s="14">
        <f>ROUND(I22*E22,2)</f>
        <v>60.61</v>
      </c>
      <c r="L22" s="47"/>
    </row>
    <row r="23" spans="1:12" s="1" customFormat="1" ht="38.25" customHeight="1" outlineLevel="1" x14ac:dyDescent="0.2">
      <c r="A23" s="2">
        <v>6</v>
      </c>
      <c r="B23" s="49" t="s">
        <v>75</v>
      </c>
      <c r="C23" s="3" t="s">
        <v>76</v>
      </c>
      <c r="D23" s="2" t="s">
        <v>70</v>
      </c>
      <c r="E23" s="48">
        <v>1.2999999999999999E-2</v>
      </c>
      <c r="F23" s="9">
        <v>31.26</v>
      </c>
      <c r="G23" s="14">
        <f>ROUND(E23*F23,2)</f>
        <v>0.41</v>
      </c>
      <c r="H23" s="46">
        <f>G23/$G$25</f>
        <v>2.9300364467948E-3</v>
      </c>
      <c r="I23" s="14">
        <f>ROUND(F23*Прил.10!$D$11,2)</f>
        <v>421.07</v>
      </c>
      <c r="J23" s="14">
        <f>ROUND(I23*E23,2)</f>
        <v>5.47</v>
      </c>
      <c r="L23" s="47"/>
    </row>
    <row r="24" spans="1:12" s="1" customFormat="1" ht="14.25" customHeight="1" x14ac:dyDescent="0.2">
      <c r="A24" s="2"/>
      <c r="B24" s="2"/>
      <c r="C24" s="3" t="s">
        <v>238</v>
      </c>
      <c r="D24" s="2"/>
      <c r="E24" s="51"/>
      <c r="F24" s="14"/>
      <c r="G24" s="14">
        <f>SUM(G22:G23)</f>
        <v>4.91</v>
      </c>
      <c r="H24" s="46">
        <f>G24/G25</f>
        <v>3.5088973057958002E-2</v>
      </c>
      <c r="I24" s="14"/>
      <c r="J24" s="14">
        <f>SUM(J22:J23)</f>
        <v>66.08</v>
      </c>
      <c r="K24" s="47"/>
      <c r="L24" s="66"/>
    </row>
    <row r="25" spans="1:12" s="1" customFormat="1" ht="25.5" customHeight="1" x14ac:dyDescent="0.2">
      <c r="A25" s="2"/>
      <c r="B25" s="52"/>
      <c r="C25" s="53" t="s">
        <v>239</v>
      </c>
      <c r="D25" s="52"/>
      <c r="E25" s="54"/>
      <c r="F25" s="55"/>
      <c r="G25" s="55">
        <f>G21+G24</f>
        <v>139.93</v>
      </c>
      <c r="H25" s="56">
        <v>1</v>
      </c>
      <c r="I25" s="55"/>
      <c r="J25" s="55">
        <f>J21+J24</f>
        <v>1884.77</v>
      </c>
    </row>
    <row r="26" spans="1:12" x14ac:dyDescent="0.25">
      <c r="A26" s="69"/>
      <c r="B26" s="128" t="s">
        <v>240</v>
      </c>
      <c r="C26" s="128"/>
      <c r="D26" s="128"/>
      <c r="E26" s="128"/>
      <c r="F26" s="128"/>
      <c r="G26" s="128"/>
      <c r="H26" s="128"/>
      <c r="I26" s="128"/>
      <c r="J26" s="128"/>
    </row>
    <row r="27" spans="1:12" ht="15" customHeight="1" x14ac:dyDescent="0.25">
      <c r="A27" s="2"/>
      <c r="B27" s="123" t="s">
        <v>241</v>
      </c>
      <c r="C27" s="123"/>
      <c r="D27" s="123"/>
      <c r="E27" s="123"/>
      <c r="F27" s="123"/>
      <c r="G27" s="123"/>
      <c r="H27" s="123"/>
      <c r="I27" s="123"/>
      <c r="J27" s="123"/>
    </row>
    <row r="28" spans="1:12" ht="25.5" customHeight="1" x14ac:dyDescent="0.25">
      <c r="A28" s="2">
        <v>7</v>
      </c>
      <c r="B28" s="49" t="s">
        <v>77</v>
      </c>
      <c r="C28" s="3" t="s">
        <v>78</v>
      </c>
      <c r="D28" s="2" t="s">
        <v>79</v>
      </c>
      <c r="E28" s="48">
        <v>1.6</v>
      </c>
      <c r="F28" s="4">
        <v>19707.400000000001</v>
      </c>
      <c r="G28" s="14">
        <f>ROUND(E28*F28,2)</f>
        <v>31531.84</v>
      </c>
      <c r="H28" s="46">
        <f t="shared" ref="H28:H39" si="0">G28/$G$40</f>
        <v>0.36750246356804001</v>
      </c>
      <c r="I28" s="4">
        <f>ROUND(F28*Прил.10!$D$13,2)</f>
        <v>123368.32000000001</v>
      </c>
      <c r="J28" s="14">
        <f>ROUND(I28*E28,2)</f>
        <v>197389.31</v>
      </c>
    </row>
    <row r="29" spans="1:12" ht="25.5" customHeight="1" x14ac:dyDescent="0.25">
      <c r="A29" s="2">
        <v>8</v>
      </c>
      <c r="B29" s="49" t="s">
        <v>242</v>
      </c>
      <c r="C29" s="3" t="s">
        <v>243</v>
      </c>
      <c r="D29" s="2" t="s">
        <v>82</v>
      </c>
      <c r="E29" s="48">
        <v>5</v>
      </c>
      <c r="F29" s="4">
        <v>5415.89</v>
      </c>
      <c r="G29" s="14">
        <f>ROUND(E29*F29,2)</f>
        <v>27079.45</v>
      </c>
      <c r="H29" s="46">
        <f t="shared" si="0"/>
        <v>0.31561001790784998</v>
      </c>
      <c r="I29" s="4">
        <f>ROUND(F29*Прил.10!$D$13,2)</f>
        <v>33903.47</v>
      </c>
      <c r="J29" s="14">
        <f>ROUND(I29*E29,2)</f>
        <v>169517.35</v>
      </c>
    </row>
    <row r="30" spans="1:12" ht="25.5" customHeight="1" x14ac:dyDescent="0.25">
      <c r="A30" s="2">
        <v>9</v>
      </c>
      <c r="B30" s="49" t="s">
        <v>80</v>
      </c>
      <c r="C30" s="3" t="s">
        <v>81</v>
      </c>
      <c r="D30" s="2" t="s">
        <v>82</v>
      </c>
      <c r="E30" s="48">
        <v>8</v>
      </c>
      <c r="F30" s="4">
        <v>575.80999999999995</v>
      </c>
      <c r="G30" s="14">
        <f>ROUND(E30*F30,2)</f>
        <v>4606.4799999999996</v>
      </c>
      <c r="H30" s="46">
        <f t="shared" si="0"/>
        <v>5.3688359080119999E-2</v>
      </c>
      <c r="I30" s="4">
        <f>ROUND(F30*Прил.10!$D$13,2)</f>
        <v>3604.57</v>
      </c>
      <c r="J30" s="14">
        <f>ROUND(I30*E30,2)</f>
        <v>28836.560000000001</v>
      </c>
    </row>
    <row r="31" spans="1:12" x14ac:dyDescent="0.25">
      <c r="A31" s="70"/>
      <c r="B31" s="2"/>
      <c r="C31" s="3" t="s">
        <v>244</v>
      </c>
      <c r="D31" s="2"/>
      <c r="E31" s="48"/>
      <c r="F31" s="4"/>
      <c r="G31" s="14">
        <f>SUM(G28:G30)</f>
        <v>63217.77</v>
      </c>
      <c r="H31" s="46">
        <f t="shared" si="0"/>
        <v>0.73680084055601003</v>
      </c>
      <c r="I31" s="14"/>
      <c r="J31" s="14">
        <f>SUM(J28:J30)</f>
        <v>395743.22</v>
      </c>
      <c r="K31" s="47"/>
    </row>
    <row r="32" spans="1:12" ht="38.25" customHeight="1" outlineLevel="1" x14ac:dyDescent="0.25">
      <c r="A32" s="2">
        <v>10</v>
      </c>
      <c r="B32" s="65" t="s">
        <v>245</v>
      </c>
      <c r="C32" s="3" t="s">
        <v>246</v>
      </c>
      <c r="D32" s="2" t="s">
        <v>82</v>
      </c>
      <c r="E32" s="48">
        <v>3</v>
      </c>
      <c r="F32" s="4">
        <v>2122.7199999999998</v>
      </c>
      <c r="G32" s="14">
        <f t="shared" ref="G32:G38" si="1">ROUND(E32*F32,2)</f>
        <v>6368.16</v>
      </c>
      <c r="H32" s="46">
        <f t="shared" si="0"/>
        <v>7.4220676255982998E-2</v>
      </c>
      <c r="I32" s="4">
        <f>ROUND(F32*Прил.10!$D$13,2)</f>
        <v>13288.23</v>
      </c>
      <c r="J32" s="14">
        <f t="shared" ref="J32:J38" si="2">ROUND(I32*E32,2)</f>
        <v>39864.69</v>
      </c>
      <c r="K32" s="47"/>
    </row>
    <row r="33" spans="1:12" ht="25.5" customHeight="1" outlineLevel="1" x14ac:dyDescent="0.25">
      <c r="A33" s="2">
        <v>11</v>
      </c>
      <c r="B33" s="65" t="s">
        <v>247</v>
      </c>
      <c r="C33" s="3" t="s">
        <v>248</v>
      </c>
      <c r="D33" s="2" t="s">
        <v>82</v>
      </c>
      <c r="E33" s="48">
        <v>7</v>
      </c>
      <c r="F33" s="4">
        <v>615.58000000000004</v>
      </c>
      <c r="G33" s="14">
        <f t="shared" si="1"/>
        <v>4309.0600000000004</v>
      </c>
      <c r="H33" s="46">
        <f t="shared" si="0"/>
        <v>5.0221939654092003E-2</v>
      </c>
      <c r="I33" s="4">
        <f>ROUND(F33*Прил.10!$D$13,2)</f>
        <v>3853.53</v>
      </c>
      <c r="J33" s="14">
        <f t="shared" si="2"/>
        <v>26974.71</v>
      </c>
      <c r="K33" s="47"/>
    </row>
    <row r="34" spans="1:12" ht="38.25" customHeight="1" outlineLevel="1" x14ac:dyDescent="0.25">
      <c r="A34" s="2">
        <v>12</v>
      </c>
      <c r="B34" s="65" t="s">
        <v>249</v>
      </c>
      <c r="C34" s="3" t="s">
        <v>250</v>
      </c>
      <c r="D34" s="2" t="s">
        <v>82</v>
      </c>
      <c r="E34" s="48">
        <v>2</v>
      </c>
      <c r="F34" s="4">
        <v>2122.7199999999998</v>
      </c>
      <c r="G34" s="14">
        <f t="shared" si="1"/>
        <v>4245.4399999999996</v>
      </c>
      <c r="H34" s="46">
        <f t="shared" si="0"/>
        <v>4.9480450837321999E-2</v>
      </c>
      <c r="I34" s="4">
        <f>ROUND(F34*Прил.10!$D$13,2)</f>
        <v>13288.23</v>
      </c>
      <c r="J34" s="14">
        <f t="shared" si="2"/>
        <v>26576.46</v>
      </c>
      <c r="K34" s="47"/>
    </row>
    <row r="35" spans="1:12" ht="25.5" customHeight="1" outlineLevel="1" x14ac:dyDescent="0.25">
      <c r="A35" s="2">
        <v>13</v>
      </c>
      <c r="B35" s="65" t="s">
        <v>251</v>
      </c>
      <c r="C35" s="3" t="s">
        <v>252</v>
      </c>
      <c r="D35" s="2" t="s">
        <v>82</v>
      </c>
      <c r="E35" s="48">
        <v>1</v>
      </c>
      <c r="F35" s="4">
        <v>3451.57</v>
      </c>
      <c r="G35" s="14">
        <f t="shared" si="1"/>
        <v>3451.57</v>
      </c>
      <c r="H35" s="46">
        <f t="shared" si="0"/>
        <v>4.0227924478164E-2</v>
      </c>
      <c r="I35" s="4">
        <f>ROUND(F35*Прил.10!$D$13,2)</f>
        <v>21606.83</v>
      </c>
      <c r="J35" s="14">
        <f t="shared" si="2"/>
        <v>21606.83</v>
      </c>
      <c r="K35" s="47"/>
    </row>
    <row r="36" spans="1:12" ht="25.5" customHeight="1" outlineLevel="1" x14ac:dyDescent="0.25">
      <c r="A36" s="2">
        <v>14</v>
      </c>
      <c r="B36" s="65" t="s">
        <v>87</v>
      </c>
      <c r="C36" s="3" t="s">
        <v>88</v>
      </c>
      <c r="D36" s="2" t="s">
        <v>82</v>
      </c>
      <c r="E36" s="48">
        <v>1</v>
      </c>
      <c r="F36" s="4">
        <v>2061.4</v>
      </c>
      <c r="G36" s="14">
        <f t="shared" si="1"/>
        <v>2061.4</v>
      </c>
      <c r="H36" s="46">
        <f t="shared" si="0"/>
        <v>2.4025543019347E-2</v>
      </c>
      <c r="I36" s="4">
        <f>ROUND(F36*Прил.10!$D$13,2)</f>
        <v>12904.36</v>
      </c>
      <c r="J36" s="14">
        <f t="shared" si="2"/>
        <v>12904.36</v>
      </c>
      <c r="K36" s="47"/>
    </row>
    <row r="37" spans="1:12" ht="25.5" customHeight="1" outlineLevel="1" x14ac:dyDescent="0.25">
      <c r="A37" s="2">
        <v>15</v>
      </c>
      <c r="B37" s="65" t="s">
        <v>253</v>
      </c>
      <c r="C37" s="3" t="s">
        <v>254</v>
      </c>
      <c r="D37" s="2" t="s">
        <v>82</v>
      </c>
      <c r="E37" s="48">
        <v>7</v>
      </c>
      <c r="F37" s="4">
        <v>283.18</v>
      </c>
      <c r="G37" s="14">
        <f t="shared" si="1"/>
        <v>1982.26</v>
      </c>
      <c r="H37" s="46">
        <f t="shared" si="0"/>
        <v>2.3103169159565999E-2</v>
      </c>
      <c r="I37" s="4">
        <f>ROUND(F37*Прил.10!$D$13,2)</f>
        <v>1772.71</v>
      </c>
      <c r="J37" s="14">
        <f t="shared" si="2"/>
        <v>12408.97</v>
      </c>
      <c r="K37" s="47"/>
    </row>
    <row r="38" spans="1:12" ht="25.5" customHeight="1" outlineLevel="1" x14ac:dyDescent="0.25">
      <c r="A38" s="2">
        <v>16</v>
      </c>
      <c r="B38" s="65" t="s">
        <v>95</v>
      </c>
      <c r="C38" s="3" t="s">
        <v>96</v>
      </c>
      <c r="D38" s="2" t="s">
        <v>82</v>
      </c>
      <c r="E38" s="48">
        <v>1</v>
      </c>
      <c r="F38" s="4">
        <v>164.69</v>
      </c>
      <c r="G38" s="14">
        <f t="shared" si="1"/>
        <v>164.69</v>
      </c>
      <c r="H38" s="46">
        <f t="shared" si="0"/>
        <v>1.9194560395149999E-3</v>
      </c>
      <c r="I38" s="4">
        <f>ROUND(F38*Прил.10!$D$13,2)</f>
        <v>1030.96</v>
      </c>
      <c r="J38" s="14">
        <f t="shared" si="2"/>
        <v>1030.96</v>
      </c>
      <c r="K38" s="47"/>
    </row>
    <row r="39" spans="1:12" x14ac:dyDescent="0.25">
      <c r="A39" s="70"/>
      <c r="B39" s="2"/>
      <c r="C39" s="3" t="s">
        <v>255</v>
      </c>
      <c r="D39" s="2"/>
      <c r="E39" s="51"/>
      <c r="F39" s="4"/>
      <c r="G39" s="14">
        <f>SUM(G32:G38)</f>
        <v>22582.58</v>
      </c>
      <c r="H39" s="46">
        <f t="shared" si="0"/>
        <v>0.26319915944399003</v>
      </c>
      <c r="I39" s="14"/>
      <c r="J39" s="14">
        <f>SUM(J32:J38)</f>
        <v>141366.98000000001</v>
      </c>
      <c r="K39" s="47"/>
      <c r="L39" s="88"/>
    </row>
    <row r="40" spans="1:12" x14ac:dyDescent="0.25">
      <c r="A40" s="2"/>
      <c r="B40" s="2"/>
      <c r="C40" s="5" t="s">
        <v>256</v>
      </c>
      <c r="D40" s="2"/>
      <c r="E40" s="51"/>
      <c r="F40" s="4"/>
      <c r="G40" s="14">
        <f>G31+G39</f>
        <v>85800.35</v>
      </c>
      <c r="H40" s="46">
        <f>(G31+G39)/G40</f>
        <v>1</v>
      </c>
      <c r="I40" s="14"/>
      <c r="J40" s="14">
        <f>J39+J31</f>
        <v>537110.19999999995</v>
      </c>
      <c r="K40" s="47"/>
    </row>
    <row r="41" spans="1:12" ht="25.5" customHeight="1" x14ac:dyDescent="0.25">
      <c r="A41" s="2"/>
      <c r="B41" s="2"/>
      <c r="C41" s="3" t="s">
        <v>257</v>
      </c>
      <c r="D41" s="2"/>
      <c r="E41" s="51"/>
      <c r="F41" s="4"/>
      <c r="G41" s="14">
        <f>'Прил.6 Расчет ОБ'!G24</f>
        <v>85800.35</v>
      </c>
      <c r="H41" s="46">
        <f>G41/$G$40</f>
        <v>1</v>
      </c>
      <c r="I41" s="14"/>
      <c r="J41" s="14">
        <f>ROUND(G41*Прил.10!$D$13,2)</f>
        <v>537110.18999999994</v>
      </c>
      <c r="K41" s="47"/>
    </row>
    <row r="42" spans="1:12" s="1" customFormat="1" ht="14.25" customHeight="1" x14ac:dyDescent="0.2">
      <c r="A42" s="68"/>
      <c r="B42" s="129" t="s">
        <v>99</v>
      </c>
      <c r="C42" s="130"/>
      <c r="D42" s="130"/>
      <c r="E42" s="130"/>
      <c r="F42" s="130"/>
      <c r="G42" s="130"/>
      <c r="H42" s="130"/>
      <c r="I42" s="130"/>
      <c r="J42" s="131"/>
      <c r="K42" s="47"/>
    </row>
    <row r="43" spans="1:12" s="1" customFormat="1" ht="14.25" customHeight="1" x14ac:dyDescent="0.2">
      <c r="A43" s="2"/>
      <c r="B43" s="123" t="s">
        <v>258</v>
      </c>
      <c r="C43" s="123"/>
      <c r="D43" s="124"/>
      <c r="E43" s="125"/>
      <c r="F43" s="126"/>
      <c r="G43" s="126"/>
      <c r="H43" s="127"/>
      <c r="I43" s="46"/>
      <c r="J43" s="46"/>
    </row>
    <row r="44" spans="1:12" s="1" customFormat="1" ht="14.25" customHeight="1" x14ac:dyDescent="0.2">
      <c r="A44" s="2">
        <v>17</v>
      </c>
      <c r="B44" s="49" t="s">
        <v>100</v>
      </c>
      <c r="C44" s="3" t="s">
        <v>101</v>
      </c>
      <c r="D44" s="2" t="s">
        <v>102</v>
      </c>
      <c r="E44" s="48">
        <v>0.23</v>
      </c>
      <c r="F44" s="9">
        <v>4760.47</v>
      </c>
      <c r="G44" s="14">
        <f>ROUND(E44*F44,2)</f>
        <v>1094.9100000000001</v>
      </c>
      <c r="H44" s="46">
        <f t="shared" ref="H44:H82" si="3">G44/$G$84</f>
        <v>0.39237476124094001</v>
      </c>
      <c r="I44" s="14">
        <f>ROUND(F44*Прил.10!$D$12,2)</f>
        <v>38274.18</v>
      </c>
      <c r="J44" s="14">
        <f>ROUND(I44*E44,2)</f>
        <v>8803.06</v>
      </c>
    </row>
    <row r="45" spans="1:12" s="1" customFormat="1" ht="25.5" customHeight="1" x14ac:dyDescent="0.2">
      <c r="A45" s="2">
        <v>18</v>
      </c>
      <c r="B45" s="49" t="s">
        <v>103</v>
      </c>
      <c r="C45" s="3" t="s">
        <v>104</v>
      </c>
      <c r="D45" s="2" t="s">
        <v>102</v>
      </c>
      <c r="E45" s="48">
        <v>0.17499999999999999</v>
      </c>
      <c r="F45" s="9">
        <v>4863.9799999999996</v>
      </c>
      <c r="G45" s="14">
        <f>ROUND(E45*F45,2)</f>
        <v>851.2</v>
      </c>
      <c r="H45" s="46">
        <f t="shared" si="3"/>
        <v>0.30503821936806003</v>
      </c>
      <c r="I45" s="14">
        <f>ROUND(F45*Прил.10!$D$12,2)</f>
        <v>39106.400000000001</v>
      </c>
      <c r="J45" s="14">
        <f>ROUND(I45*E45,2)</f>
        <v>6843.62</v>
      </c>
    </row>
    <row r="46" spans="1:12" s="1" customFormat="1" ht="25.5" customHeight="1" x14ac:dyDescent="0.2">
      <c r="A46" s="2">
        <v>19</v>
      </c>
      <c r="B46" s="49" t="s">
        <v>105</v>
      </c>
      <c r="C46" s="3" t="s">
        <v>106</v>
      </c>
      <c r="D46" s="2" t="s">
        <v>102</v>
      </c>
      <c r="E46" s="48">
        <v>0.15</v>
      </c>
      <c r="F46" s="9">
        <v>1361.22</v>
      </c>
      <c r="G46" s="14">
        <f>ROUND(E46*F46,2)</f>
        <v>204.18</v>
      </c>
      <c r="H46" s="46">
        <f t="shared" si="3"/>
        <v>7.3170469490802997E-2</v>
      </c>
      <c r="I46" s="14">
        <f>ROUND(F46*Прил.10!$D$12,2)</f>
        <v>10944.21</v>
      </c>
      <c r="J46" s="14">
        <f>ROUND(I46*E46,2)</f>
        <v>1641.63</v>
      </c>
    </row>
    <row r="47" spans="1:12" s="1" customFormat="1" ht="14.25" customHeight="1" x14ac:dyDescent="0.2">
      <c r="A47" s="2">
        <v>20</v>
      </c>
      <c r="B47" s="49" t="s">
        <v>107</v>
      </c>
      <c r="C47" s="3" t="s">
        <v>108</v>
      </c>
      <c r="D47" s="2" t="s">
        <v>109</v>
      </c>
      <c r="E47" s="48">
        <v>130</v>
      </c>
      <c r="F47" s="9">
        <v>1.1499999999999999</v>
      </c>
      <c r="G47" s="14">
        <f>ROUND(E47*F47,2)</f>
        <v>149.5</v>
      </c>
      <c r="H47" s="46">
        <f t="shared" si="3"/>
        <v>5.3575204177074003E-2</v>
      </c>
      <c r="I47" s="14">
        <f>ROUND(F47*Прил.10!$D$12,2)</f>
        <v>9.25</v>
      </c>
      <c r="J47" s="14">
        <f>ROUND(I47*E47,2)</f>
        <v>1202.5</v>
      </c>
    </row>
    <row r="48" spans="1:12" s="1" customFormat="1" ht="25.5" customHeight="1" x14ac:dyDescent="0.2">
      <c r="A48" s="2">
        <v>21</v>
      </c>
      <c r="B48" s="49" t="s">
        <v>110</v>
      </c>
      <c r="C48" s="3" t="s">
        <v>111</v>
      </c>
      <c r="D48" s="2" t="s">
        <v>112</v>
      </c>
      <c r="E48" s="48">
        <v>6.0000000000000001E-3</v>
      </c>
      <c r="F48" s="9">
        <v>15481</v>
      </c>
      <c r="G48" s="14">
        <f>ROUND(E48*F48,2)</f>
        <v>92.89</v>
      </c>
      <c r="H48" s="46">
        <f t="shared" si="3"/>
        <v>3.3288299103735E-2</v>
      </c>
      <c r="I48" s="14">
        <f>ROUND(F48*Прил.10!$D$12,2)</f>
        <v>124467.24</v>
      </c>
      <c r="J48" s="14">
        <f>ROUND(I48*E48,2)</f>
        <v>746.8</v>
      </c>
    </row>
    <row r="49" spans="1:11" s="1" customFormat="1" ht="14.25" customHeight="1" x14ac:dyDescent="0.2">
      <c r="B49" s="2"/>
      <c r="C49" s="3" t="s">
        <v>259</v>
      </c>
      <c r="D49" s="2"/>
      <c r="E49" s="48"/>
      <c r="F49" s="4"/>
      <c r="G49" s="14">
        <f>SUM(G44:G48)</f>
        <v>2392.6799999999998</v>
      </c>
      <c r="H49" s="46">
        <f t="shared" si="3"/>
        <v>0.85744695338061006</v>
      </c>
      <c r="I49" s="14"/>
      <c r="J49" s="14">
        <f>SUM(J44:J48)</f>
        <v>19237.61</v>
      </c>
      <c r="K49" s="47"/>
    </row>
    <row r="50" spans="1:11" s="1" customFormat="1" ht="25.5" customHeight="1" outlineLevel="1" x14ac:dyDescent="0.2">
      <c r="A50" s="2">
        <v>22</v>
      </c>
      <c r="B50" s="65" t="s">
        <v>113</v>
      </c>
      <c r="C50" s="3" t="s">
        <v>114</v>
      </c>
      <c r="D50" s="2" t="s">
        <v>115</v>
      </c>
      <c r="E50" s="48">
        <v>0.62</v>
      </c>
      <c r="F50" s="9">
        <v>83</v>
      </c>
      <c r="G50" s="14">
        <f t="shared" ref="G50:G82" si="4">ROUND(F50*E50,2)</f>
        <v>51.46</v>
      </c>
      <c r="H50" s="46">
        <f t="shared" si="3"/>
        <v>1.8441337839144999E-2</v>
      </c>
      <c r="I50" s="14">
        <f>ROUND(F50*Прил.10!$D$12,2)</f>
        <v>667.32</v>
      </c>
      <c r="J50" s="14">
        <f t="shared" ref="J50:J82" si="5">ROUND(I50*E50,2)</f>
        <v>413.74</v>
      </c>
    </row>
    <row r="51" spans="1:11" s="1" customFormat="1" ht="25.5" customHeight="1" outlineLevel="1" x14ac:dyDescent="0.2">
      <c r="A51" s="2">
        <v>23</v>
      </c>
      <c r="B51" s="49" t="s">
        <v>116</v>
      </c>
      <c r="C51" s="3" t="s">
        <v>117</v>
      </c>
      <c r="D51" s="2" t="s">
        <v>118</v>
      </c>
      <c r="E51" s="48">
        <v>0.26</v>
      </c>
      <c r="F51" s="9">
        <v>180</v>
      </c>
      <c r="G51" s="14">
        <f t="shared" si="4"/>
        <v>46.8</v>
      </c>
      <c r="H51" s="46">
        <f t="shared" si="3"/>
        <v>1.6771368264127999E-2</v>
      </c>
      <c r="I51" s="14">
        <f>ROUND(F51*Прил.10!$D$12,2)</f>
        <v>1447.2</v>
      </c>
      <c r="J51" s="14">
        <f t="shared" si="5"/>
        <v>376.27</v>
      </c>
    </row>
    <row r="52" spans="1:11" s="1" customFormat="1" ht="25.5" customHeight="1" outlineLevel="1" x14ac:dyDescent="0.2">
      <c r="A52" s="2">
        <v>24</v>
      </c>
      <c r="B52" s="49" t="s">
        <v>119</v>
      </c>
      <c r="C52" s="3" t="s">
        <v>120</v>
      </c>
      <c r="D52" s="2" t="s">
        <v>121</v>
      </c>
      <c r="E52" s="48">
        <v>38.481499999999997</v>
      </c>
      <c r="F52" s="9">
        <v>1</v>
      </c>
      <c r="G52" s="14">
        <f t="shared" si="4"/>
        <v>38.479999999999997</v>
      </c>
      <c r="H52" s="46">
        <f t="shared" si="3"/>
        <v>1.3789791683837999E-2</v>
      </c>
      <c r="I52" s="14">
        <f>ROUND(F52*Прил.10!$D$12,2)</f>
        <v>8.0399999999999991</v>
      </c>
      <c r="J52" s="14">
        <f t="shared" si="5"/>
        <v>309.39</v>
      </c>
    </row>
    <row r="53" spans="1:11" s="1" customFormat="1" ht="25.5" customHeight="1" outlineLevel="1" x14ac:dyDescent="0.2">
      <c r="A53" s="2">
        <v>25</v>
      </c>
      <c r="B53" s="49" t="s">
        <v>122</v>
      </c>
      <c r="C53" s="3" t="s">
        <v>123</v>
      </c>
      <c r="D53" s="2" t="s">
        <v>112</v>
      </c>
      <c r="E53" s="48">
        <v>4.64E-4</v>
      </c>
      <c r="F53" s="9">
        <v>65750</v>
      </c>
      <c r="G53" s="14">
        <f t="shared" si="4"/>
        <v>30.51</v>
      </c>
      <c r="H53" s="46">
        <f t="shared" si="3"/>
        <v>1.0933642002960001E-2</v>
      </c>
      <c r="I53" s="14">
        <f>ROUND(F53*Прил.10!$D$12,2)</f>
        <v>528630</v>
      </c>
      <c r="J53" s="14">
        <f t="shared" si="5"/>
        <v>245.28</v>
      </c>
    </row>
    <row r="54" spans="1:11" s="1" customFormat="1" ht="38.25" customHeight="1" outlineLevel="1" x14ac:dyDescent="0.2">
      <c r="A54" s="2">
        <v>26</v>
      </c>
      <c r="B54" s="49" t="s">
        <v>124</v>
      </c>
      <c r="C54" s="3" t="s">
        <v>125</v>
      </c>
      <c r="D54" s="2" t="s">
        <v>112</v>
      </c>
      <c r="E54" s="48">
        <v>4.0000000000000002E-4</v>
      </c>
      <c r="F54" s="9">
        <v>75162.289999999994</v>
      </c>
      <c r="G54" s="14">
        <f t="shared" si="4"/>
        <v>30.06</v>
      </c>
      <c r="H54" s="46">
        <f t="shared" si="3"/>
        <v>1.0772378846573999E-2</v>
      </c>
      <c r="I54" s="14">
        <f>ROUND(F54*Прил.10!$D$12,2)</f>
        <v>604304.81000000006</v>
      </c>
      <c r="J54" s="14">
        <f t="shared" si="5"/>
        <v>241.72</v>
      </c>
    </row>
    <row r="55" spans="1:11" s="1" customFormat="1" ht="38.25" customHeight="1" outlineLevel="1" x14ac:dyDescent="0.2">
      <c r="A55" s="2">
        <v>27</v>
      </c>
      <c r="B55" s="49" t="s">
        <v>126</v>
      </c>
      <c r="C55" s="3" t="s">
        <v>127</v>
      </c>
      <c r="D55" s="2" t="s">
        <v>128</v>
      </c>
      <c r="E55" s="48">
        <v>0.88800000000000001</v>
      </c>
      <c r="F55" s="9">
        <v>30.4</v>
      </c>
      <c r="G55" s="14">
        <f t="shared" si="4"/>
        <v>27</v>
      </c>
      <c r="H55" s="46">
        <f t="shared" si="3"/>
        <v>9.6757893831504998E-3</v>
      </c>
      <c r="I55" s="14">
        <f>ROUND(F55*Прил.10!$D$12,2)</f>
        <v>244.42</v>
      </c>
      <c r="J55" s="14">
        <f t="shared" si="5"/>
        <v>217.04</v>
      </c>
    </row>
    <row r="56" spans="1:11" s="1" customFormat="1" ht="14.25" customHeight="1" outlineLevel="1" x14ac:dyDescent="0.2">
      <c r="A56" s="2">
        <v>28</v>
      </c>
      <c r="B56" s="49" t="s">
        <v>129</v>
      </c>
      <c r="C56" s="3" t="s">
        <v>130</v>
      </c>
      <c r="D56" s="2" t="s">
        <v>128</v>
      </c>
      <c r="E56" s="48">
        <v>0.16</v>
      </c>
      <c r="F56" s="9">
        <v>155</v>
      </c>
      <c r="G56" s="14">
        <f t="shared" si="4"/>
        <v>24.8</v>
      </c>
      <c r="H56" s="46">
        <f t="shared" si="3"/>
        <v>8.8873917297086005E-3</v>
      </c>
      <c r="I56" s="14">
        <f>ROUND(F56*Прил.10!$D$12,2)</f>
        <v>1246.2</v>
      </c>
      <c r="J56" s="14">
        <f t="shared" si="5"/>
        <v>199.39</v>
      </c>
    </row>
    <row r="57" spans="1:11" s="1" customFormat="1" ht="14.25" customHeight="1" outlineLevel="1" x14ac:dyDescent="0.2">
      <c r="A57" s="2">
        <v>29</v>
      </c>
      <c r="B57" s="49" t="s">
        <v>131</v>
      </c>
      <c r="C57" s="3" t="s">
        <v>132</v>
      </c>
      <c r="D57" s="2" t="s">
        <v>115</v>
      </c>
      <c r="E57" s="48">
        <v>0.1</v>
      </c>
      <c r="F57" s="9">
        <v>203</v>
      </c>
      <c r="G57" s="14">
        <f t="shared" si="4"/>
        <v>20.3</v>
      </c>
      <c r="H57" s="46">
        <f t="shared" si="3"/>
        <v>7.2747601658501998E-3</v>
      </c>
      <c r="I57" s="14">
        <f>ROUND(F57*Прил.10!$D$12,2)</f>
        <v>1632.12</v>
      </c>
      <c r="J57" s="14">
        <f t="shared" si="5"/>
        <v>163.21</v>
      </c>
    </row>
    <row r="58" spans="1:11" s="1" customFormat="1" ht="14.25" customHeight="1" outlineLevel="1" x14ac:dyDescent="0.2">
      <c r="A58" s="2">
        <v>30</v>
      </c>
      <c r="B58" s="49" t="s">
        <v>133</v>
      </c>
      <c r="C58" s="3" t="s">
        <v>134</v>
      </c>
      <c r="D58" s="2" t="s">
        <v>135</v>
      </c>
      <c r="E58" s="48">
        <v>2.7749999999999999</v>
      </c>
      <c r="F58" s="9">
        <v>6.9</v>
      </c>
      <c r="G58" s="14">
        <f t="shared" si="4"/>
        <v>19.149999999999999</v>
      </c>
      <c r="H58" s="46">
        <f t="shared" si="3"/>
        <v>6.8626432106418996E-3</v>
      </c>
      <c r="I58" s="14">
        <f>ROUND(F58*Прил.10!$D$12,2)</f>
        <v>55.48</v>
      </c>
      <c r="J58" s="14">
        <f t="shared" si="5"/>
        <v>153.96</v>
      </c>
    </row>
    <row r="59" spans="1:11" s="1" customFormat="1" ht="14.25" customHeight="1" outlineLevel="1" x14ac:dyDescent="0.2">
      <c r="A59" s="2">
        <v>31</v>
      </c>
      <c r="B59" s="49" t="s">
        <v>136</v>
      </c>
      <c r="C59" s="3" t="s">
        <v>137</v>
      </c>
      <c r="D59" s="2" t="s">
        <v>112</v>
      </c>
      <c r="E59" s="48">
        <v>1.2999999999999999E-3</v>
      </c>
      <c r="F59" s="9">
        <v>12430</v>
      </c>
      <c r="G59" s="14">
        <f t="shared" si="4"/>
        <v>16.16</v>
      </c>
      <c r="H59" s="46">
        <f t="shared" si="3"/>
        <v>5.7911391271005001E-3</v>
      </c>
      <c r="I59" s="14">
        <f>ROUND(F59*Прил.10!$D$12,2)</f>
        <v>99937.2</v>
      </c>
      <c r="J59" s="14">
        <f t="shared" si="5"/>
        <v>129.91999999999999</v>
      </c>
    </row>
    <row r="60" spans="1:11" s="1" customFormat="1" ht="14.25" customHeight="1" outlineLevel="1" x14ac:dyDescent="0.2">
      <c r="A60" s="2">
        <v>32</v>
      </c>
      <c r="B60" s="49" t="s">
        <v>138</v>
      </c>
      <c r="C60" s="3" t="s">
        <v>139</v>
      </c>
      <c r="D60" s="2" t="s">
        <v>128</v>
      </c>
      <c r="E60" s="48">
        <v>1.38</v>
      </c>
      <c r="F60" s="9">
        <v>9.0399999999999991</v>
      </c>
      <c r="G60" s="14">
        <f t="shared" si="4"/>
        <v>12.48</v>
      </c>
      <c r="H60" s="46">
        <f t="shared" si="3"/>
        <v>4.4723648704340004E-3</v>
      </c>
      <c r="I60" s="14">
        <f>ROUND(F60*Прил.10!$D$12,2)</f>
        <v>72.680000000000007</v>
      </c>
      <c r="J60" s="14">
        <f t="shared" si="5"/>
        <v>100.3</v>
      </c>
    </row>
    <row r="61" spans="1:11" s="1" customFormat="1" ht="25.5" customHeight="1" outlineLevel="1" x14ac:dyDescent="0.2">
      <c r="A61" s="2">
        <v>33</v>
      </c>
      <c r="B61" s="49" t="s">
        <v>140</v>
      </c>
      <c r="C61" s="3" t="s">
        <v>141</v>
      </c>
      <c r="D61" s="2" t="s">
        <v>112</v>
      </c>
      <c r="E61" s="48">
        <v>9.7000000000000005E-4</v>
      </c>
      <c r="F61" s="9">
        <v>12606</v>
      </c>
      <c r="G61" s="14">
        <f t="shared" si="4"/>
        <v>12.23</v>
      </c>
      <c r="H61" s="46">
        <f t="shared" si="3"/>
        <v>4.3827742279974003E-3</v>
      </c>
      <c r="I61" s="14">
        <f>ROUND(F61*Прил.10!$D$12,2)</f>
        <v>101352.24</v>
      </c>
      <c r="J61" s="14">
        <f t="shared" si="5"/>
        <v>98.31</v>
      </c>
    </row>
    <row r="62" spans="1:11" s="1" customFormat="1" ht="38.25" customHeight="1" outlineLevel="1" x14ac:dyDescent="0.2">
      <c r="A62" s="2">
        <v>34</v>
      </c>
      <c r="B62" s="49" t="s">
        <v>142</v>
      </c>
      <c r="C62" s="3" t="s">
        <v>143</v>
      </c>
      <c r="D62" s="2" t="s">
        <v>112</v>
      </c>
      <c r="E62" s="48">
        <v>2.7999999999999998E-4</v>
      </c>
      <c r="F62" s="9">
        <v>37517</v>
      </c>
      <c r="G62" s="14">
        <f t="shared" si="4"/>
        <v>10.5</v>
      </c>
      <c r="H62" s="46">
        <f t="shared" si="3"/>
        <v>3.7628069823363E-3</v>
      </c>
      <c r="I62" s="14">
        <f>ROUND(F62*Прил.10!$D$12,2)</f>
        <v>301636.68</v>
      </c>
      <c r="J62" s="14">
        <f t="shared" si="5"/>
        <v>84.46</v>
      </c>
    </row>
    <row r="63" spans="1:11" s="1" customFormat="1" ht="14.25" customHeight="1" outlineLevel="1" x14ac:dyDescent="0.2">
      <c r="A63" s="2">
        <v>35</v>
      </c>
      <c r="B63" s="49" t="s">
        <v>144</v>
      </c>
      <c r="C63" s="3" t="s">
        <v>145</v>
      </c>
      <c r="D63" s="2" t="s">
        <v>112</v>
      </c>
      <c r="E63" s="48">
        <v>6.9999999999999999E-4</v>
      </c>
      <c r="F63" s="9">
        <v>12430</v>
      </c>
      <c r="G63" s="14">
        <f t="shared" si="4"/>
        <v>8.6999999999999993</v>
      </c>
      <c r="H63" s="46">
        <f t="shared" si="3"/>
        <v>3.1177543567928998E-3</v>
      </c>
      <c r="I63" s="14">
        <f>ROUND(F63*Прил.10!$D$12,2)</f>
        <v>99937.2</v>
      </c>
      <c r="J63" s="14">
        <f t="shared" si="5"/>
        <v>69.959999999999994</v>
      </c>
    </row>
    <row r="64" spans="1:11" s="1" customFormat="1" ht="14.25" customHeight="1" outlineLevel="1" x14ac:dyDescent="0.2">
      <c r="A64" s="2">
        <v>36</v>
      </c>
      <c r="B64" s="49" t="s">
        <v>146</v>
      </c>
      <c r="C64" s="3" t="s">
        <v>147</v>
      </c>
      <c r="D64" s="2" t="s">
        <v>128</v>
      </c>
      <c r="E64" s="48">
        <v>0.27750000000000002</v>
      </c>
      <c r="F64" s="9">
        <v>28.6</v>
      </c>
      <c r="G64" s="14">
        <f t="shared" si="4"/>
        <v>7.94</v>
      </c>
      <c r="H64" s="46">
        <f t="shared" si="3"/>
        <v>2.8453988037857002E-3</v>
      </c>
      <c r="I64" s="14">
        <f>ROUND(F64*Прил.10!$D$12,2)</f>
        <v>229.94</v>
      </c>
      <c r="J64" s="14">
        <f t="shared" si="5"/>
        <v>63.81</v>
      </c>
    </row>
    <row r="65" spans="1:10" s="1" customFormat="1" ht="14.25" customHeight="1" outlineLevel="1" x14ac:dyDescent="0.2">
      <c r="A65" s="2">
        <v>37</v>
      </c>
      <c r="B65" s="49" t="s">
        <v>148</v>
      </c>
      <c r="C65" s="3" t="s">
        <v>149</v>
      </c>
      <c r="D65" s="2" t="s">
        <v>112</v>
      </c>
      <c r="E65" s="48">
        <v>1.8000000000000001E-4</v>
      </c>
      <c r="F65" s="9">
        <v>42700.01</v>
      </c>
      <c r="G65" s="14">
        <f t="shared" si="4"/>
        <v>7.69</v>
      </c>
      <c r="H65" s="46">
        <f t="shared" si="3"/>
        <v>2.7558081613491998E-3</v>
      </c>
      <c r="I65" s="14">
        <f>ROUND(F65*Прил.10!$D$12,2)</f>
        <v>343308.08</v>
      </c>
      <c r="J65" s="14">
        <f t="shared" si="5"/>
        <v>61.8</v>
      </c>
    </row>
    <row r="66" spans="1:10" s="1" customFormat="1" ht="25.5" customHeight="1" outlineLevel="1" x14ac:dyDescent="0.2">
      <c r="A66" s="2">
        <v>38</v>
      </c>
      <c r="B66" s="49" t="s">
        <v>150</v>
      </c>
      <c r="C66" s="3" t="s">
        <v>151</v>
      </c>
      <c r="D66" s="2" t="s">
        <v>112</v>
      </c>
      <c r="E66" s="48">
        <v>6.0000000000000002E-5</v>
      </c>
      <c r="F66" s="9">
        <v>114220</v>
      </c>
      <c r="G66" s="14">
        <f t="shared" si="4"/>
        <v>6.85</v>
      </c>
      <c r="H66" s="46">
        <f t="shared" si="3"/>
        <v>2.4547836027623E-3</v>
      </c>
      <c r="I66" s="14">
        <f>ROUND(F66*Прил.10!$D$12,2)</f>
        <v>918328.8</v>
      </c>
      <c r="J66" s="14">
        <f t="shared" si="5"/>
        <v>55.1</v>
      </c>
    </row>
    <row r="67" spans="1:10" s="1" customFormat="1" ht="38.25" customHeight="1" outlineLevel="1" x14ac:dyDescent="0.2">
      <c r="A67" s="2">
        <v>39</v>
      </c>
      <c r="B67" s="49" t="s">
        <v>152</v>
      </c>
      <c r="C67" s="3" t="s">
        <v>153</v>
      </c>
      <c r="D67" s="2" t="s">
        <v>128</v>
      </c>
      <c r="E67" s="48">
        <v>0.05</v>
      </c>
      <c r="F67" s="9">
        <v>91.29</v>
      </c>
      <c r="G67" s="14">
        <f t="shared" si="4"/>
        <v>4.5599999999999996</v>
      </c>
      <c r="H67" s="46">
        <f t="shared" si="3"/>
        <v>1.6341333180431999E-3</v>
      </c>
      <c r="I67" s="14">
        <f>ROUND(F67*Прил.10!$D$12,2)</f>
        <v>733.97</v>
      </c>
      <c r="J67" s="14">
        <f t="shared" si="5"/>
        <v>36.700000000000003</v>
      </c>
    </row>
    <row r="68" spans="1:10" s="1" customFormat="1" ht="25.5" customHeight="1" outlineLevel="1" x14ac:dyDescent="0.2">
      <c r="A68" s="2">
        <v>40</v>
      </c>
      <c r="B68" s="49" t="s">
        <v>154</v>
      </c>
      <c r="C68" s="3" t="s">
        <v>155</v>
      </c>
      <c r="D68" s="2" t="s">
        <v>112</v>
      </c>
      <c r="E68" s="48">
        <v>4.0000000000000002E-4</v>
      </c>
      <c r="F68" s="9">
        <v>9800</v>
      </c>
      <c r="G68" s="14">
        <f t="shared" si="4"/>
        <v>3.92</v>
      </c>
      <c r="H68" s="46">
        <f t="shared" si="3"/>
        <v>1.4047812734055999E-3</v>
      </c>
      <c r="I68" s="14">
        <f>ROUND(F68*Прил.10!$D$12,2)</f>
        <v>78792</v>
      </c>
      <c r="J68" s="14">
        <f t="shared" si="5"/>
        <v>31.52</v>
      </c>
    </row>
    <row r="69" spans="1:10" s="1" customFormat="1" ht="14.25" customHeight="1" outlineLevel="1" x14ac:dyDescent="0.2">
      <c r="A69" s="2">
        <v>41</v>
      </c>
      <c r="B69" s="49" t="s">
        <v>156</v>
      </c>
      <c r="C69" s="3" t="s">
        <v>157</v>
      </c>
      <c r="D69" s="2" t="s">
        <v>128</v>
      </c>
      <c r="E69" s="48">
        <v>0.12</v>
      </c>
      <c r="F69" s="9">
        <v>28.26</v>
      </c>
      <c r="G69" s="14">
        <f t="shared" si="4"/>
        <v>3.39</v>
      </c>
      <c r="H69" s="46">
        <f t="shared" si="3"/>
        <v>1.2148491114400001E-3</v>
      </c>
      <c r="I69" s="14">
        <f>ROUND(F69*Прил.10!$D$12,2)</f>
        <v>227.21</v>
      </c>
      <c r="J69" s="14">
        <f t="shared" si="5"/>
        <v>27.27</v>
      </c>
    </row>
    <row r="70" spans="1:10" s="1" customFormat="1" ht="14.25" customHeight="1" outlineLevel="1" x14ac:dyDescent="0.2">
      <c r="A70" s="2">
        <v>42</v>
      </c>
      <c r="B70" s="49" t="s">
        <v>158</v>
      </c>
      <c r="C70" s="3" t="s">
        <v>159</v>
      </c>
      <c r="D70" s="2" t="s">
        <v>128</v>
      </c>
      <c r="E70" s="48">
        <v>1.8499999999999999E-2</v>
      </c>
      <c r="F70" s="9">
        <v>138.76</v>
      </c>
      <c r="G70" s="14">
        <f t="shared" si="4"/>
        <v>2.57</v>
      </c>
      <c r="H70" s="46">
        <f t="shared" si="3"/>
        <v>9.2099180424802995E-4</v>
      </c>
      <c r="I70" s="14">
        <f>ROUND(F70*Прил.10!$D$12,2)</f>
        <v>1115.6300000000001</v>
      </c>
      <c r="J70" s="14">
        <f t="shared" si="5"/>
        <v>20.64</v>
      </c>
    </row>
    <row r="71" spans="1:10" s="1" customFormat="1" ht="14.25" customHeight="1" outlineLevel="1" x14ac:dyDescent="0.2">
      <c r="A71" s="2">
        <v>43</v>
      </c>
      <c r="B71" s="49" t="s">
        <v>160</v>
      </c>
      <c r="C71" s="3" t="s">
        <v>161</v>
      </c>
      <c r="D71" s="2" t="s">
        <v>128</v>
      </c>
      <c r="E71" s="48">
        <v>0.05</v>
      </c>
      <c r="F71" s="9">
        <v>47.57</v>
      </c>
      <c r="G71" s="14">
        <f t="shared" si="4"/>
        <v>2.38</v>
      </c>
      <c r="H71" s="46">
        <f t="shared" si="3"/>
        <v>8.5290291599623004E-4</v>
      </c>
      <c r="I71" s="14">
        <f>ROUND(F71*Прил.10!$D$12,2)</f>
        <v>382.46</v>
      </c>
      <c r="J71" s="14">
        <f t="shared" si="5"/>
        <v>19.12</v>
      </c>
    </row>
    <row r="72" spans="1:10" s="1" customFormat="1" ht="14.25" customHeight="1" outlineLevel="1" x14ac:dyDescent="0.2">
      <c r="A72" s="2">
        <v>44</v>
      </c>
      <c r="B72" s="49" t="s">
        <v>162</v>
      </c>
      <c r="C72" s="3" t="s">
        <v>163</v>
      </c>
      <c r="D72" s="2" t="s">
        <v>128</v>
      </c>
      <c r="E72" s="48">
        <v>7.0000000000000007E-2</v>
      </c>
      <c r="F72" s="9">
        <v>28.93</v>
      </c>
      <c r="G72" s="14">
        <f t="shared" si="4"/>
        <v>2.0299999999999998</v>
      </c>
      <c r="H72" s="46">
        <f t="shared" si="3"/>
        <v>7.2747601658502005E-4</v>
      </c>
      <c r="I72" s="14">
        <f>ROUND(F72*Прил.10!$D$12,2)</f>
        <v>232.6</v>
      </c>
      <c r="J72" s="14">
        <f t="shared" si="5"/>
        <v>16.28</v>
      </c>
    </row>
    <row r="73" spans="1:10" s="1" customFormat="1" ht="14.25" customHeight="1" outlineLevel="1" x14ac:dyDescent="0.2">
      <c r="A73" s="2">
        <v>45</v>
      </c>
      <c r="B73" s="49" t="s">
        <v>164</v>
      </c>
      <c r="C73" s="3" t="s">
        <v>165</v>
      </c>
      <c r="D73" s="2" t="s">
        <v>115</v>
      </c>
      <c r="E73" s="48">
        <v>0.05</v>
      </c>
      <c r="F73" s="9">
        <v>30.74</v>
      </c>
      <c r="G73" s="14">
        <f t="shared" si="4"/>
        <v>1.54</v>
      </c>
      <c r="H73" s="46">
        <f t="shared" si="3"/>
        <v>5.5187835740933E-4</v>
      </c>
      <c r="I73" s="14">
        <f>ROUND(F73*Прил.10!$D$12,2)</f>
        <v>247.15</v>
      </c>
      <c r="J73" s="14">
        <f t="shared" si="5"/>
        <v>12.36</v>
      </c>
    </row>
    <row r="74" spans="1:10" s="1" customFormat="1" ht="38.25" customHeight="1" outlineLevel="1" x14ac:dyDescent="0.2">
      <c r="A74" s="2">
        <v>46</v>
      </c>
      <c r="B74" s="49" t="s">
        <v>166</v>
      </c>
      <c r="C74" s="3" t="s">
        <v>167</v>
      </c>
      <c r="D74" s="2" t="s">
        <v>168</v>
      </c>
      <c r="E74" s="48">
        <v>3.0000000000000001E-3</v>
      </c>
      <c r="F74" s="9">
        <v>405.22</v>
      </c>
      <c r="G74" s="14">
        <f t="shared" si="4"/>
        <v>1.22</v>
      </c>
      <c r="H74" s="46">
        <f t="shared" si="3"/>
        <v>4.3720233509049998E-4</v>
      </c>
      <c r="I74" s="14">
        <f>ROUND(F74*Прил.10!$D$12,2)</f>
        <v>3257.97</v>
      </c>
      <c r="J74" s="14">
        <f t="shared" si="5"/>
        <v>9.77</v>
      </c>
    </row>
    <row r="75" spans="1:10" s="1" customFormat="1" ht="14.25" customHeight="1" outlineLevel="1" x14ac:dyDescent="0.2">
      <c r="A75" s="2">
        <v>47</v>
      </c>
      <c r="B75" s="49" t="s">
        <v>169</v>
      </c>
      <c r="C75" s="3" t="s">
        <v>170</v>
      </c>
      <c r="D75" s="2" t="s">
        <v>128</v>
      </c>
      <c r="E75" s="48">
        <v>4.3200000000000002E-2</v>
      </c>
      <c r="F75" s="9">
        <v>27.74</v>
      </c>
      <c r="G75" s="14">
        <f t="shared" si="4"/>
        <v>1.2</v>
      </c>
      <c r="H75" s="46">
        <f t="shared" si="3"/>
        <v>4.3003508369557998E-4</v>
      </c>
      <c r="I75" s="14">
        <f>ROUND(F75*Прил.10!$D$12,2)</f>
        <v>223.03</v>
      </c>
      <c r="J75" s="14">
        <f t="shared" si="5"/>
        <v>9.6300000000000008</v>
      </c>
    </row>
    <row r="76" spans="1:10" s="1" customFormat="1" ht="25.5" customHeight="1" outlineLevel="1" x14ac:dyDescent="0.2">
      <c r="A76" s="2">
        <v>48</v>
      </c>
      <c r="B76" s="49" t="s">
        <v>171</v>
      </c>
      <c r="C76" s="3" t="s">
        <v>172</v>
      </c>
      <c r="D76" s="2" t="s">
        <v>128</v>
      </c>
      <c r="E76" s="48">
        <v>2.9940000000000001E-2</v>
      </c>
      <c r="F76" s="9">
        <v>38.340000000000003</v>
      </c>
      <c r="G76" s="14">
        <f t="shared" si="4"/>
        <v>1.1499999999999999</v>
      </c>
      <c r="H76" s="46">
        <f t="shared" si="3"/>
        <v>4.1211695520826001E-4</v>
      </c>
      <c r="I76" s="14">
        <f>ROUND(F76*Прил.10!$D$12,2)</f>
        <v>308.25</v>
      </c>
      <c r="J76" s="14">
        <f t="shared" si="5"/>
        <v>9.23</v>
      </c>
    </row>
    <row r="77" spans="1:10" s="1" customFormat="1" ht="25.5" customHeight="1" outlineLevel="1" x14ac:dyDescent="0.2">
      <c r="A77" s="2">
        <v>49</v>
      </c>
      <c r="B77" s="49" t="s">
        <v>173</v>
      </c>
      <c r="C77" s="3" t="s">
        <v>174</v>
      </c>
      <c r="D77" s="2" t="s">
        <v>128</v>
      </c>
      <c r="E77" s="48">
        <v>2.5999999999999999E-2</v>
      </c>
      <c r="F77" s="9">
        <v>39.020000000000003</v>
      </c>
      <c r="G77" s="14">
        <f t="shared" si="4"/>
        <v>1.01</v>
      </c>
      <c r="H77" s="46">
        <f t="shared" si="3"/>
        <v>3.6194619544378001E-4</v>
      </c>
      <c r="I77" s="14">
        <f>ROUND(F77*Прил.10!$D$12,2)</f>
        <v>313.72000000000003</v>
      </c>
      <c r="J77" s="14">
        <f t="shared" si="5"/>
        <v>8.16</v>
      </c>
    </row>
    <row r="78" spans="1:10" s="1" customFormat="1" ht="25.5" customHeight="1" outlineLevel="1" x14ac:dyDescent="0.2">
      <c r="A78" s="2">
        <v>50</v>
      </c>
      <c r="B78" s="49" t="s">
        <v>175</v>
      </c>
      <c r="C78" s="3" t="s">
        <v>176</v>
      </c>
      <c r="D78" s="2" t="s">
        <v>112</v>
      </c>
      <c r="E78" s="48">
        <v>1.0000000000000001E-5</v>
      </c>
      <c r="F78" s="9">
        <v>68050</v>
      </c>
      <c r="G78" s="14">
        <f t="shared" si="4"/>
        <v>0.68</v>
      </c>
      <c r="H78" s="46">
        <f t="shared" si="3"/>
        <v>2.4368654742748999E-4</v>
      </c>
      <c r="I78" s="14">
        <f>ROUND(F78*Прил.10!$D$12,2)</f>
        <v>547122</v>
      </c>
      <c r="J78" s="14">
        <f t="shared" si="5"/>
        <v>5.47</v>
      </c>
    </row>
    <row r="79" spans="1:10" s="1" customFormat="1" ht="25.5" customHeight="1" outlineLevel="1" x14ac:dyDescent="0.2">
      <c r="A79" s="2">
        <v>51</v>
      </c>
      <c r="B79" s="49" t="s">
        <v>177</v>
      </c>
      <c r="C79" s="3" t="s">
        <v>178</v>
      </c>
      <c r="D79" s="2" t="s">
        <v>112</v>
      </c>
      <c r="E79" s="48">
        <v>2.4000000000000001E-5</v>
      </c>
      <c r="F79" s="9">
        <v>22419</v>
      </c>
      <c r="G79" s="14">
        <f t="shared" si="4"/>
        <v>0.54</v>
      </c>
      <c r="H79" s="46">
        <f t="shared" si="3"/>
        <v>1.9351578766300999E-4</v>
      </c>
      <c r="I79" s="14">
        <f>ROUND(F79*Прил.10!$D$12,2)</f>
        <v>180248.76</v>
      </c>
      <c r="J79" s="14">
        <f t="shared" si="5"/>
        <v>4.33</v>
      </c>
    </row>
    <row r="80" spans="1:10" s="1" customFormat="1" ht="14.25" customHeight="1" outlineLevel="1" x14ac:dyDescent="0.2">
      <c r="A80" s="2">
        <v>52</v>
      </c>
      <c r="B80" s="49" t="s">
        <v>179</v>
      </c>
      <c r="C80" s="3" t="s">
        <v>180</v>
      </c>
      <c r="D80" s="2" t="s">
        <v>112</v>
      </c>
      <c r="E80" s="48">
        <v>3.6000000000000002E-4</v>
      </c>
      <c r="F80" s="9">
        <v>729.98</v>
      </c>
      <c r="G80" s="14">
        <f t="shared" si="4"/>
        <v>0.26</v>
      </c>
      <c r="H80" s="46">
        <f t="shared" si="3"/>
        <v>9.3174268134042001E-5</v>
      </c>
      <c r="I80" s="14">
        <f>ROUND(F80*Прил.10!$D$12,2)</f>
        <v>5869.04</v>
      </c>
      <c r="J80" s="14">
        <f t="shared" si="5"/>
        <v>2.11</v>
      </c>
    </row>
    <row r="81" spans="1:12" s="1" customFormat="1" ht="14.25" customHeight="1" outlineLevel="1" x14ac:dyDescent="0.2">
      <c r="A81" s="2">
        <v>53</v>
      </c>
      <c r="B81" s="49" t="s">
        <v>181</v>
      </c>
      <c r="C81" s="3" t="s">
        <v>182</v>
      </c>
      <c r="D81" s="2" t="s">
        <v>128</v>
      </c>
      <c r="E81" s="48">
        <v>6.0000000000000001E-3</v>
      </c>
      <c r="F81" s="9">
        <v>35.630000000000003</v>
      </c>
      <c r="G81" s="14">
        <f t="shared" si="4"/>
        <v>0.21</v>
      </c>
      <c r="H81" s="46">
        <f t="shared" si="3"/>
        <v>7.5256139646725999E-5</v>
      </c>
      <c r="I81" s="14">
        <f>ROUND(F81*Прил.10!$D$12,2)</f>
        <v>286.47000000000003</v>
      </c>
      <c r="J81" s="14">
        <f t="shared" si="5"/>
        <v>1.72</v>
      </c>
    </row>
    <row r="82" spans="1:12" s="1" customFormat="1" ht="14.25" customHeight="1" outlineLevel="1" x14ac:dyDescent="0.2">
      <c r="A82" s="2">
        <v>54</v>
      </c>
      <c r="B82" s="49" t="s">
        <v>183</v>
      </c>
      <c r="C82" s="3" t="s">
        <v>184</v>
      </c>
      <c r="D82" s="2" t="s">
        <v>185</v>
      </c>
      <c r="E82" s="48">
        <v>0.06</v>
      </c>
      <c r="F82" s="9">
        <v>0.4</v>
      </c>
      <c r="G82" s="14">
        <f t="shared" si="4"/>
        <v>0.02</v>
      </c>
      <c r="H82" s="46">
        <f t="shared" si="3"/>
        <v>7.1672513949262996E-6</v>
      </c>
      <c r="I82" s="14">
        <f>ROUND(F82*Прил.10!$D$12,2)</f>
        <v>3.22</v>
      </c>
      <c r="J82" s="14">
        <f t="shared" si="5"/>
        <v>0.19</v>
      </c>
    </row>
    <row r="83" spans="1:12" s="1" customFormat="1" x14ac:dyDescent="0.25">
      <c r="A83" s="2"/>
      <c r="B83" s="2"/>
      <c r="C83" s="3" t="s">
        <v>260</v>
      </c>
      <c r="D83" s="2"/>
      <c r="E83" s="51"/>
      <c r="F83" s="4"/>
      <c r="G83" s="14">
        <f>SUM(G50:G82)</f>
        <v>397.79</v>
      </c>
      <c r="H83" s="46">
        <f>G83/G84</f>
        <v>0.14255304661939</v>
      </c>
      <c r="I83" s="14"/>
      <c r="J83" s="14">
        <f>SUM(J50:J82)</f>
        <v>3198.16</v>
      </c>
      <c r="L83" s="88"/>
    </row>
    <row r="84" spans="1:12" s="1" customFormat="1" ht="14.25" customHeight="1" x14ac:dyDescent="0.2">
      <c r="A84" s="2"/>
      <c r="B84" s="2"/>
      <c r="C84" s="5" t="s">
        <v>261</v>
      </c>
      <c r="D84" s="2"/>
      <c r="E84" s="51"/>
      <c r="F84" s="4"/>
      <c r="G84" s="14">
        <f>G49+G83</f>
        <v>2790.47</v>
      </c>
      <c r="H84" s="46">
        <v>1</v>
      </c>
      <c r="I84" s="4"/>
      <c r="J84" s="14">
        <f>J49+J83</f>
        <v>22435.77</v>
      </c>
      <c r="K84" s="47"/>
    </row>
    <row r="85" spans="1:12" s="1" customFormat="1" ht="14.25" customHeight="1" x14ac:dyDescent="0.2">
      <c r="A85" s="2"/>
      <c r="B85" s="2"/>
      <c r="C85" s="3" t="s">
        <v>262</v>
      </c>
      <c r="D85" s="2"/>
      <c r="E85" s="51"/>
      <c r="F85" s="4"/>
      <c r="G85" s="14">
        <f>G14+G25+G84</f>
        <v>4855.3900000000003</v>
      </c>
      <c r="H85" s="46"/>
      <c r="I85" s="4"/>
      <c r="J85" s="14">
        <f>J14+J25+J84</f>
        <v>113213.24</v>
      </c>
    </row>
    <row r="86" spans="1:12" s="1" customFormat="1" ht="14.25" customHeight="1" x14ac:dyDescent="0.2">
      <c r="A86" s="2"/>
      <c r="B86" s="2"/>
      <c r="C86" s="3" t="s">
        <v>263</v>
      </c>
      <c r="D86" s="2" t="s">
        <v>264</v>
      </c>
      <c r="E86" s="57">
        <f>ROUND(G86/(G14+G16),2)</f>
        <v>0.94</v>
      </c>
      <c r="F86" s="4"/>
      <c r="G86" s="14">
        <v>1818.61</v>
      </c>
      <c r="H86" s="46"/>
      <c r="I86" s="4"/>
      <c r="J86" s="14">
        <f>ROUND(E86*(J14+J16),2)</f>
        <v>84375.13</v>
      </c>
      <c r="K86" s="58"/>
    </row>
    <row r="87" spans="1:12" s="1" customFormat="1" ht="14.25" customHeight="1" x14ac:dyDescent="0.2">
      <c r="A87" s="2"/>
      <c r="B87" s="2"/>
      <c r="C87" s="3" t="s">
        <v>265</v>
      </c>
      <c r="D87" s="2" t="s">
        <v>264</v>
      </c>
      <c r="E87" s="57">
        <f>ROUND(G87/(G14+G16),2)</f>
        <v>0.49</v>
      </c>
      <c r="F87" s="4"/>
      <c r="G87" s="14">
        <v>961.74</v>
      </c>
      <c r="H87" s="46"/>
      <c r="I87" s="4"/>
      <c r="J87" s="14">
        <f>ROUND(E87*(J14+J16),2)</f>
        <v>43982.78</v>
      </c>
      <c r="K87" s="58"/>
    </row>
    <row r="88" spans="1:12" s="1" customFormat="1" ht="14.25" customHeight="1" x14ac:dyDescent="0.2">
      <c r="A88" s="2"/>
      <c r="B88" s="2"/>
      <c r="C88" s="3" t="s">
        <v>266</v>
      </c>
      <c r="D88" s="2"/>
      <c r="E88" s="51"/>
      <c r="F88" s="4"/>
      <c r="G88" s="14">
        <f>G14+G25+G84+G86+G87</f>
        <v>7635.74</v>
      </c>
      <c r="H88" s="46"/>
      <c r="I88" s="4"/>
      <c r="J88" s="14">
        <f>J14+J25+J84+J86+J87</f>
        <v>241571.15</v>
      </c>
      <c r="L88" s="59"/>
    </row>
    <row r="89" spans="1:12" s="1" customFormat="1" ht="14.25" customHeight="1" x14ac:dyDescent="0.2">
      <c r="A89" s="2"/>
      <c r="B89" s="2"/>
      <c r="C89" s="3" t="s">
        <v>267</v>
      </c>
      <c r="D89" s="2"/>
      <c r="E89" s="51"/>
      <c r="F89" s="4"/>
      <c r="G89" s="14">
        <f>G88+G40</f>
        <v>93436.09</v>
      </c>
      <c r="H89" s="46"/>
      <c r="I89" s="4"/>
      <c r="J89" s="14">
        <f>J88+J40</f>
        <v>778681.35</v>
      </c>
      <c r="L89" s="58"/>
    </row>
    <row r="90" spans="1:12" s="1" customFormat="1" ht="14.25" customHeight="1" x14ac:dyDescent="0.2">
      <c r="A90" s="2"/>
      <c r="B90" s="2"/>
      <c r="C90" s="3" t="s">
        <v>222</v>
      </c>
      <c r="D90" s="2" t="s">
        <v>339</v>
      </c>
      <c r="E90" s="60">
        <v>1</v>
      </c>
      <c r="F90" s="4"/>
      <c r="G90" s="14">
        <f>G89/E90</f>
        <v>93436.09</v>
      </c>
      <c r="H90" s="46"/>
      <c r="I90" s="4"/>
      <c r="J90" s="14">
        <f>J89/E90</f>
        <v>778681.35</v>
      </c>
      <c r="L90" s="66"/>
    </row>
    <row r="92" spans="1:12" s="1" customFormat="1" ht="14.25" customHeight="1" x14ac:dyDescent="0.2">
      <c r="A92" s="10"/>
    </row>
    <row r="93" spans="1:12" s="1" customFormat="1" ht="14.25" customHeight="1" x14ac:dyDescent="0.2">
      <c r="A93" s="6" t="s">
        <v>25</v>
      </c>
    </row>
    <row r="94" spans="1:12" s="1" customFormat="1" ht="14.25" customHeight="1" x14ac:dyDescent="0.2">
      <c r="A94" s="64" t="s">
        <v>26</v>
      </c>
    </row>
    <row r="95" spans="1:12" s="1" customFormat="1" ht="14.25" customHeight="1" x14ac:dyDescent="0.2">
      <c r="A95" s="6"/>
    </row>
    <row r="96" spans="1:12" s="1" customFormat="1" ht="14.25" customHeight="1" x14ac:dyDescent="0.2">
      <c r="A96" s="6" t="s">
        <v>27</v>
      </c>
    </row>
    <row r="97" spans="1:1" s="1" customFormat="1" ht="14.25" customHeight="1" x14ac:dyDescent="0.2">
      <c r="A97" s="64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view="pageBreakPreview" topLeftCell="A7" workbookViewId="0">
      <selection activeCell="C23" sqref="C23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3" t="s">
        <v>268</v>
      </c>
      <c r="B1" s="143"/>
      <c r="C1" s="143"/>
      <c r="D1" s="143"/>
      <c r="E1" s="143"/>
      <c r="F1" s="143"/>
      <c r="G1" s="143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0" t="s">
        <v>269</v>
      </c>
      <c r="B5" s="120"/>
      <c r="C5" s="120"/>
      <c r="D5" s="120"/>
      <c r="E5" s="120"/>
      <c r="F5" s="120"/>
      <c r="G5" s="120"/>
    </row>
    <row r="6" spans="1:7" ht="64.5" customHeight="1" x14ac:dyDescent="0.25">
      <c r="A6" s="114" t="str">
        <f>'Прил.1 Сравнит табл'!B7</f>
        <v>Наименование разрабатываемого показателя УНЦ - Постоянная часть ПС, СКУД ЗПС 500 кВ</v>
      </c>
      <c r="B6" s="114"/>
      <c r="C6" s="114"/>
      <c r="D6" s="114"/>
      <c r="E6" s="114"/>
      <c r="F6" s="114"/>
      <c r="G6" s="114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44" t="s">
        <v>226</v>
      </c>
      <c r="B8" s="144" t="s">
        <v>44</v>
      </c>
      <c r="C8" s="144" t="s">
        <v>188</v>
      </c>
      <c r="D8" s="144" t="s">
        <v>46</v>
      </c>
      <c r="E8" s="137" t="s">
        <v>227</v>
      </c>
      <c r="F8" s="144" t="s">
        <v>48</v>
      </c>
      <c r="G8" s="144"/>
    </row>
    <row r="9" spans="1:7" x14ac:dyDescent="0.25">
      <c r="A9" s="144"/>
      <c r="B9" s="144"/>
      <c r="C9" s="144"/>
      <c r="D9" s="144"/>
      <c r="E9" s="138"/>
      <c r="F9" s="2" t="s">
        <v>230</v>
      </c>
      <c r="G9" s="2" t="s">
        <v>50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39" t="s">
        <v>270</v>
      </c>
      <c r="C11" s="140"/>
      <c r="D11" s="140"/>
      <c r="E11" s="140"/>
      <c r="F11" s="140"/>
      <c r="G11" s="141"/>
    </row>
    <row r="12" spans="1:7" ht="27" customHeight="1" x14ac:dyDescent="0.25">
      <c r="A12" s="2"/>
      <c r="B12" s="5"/>
      <c r="C12" s="3" t="s">
        <v>271</v>
      </c>
      <c r="D12" s="5"/>
      <c r="E12" s="8"/>
      <c r="F12" s="4"/>
      <c r="G12" s="4">
        <v>0</v>
      </c>
    </row>
    <row r="13" spans="1:7" x14ac:dyDescent="0.25">
      <c r="A13" s="2"/>
      <c r="B13" s="123" t="s">
        <v>272</v>
      </c>
      <c r="C13" s="123"/>
      <c r="D13" s="123"/>
      <c r="E13" s="142"/>
      <c r="F13" s="126"/>
      <c r="G13" s="126"/>
    </row>
    <row r="14" spans="1:7" ht="25.5" customHeight="1" x14ac:dyDescent="0.25">
      <c r="A14" s="2">
        <v>1</v>
      </c>
      <c r="B14" s="60" t="str">
        <f>'Прил.5 Расчет СМР и ОБ'!B28</f>
        <v>61.2.07.08-0002</v>
      </c>
      <c r="C14" s="90" t="str">
        <f>'Прил.5 Расчет СМР и ОБ'!C28</f>
        <v>Считыватель VinSonic для магнитных карт MSR-0101</v>
      </c>
      <c r="D14" s="60" t="str">
        <f>'Прил.5 Расчет СМР и ОБ'!D28</f>
        <v>10 шт</v>
      </c>
      <c r="E14" s="60">
        <f>'Прил.5 Расчет СМР и ОБ'!E28</f>
        <v>1.6</v>
      </c>
      <c r="F14" s="14">
        <f>'Прил.5 Расчет СМР и ОБ'!F28</f>
        <v>19707.400000000001</v>
      </c>
      <c r="G14" s="14">
        <f t="shared" ref="G14:G23" si="0">ROUND(E14*F14,2)</f>
        <v>31531.84</v>
      </c>
    </row>
    <row r="15" spans="1:7" ht="25.5" customHeight="1" x14ac:dyDescent="0.25">
      <c r="A15" s="2">
        <v>2</v>
      </c>
      <c r="B15" s="60" t="str">
        <f>'Прил.5 Расчет СМР и ОБ'!B29</f>
        <v>62.4.02.01-0049</v>
      </c>
      <c r="C15" s="90" t="str">
        <f>'Прил.5 Расчет СМР и ОБ'!C29</f>
        <v>Источник бесперебойного питания: Delta N Series UPS</v>
      </c>
      <c r="D15" s="60" t="str">
        <f>'Прил.5 Расчет СМР и ОБ'!D29</f>
        <v>шт</v>
      </c>
      <c r="E15" s="60">
        <f>'Прил.5 Расчет СМР и ОБ'!E29</f>
        <v>5</v>
      </c>
      <c r="F15" s="14">
        <f>'Прил.5 Расчет СМР и ОБ'!F29</f>
        <v>5415.89</v>
      </c>
      <c r="G15" s="14">
        <f t="shared" si="0"/>
        <v>27079.45</v>
      </c>
    </row>
    <row r="16" spans="1:7" ht="25.5" customHeight="1" x14ac:dyDescent="0.25">
      <c r="A16" s="2">
        <v>3</v>
      </c>
      <c r="B16" s="60" t="str">
        <f>'Прил.5 Расчет СМР и ОБ'!B30</f>
        <v>61.2.07.04-0004</v>
      </c>
      <c r="C16" s="90" t="str">
        <f>'Прил.5 Расчет СМР и ОБ'!C30</f>
        <v>Контроллер доступа, марка "С2000-2" исп. 01</v>
      </c>
      <c r="D16" s="60" t="str">
        <f>'Прил.5 Расчет СМР и ОБ'!D30</f>
        <v>шт</v>
      </c>
      <c r="E16" s="60">
        <f>'Прил.5 Расчет СМР и ОБ'!E30</f>
        <v>8</v>
      </c>
      <c r="F16" s="14">
        <f>'Прил.5 Расчет СМР и ОБ'!F30</f>
        <v>575.80999999999995</v>
      </c>
      <c r="G16" s="14">
        <f t="shared" si="0"/>
        <v>4606.4799999999996</v>
      </c>
    </row>
    <row r="17" spans="1:7" ht="38.25" customHeight="1" x14ac:dyDescent="0.25">
      <c r="A17" s="2">
        <v>4</v>
      </c>
      <c r="B17" s="60" t="str">
        <f>'Прил.5 Расчет СМР и ОБ'!B32</f>
        <v>61.2.01.03-0019</v>
      </c>
      <c r="C17" s="90" t="str">
        <f>'Прил.5 Расчет СМР и ОБ'!C32</f>
        <v>Извещатель охранный инфракрасный пассивный: "Пирон-1", взрывозащитное исполнение</v>
      </c>
      <c r="D17" s="60" t="str">
        <f>'Прил.5 Расчет СМР и ОБ'!D32</f>
        <v>шт</v>
      </c>
      <c r="E17" s="60">
        <f>'Прил.5 Расчет СМР и ОБ'!E32</f>
        <v>3</v>
      </c>
      <c r="F17" s="14">
        <f>'Прил.5 Расчет СМР и ОБ'!F32</f>
        <v>2122.7199999999998</v>
      </c>
      <c r="G17" s="14">
        <f t="shared" si="0"/>
        <v>6368.16</v>
      </c>
    </row>
    <row r="18" spans="1:7" ht="25.5" customHeight="1" x14ac:dyDescent="0.25">
      <c r="A18" s="2">
        <v>5</v>
      </c>
      <c r="B18" s="60" t="str">
        <f>'Прил.5 Расчет СМР и ОБ'!B33</f>
        <v>61.2.07.01-0011</v>
      </c>
      <c r="C18" s="90" t="str">
        <f>'Прил.5 Расчет СМР и ОБ'!C33</f>
        <v>Замок электромеханический горизонтальный NICE PLA 11</v>
      </c>
      <c r="D18" s="60" t="str">
        <f>'Прил.5 Расчет СМР и ОБ'!D33</f>
        <v>шт</v>
      </c>
      <c r="E18" s="60">
        <f>'Прил.5 Расчет СМР и ОБ'!E33</f>
        <v>7</v>
      </c>
      <c r="F18" s="14">
        <f>'Прил.5 Расчет СМР и ОБ'!F33</f>
        <v>615.58000000000004</v>
      </c>
      <c r="G18" s="14">
        <f t="shared" si="0"/>
        <v>4309.0600000000004</v>
      </c>
    </row>
    <row r="19" spans="1:7" ht="38.25" customHeight="1" x14ac:dyDescent="0.25">
      <c r="A19" s="2">
        <v>6</v>
      </c>
      <c r="B19" s="60" t="str">
        <f>'Прил.5 Расчет СМР и ОБ'!B34</f>
        <v>61.2.01.03-0020</v>
      </c>
      <c r="C19" s="90" t="str">
        <f>'Прил.5 Расчет СМР и ОБ'!C34</f>
        <v>Извещатель охранный инфракрасный пассивный: "Пирон-1А", взрывозащитное исполнение</v>
      </c>
      <c r="D19" s="60" t="str">
        <f>'Прил.5 Расчет СМР и ОБ'!D34</f>
        <v>шт</v>
      </c>
      <c r="E19" s="60">
        <f>'Прил.5 Расчет СМР и ОБ'!E34</f>
        <v>2</v>
      </c>
      <c r="F19" s="14">
        <f>'Прил.5 Расчет СМР и ОБ'!F34</f>
        <v>2122.7199999999998</v>
      </c>
      <c r="G19" s="14">
        <f t="shared" si="0"/>
        <v>4245.4399999999996</v>
      </c>
    </row>
    <row r="20" spans="1:7" ht="25.5" customHeight="1" x14ac:dyDescent="0.25">
      <c r="A20" s="2">
        <v>7</v>
      </c>
      <c r="B20" s="60" t="str">
        <f>'Прил.5 Расчет СМР и ОБ'!B35</f>
        <v>62.4.02.01-0075</v>
      </c>
      <c r="C20" s="90" t="str">
        <f>'Прил.5 Расчет СМР и ОБ'!C35</f>
        <v>Источник бесперебойного питания: СКАТ-1200У2</v>
      </c>
      <c r="D20" s="60" t="str">
        <f>'Прил.5 Расчет СМР и ОБ'!D35</f>
        <v>шт</v>
      </c>
      <c r="E20" s="60">
        <f>'Прил.5 Расчет СМР и ОБ'!E35</f>
        <v>1</v>
      </c>
      <c r="F20" s="14">
        <f>'Прил.5 Расчет СМР и ОБ'!F35</f>
        <v>3451.57</v>
      </c>
      <c r="G20" s="14">
        <f t="shared" si="0"/>
        <v>3451.57</v>
      </c>
    </row>
    <row r="21" spans="1:7" ht="25.5" customHeight="1" x14ac:dyDescent="0.25">
      <c r="A21" s="2">
        <v>8</v>
      </c>
      <c r="B21" s="60" t="str">
        <f>'Прил.5 Расчет СМР и ОБ'!B36</f>
        <v>61.3.03.01-0002</v>
      </c>
      <c r="C21" s="90" t="str">
        <f>'Прил.5 Расчет СМР и ОБ'!C36</f>
        <v>Домофон многоабонентный "Мета ком-99" на 100 абонентов</v>
      </c>
      <c r="D21" s="60" t="str">
        <f>'Прил.5 Расчет СМР и ОБ'!D36</f>
        <v>шт</v>
      </c>
      <c r="E21" s="60">
        <f>'Прил.5 Расчет СМР и ОБ'!E36</f>
        <v>1</v>
      </c>
      <c r="F21" s="14">
        <f>'Прил.5 Расчет СМР и ОБ'!F36</f>
        <v>2061.4</v>
      </c>
      <c r="G21" s="14">
        <f t="shared" si="0"/>
        <v>2061.4</v>
      </c>
    </row>
    <row r="22" spans="1:7" ht="25.5" customHeight="1" x14ac:dyDescent="0.25">
      <c r="A22" s="2">
        <v>9</v>
      </c>
      <c r="B22" s="60" t="str">
        <f>'Прил.5 Расчет СМР и ОБ'!B37</f>
        <v>61.2.01.05-0002</v>
      </c>
      <c r="C22" s="90" t="str">
        <f>'Прил.5 Расчет СМР и ОБ'!C37</f>
        <v>Извещатель охранный контактный: ДПМ-1-100</v>
      </c>
      <c r="D22" s="60" t="str">
        <f>'Прил.5 Расчет СМР и ОБ'!D37</f>
        <v>шт</v>
      </c>
      <c r="E22" s="60">
        <f>'Прил.5 Расчет СМР и ОБ'!E37</f>
        <v>7</v>
      </c>
      <c r="F22" s="14">
        <f>'Прил.5 Расчет СМР и ОБ'!F37</f>
        <v>283.18</v>
      </c>
      <c r="G22" s="14">
        <f t="shared" si="0"/>
        <v>1982.26</v>
      </c>
    </row>
    <row r="23" spans="1:7" ht="25.5" customHeight="1" x14ac:dyDescent="0.25">
      <c r="A23" s="2">
        <v>10</v>
      </c>
      <c r="B23" s="60" t="str">
        <f>'Прил.5 Расчет СМР и ОБ'!B38</f>
        <v>61.1.03.03-0001</v>
      </c>
      <c r="C23" s="90" t="str">
        <f>'Прил.5 Расчет СМР и ОБ'!C38</f>
        <v>Изделия домофона до 200 абонентских пультов</v>
      </c>
      <c r="D23" s="60" t="str">
        <f>'Прил.5 Расчет СМР и ОБ'!D38</f>
        <v>шт</v>
      </c>
      <c r="E23" s="60">
        <f>'Прил.5 Расчет СМР и ОБ'!E38</f>
        <v>1</v>
      </c>
      <c r="F23" s="14">
        <f>'Прил.5 Расчет СМР и ОБ'!F38</f>
        <v>164.69</v>
      </c>
      <c r="G23" s="14">
        <f t="shared" si="0"/>
        <v>164.69</v>
      </c>
    </row>
    <row r="24" spans="1:7" ht="25.5" customHeight="1" x14ac:dyDescent="0.25">
      <c r="A24" s="2"/>
      <c r="B24" s="12"/>
      <c r="C24" s="12" t="s">
        <v>273</v>
      </c>
      <c r="D24" s="12"/>
      <c r="E24" s="13"/>
      <c r="F24" s="4"/>
      <c r="G24" s="14">
        <f>SUM(G14:G23)</f>
        <v>85800.35</v>
      </c>
    </row>
    <row r="25" spans="1:7" ht="19.5" customHeight="1" x14ac:dyDescent="0.25">
      <c r="A25" s="2"/>
      <c r="B25" s="3"/>
      <c r="C25" s="3" t="s">
        <v>274</v>
      </c>
      <c r="D25" s="3"/>
      <c r="E25" s="9"/>
      <c r="F25" s="4"/>
      <c r="G25" s="14">
        <f>G12+G24</f>
        <v>85800.35</v>
      </c>
    </row>
    <row r="26" spans="1:7" x14ac:dyDescent="0.25">
      <c r="A26" s="10"/>
      <c r="B26" s="11"/>
      <c r="C26" s="10"/>
      <c r="D26" s="10"/>
      <c r="E26" s="10"/>
      <c r="F26" s="10"/>
      <c r="G26" s="10"/>
    </row>
    <row r="27" spans="1:7" x14ac:dyDescent="0.25">
      <c r="A27" s="6" t="s">
        <v>25</v>
      </c>
      <c r="B27" s="1"/>
      <c r="C27" s="1"/>
      <c r="D27" s="10"/>
      <c r="E27" s="10"/>
      <c r="F27" s="10"/>
      <c r="G27" s="10"/>
    </row>
    <row r="28" spans="1:7" x14ac:dyDescent="0.25">
      <c r="A28" s="64" t="s">
        <v>26</v>
      </c>
      <c r="B28" s="1"/>
      <c r="C28" s="1"/>
      <c r="D28" s="10"/>
      <c r="E28" s="10"/>
      <c r="F28" s="10"/>
      <c r="G28" s="10"/>
    </row>
    <row r="29" spans="1:7" x14ac:dyDescent="0.25">
      <c r="A29" s="6"/>
      <c r="B29" s="1"/>
      <c r="C29" s="1"/>
      <c r="D29" s="10"/>
      <c r="E29" s="10"/>
      <c r="F29" s="10"/>
      <c r="G29" s="10"/>
    </row>
    <row r="30" spans="1:7" x14ac:dyDescent="0.25">
      <c r="A30" s="6" t="s">
        <v>27</v>
      </c>
      <c r="B30" s="1"/>
      <c r="C30" s="1"/>
      <c r="D30" s="10"/>
      <c r="E30" s="10"/>
      <c r="F30" s="10"/>
      <c r="G30" s="10"/>
    </row>
    <row r="31" spans="1:7" x14ac:dyDescent="0.25">
      <c r="A31" s="64" t="s">
        <v>28</v>
      </c>
      <c r="B31" s="1"/>
      <c r="C31" s="1"/>
      <c r="D31" s="10"/>
      <c r="E31" s="10"/>
      <c r="F31" s="10"/>
      <c r="G31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E22" sqref="E22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3"/>
      <c r="B1" s="63"/>
      <c r="C1" s="63"/>
      <c r="D1" s="63" t="s">
        <v>275</v>
      </c>
    </row>
    <row r="2" spans="1:4" ht="15.75" customHeight="1" x14ac:dyDescent="0.25">
      <c r="A2" s="63"/>
      <c r="B2" s="63"/>
      <c r="C2" s="63"/>
      <c r="D2" s="63"/>
    </row>
    <row r="3" spans="1:4" ht="15.75" customHeight="1" x14ac:dyDescent="0.25">
      <c r="A3" s="63"/>
      <c r="B3" s="77" t="s">
        <v>276</v>
      </c>
      <c r="C3" s="63"/>
      <c r="D3" s="63"/>
    </row>
    <row r="4" spans="1:4" ht="15.75" customHeight="1" x14ac:dyDescent="0.25">
      <c r="A4" s="63"/>
      <c r="B4" s="63"/>
      <c r="C4" s="63"/>
      <c r="D4" s="63"/>
    </row>
    <row r="5" spans="1:4" ht="31.5" customHeight="1" x14ac:dyDescent="0.25">
      <c r="A5" s="145" t="s">
        <v>277</v>
      </c>
      <c r="B5" s="145"/>
      <c r="C5" s="145"/>
      <c r="D5" s="107" t="str">
        <f>'Прил.5 Расчет СМР и ОБ'!D6:J6</f>
        <v>Постоянная часть ПС, СКУД ЗПС 500 кВ</v>
      </c>
    </row>
    <row r="6" spans="1:4" ht="15.75" customHeight="1" x14ac:dyDescent="0.25">
      <c r="A6" s="63" t="s">
        <v>340</v>
      </c>
      <c r="B6" s="63"/>
      <c r="C6" s="63"/>
      <c r="D6" s="63"/>
    </row>
    <row r="7" spans="1:4" ht="15.75" customHeight="1" x14ac:dyDescent="0.25">
      <c r="A7" s="63"/>
      <c r="B7" s="63"/>
      <c r="C7" s="63"/>
      <c r="D7" s="63"/>
    </row>
    <row r="8" spans="1:4" x14ac:dyDescent="0.25">
      <c r="A8" s="116" t="s">
        <v>278</v>
      </c>
      <c r="B8" s="116" t="s">
        <v>279</v>
      </c>
      <c r="C8" s="116" t="s">
        <v>280</v>
      </c>
      <c r="D8" s="116" t="s">
        <v>281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110" t="s">
        <v>345</v>
      </c>
      <c r="B11" s="110" t="s">
        <v>346</v>
      </c>
      <c r="C11" s="108" t="str">
        <f>D5</f>
        <v>Постоянная часть ПС, СКУД ЗПС 500 кВ</v>
      </c>
      <c r="D11" s="109">
        <f>'Прил.4 РМ'!C41/1000</f>
        <v>860.85712999999998</v>
      </c>
    </row>
    <row r="13" spans="1:4" x14ac:dyDescent="0.25">
      <c r="A13" s="6" t="s">
        <v>282</v>
      </c>
      <c r="B13" s="1"/>
      <c r="C13" s="1"/>
      <c r="D13" s="10"/>
    </row>
    <row r="14" spans="1:4" x14ac:dyDescent="0.25">
      <c r="A14" s="64" t="s">
        <v>26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27</v>
      </c>
      <c r="B16" s="1"/>
      <c r="C16" s="1"/>
      <c r="D16" s="10"/>
    </row>
    <row r="17" spans="1:4" x14ac:dyDescent="0.25">
      <c r="A17" s="64" t="s">
        <v>28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topLeftCell="A10" workbookViewId="0">
      <selection activeCell="G19" sqref="G19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2" t="s">
        <v>283</v>
      </c>
      <c r="C4" s="112"/>
      <c r="D4" s="112"/>
    </row>
    <row r="5" spans="2:5" ht="18.75" customHeight="1" x14ac:dyDescent="0.25">
      <c r="B5" s="35"/>
    </row>
    <row r="6" spans="2:5" ht="15.75" customHeight="1" x14ac:dyDescent="0.25">
      <c r="B6" s="113" t="s">
        <v>284</v>
      </c>
      <c r="C6" s="113"/>
      <c r="D6" s="113"/>
    </row>
    <row r="7" spans="2:5" x14ac:dyDescent="0.25">
      <c r="B7" s="146"/>
      <c r="C7" s="146"/>
      <c r="D7" s="146"/>
      <c r="E7" s="146"/>
    </row>
    <row r="8" spans="2:5" ht="47.25" customHeight="1" x14ac:dyDescent="0.25">
      <c r="B8" s="37" t="s">
        <v>285</v>
      </c>
      <c r="C8" s="37" t="s">
        <v>286</v>
      </c>
      <c r="D8" s="37" t="s">
        <v>287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288</v>
      </c>
      <c r="C10" s="37" t="s">
        <v>289</v>
      </c>
      <c r="D10" s="37">
        <v>44.29</v>
      </c>
    </row>
    <row r="11" spans="2:5" ht="31.5" customHeight="1" x14ac:dyDescent="0.25">
      <c r="B11" s="37" t="s">
        <v>290</v>
      </c>
      <c r="C11" s="37" t="s">
        <v>289</v>
      </c>
      <c r="D11" s="37">
        <v>13.47</v>
      </c>
    </row>
    <row r="12" spans="2:5" ht="31.5" customHeight="1" x14ac:dyDescent="0.25">
      <c r="B12" s="37" t="s">
        <v>291</v>
      </c>
      <c r="C12" s="37" t="s">
        <v>289</v>
      </c>
      <c r="D12" s="37">
        <v>8.0399999999999991</v>
      </c>
    </row>
    <row r="13" spans="2:5" ht="31.5" customHeight="1" x14ac:dyDescent="0.25">
      <c r="B13" s="37" t="s">
        <v>292</v>
      </c>
      <c r="C13" s="38" t="s">
        <v>293</v>
      </c>
      <c r="D13" s="37">
        <v>6.26</v>
      </c>
    </row>
    <row r="14" spans="2:5" ht="78.75" customHeight="1" x14ac:dyDescent="0.25">
      <c r="B14" s="37" t="s">
        <v>294</v>
      </c>
      <c r="C14" s="37" t="s">
        <v>295</v>
      </c>
      <c r="D14" s="39">
        <v>3.9E-2</v>
      </c>
    </row>
    <row r="15" spans="2:5" ht="78.75" customHeight="1" x14ac:dyDescent="0.25">
      <c r="B15" s="37" t="s">
        <v>296</v>
      </c>
      <c r="C15" s="37" t="s">
        <v>297</v>
      </c>
      <c r="D15" s="39">
        <v>2.1000000000000001E-2</v>
      </c>
    </row>
    <row r="16" spans="2:5" ht="15.75" customHeight="1" x14ac:dyDescent="0.25">
      <c r="B16" s="37" t="s">
        <v>212</v>
      </c>
      <c r="C16" s="37"/>
      <c r="D16" s="37"/>
    </row>
    <row r="17" spans="2:4" ht="31.5" customHeight="1" x14ac:dyDescent="0.25">
      <c r="B17" s="37" t="s">
        <v>298</v>
      </c>
      <c r="C17" s="37" t="s">
        <v>299</v>
      </c>
      <c r="D17" s="39">
        <v>2.1399999999999999E-2</v>
      </c>
    </row>
    <row r="18" spans="2:4" ht="31.5" customHeight="1" x14ac:dyDescent="0.25">
      <c r="B18" s="37" t="s">
        <v>218</v>
      </c>
      <c r="C18" s="37" t="s">
        <v>300</v>
      </c>
      <c r="D18" s="39">
        <v>2E-3</v>
      </c>
    </row>
    <row r="19" spans="2:4" ht="24" customHeight="1" x14ac:dyDescent="0.25">
      <c r="B19" s="37" t="s">
        <v>220</v>
      </c>
      <c r="C19" s="37" t="s">
        <v>301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25</v>
      </c>
      <c r="C26" s="1"/>
    </row>
    <row r="27" spans="2:4" x14ac:dyDescent="0.25">
      <c r="B27" s="64" t="s">
        <v>26</v>
      </c>
      <c r="C27" s="1"/>
    </row>
    <row r="28" spans="2:4" x14ac:dyDescent="0.25">
      <c r="B28" s="6"/>
      <c r="C28" s="1"/>
    </row>
    <row r="29" spans="2:4" x14ac:dyDescent="0.25">
      <c r="B29" s="6" t="s">
        <v>27</v>
      </c>
      <c r="C29" s="1"/>
    </row>
    <row r="30" spans="2:4" x14ac:dyDescent="0.25">
      <c r="B30" s="64" t="s">
        <v>28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G21" sqref="G21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47" t="s">
        <v>302</v>
      </c>
      <c r="B2" s="147"/>
      <c r="C2" s="147"/>
      <c r="D2" s="147"/>
      <c r="E2" s="147"/>
      <c r="F2" s="147"/>
    </row>
    <row r="4" spans="1:7" ht="18" customHeight="1" x14ac:dyDescent="0.25">
      <c r="A4" s="20" t="s">
        <v>303</v>
      </c>
    </row>
    <row r="5" spans="1:7" x14ac:dyDescent="0.25">
      <c r="A5" s="21" t="s">
        <v>226</v>
      </c>
      <c r="B5" s="21" t="s">
        <v>304</v>
      </c>
      <c r="C5" s="21" t="s">
        <v>305</v>
      </c>
      <c r="D5" s="21" t="s">
        <v>306</v>
      </c>
      <c r="E5" s="21" t="s">
        <v>307</v>
      </c>
      <c r="F5" s="21" t="s">
        <v>308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309</v>
      </c>
      <c r="B7" s="24" t="s">
        <v>310</v>
      </c>
      <c r="C7" s="23" t="s">
        <v>311</v>
      </c>
      <c r="D7" s="23" t="s">
        <v>312</v>
      </c>
      <c r="E7" s="25">
        <v>47872.94</v>
      </c>
      <c r="F7" s="24" t="s">
        <v>313</v>
      </c>
    </row>
    <row r="8" spans="1:7" ht="30" customHeight="1" x14ac:dyDescent="0.25">
      <c r="A8" s="22" t="s">
        <v>314</v>
      </c>
      <c r="B8" s="24" t="s">
        <v>315</v>
      </c>
      <c r="C8" s="23" t="s">
        <v>316</v>
      </c>
      <c r="D8" s="23" t="s">
        <v>317</v>
      </c>
      <c r="E8" s="25">
        <f>1973/12</f>
        <v>164.41666666667001</v>
      </c>
      <c r="F8" s="24" t="s">
        <v>318</v>
      </c>
      <c r="G8" s="26"/>
    </row>
    <row r="9" spans="1:7" x14ac:dyDescent="0.25">
      <c r="A9" s="22" t="s">
        <v>319</v>
      </c>
      <c r="B9" s="24" t="s">
        <v>320</v>
      </c>
      <c r="C9" s="23" t="s">
        <v>321</v>
      </c>
      <c r="D9" s="23" t="s">
        <v>312</v>
      </c>
      <c r="E9" s="25">
        <v>1</v>
      </c>
      <c r="F9" s="24"/>
      <c r="G9" s="27"/>
    </row>
    <row r="10" spans="1:7" x14ac:dyDescent="0.25">
      <c r="A10" s="22" t="s">
        <v>322</v>
      </c>
      <c r="B10" s="24" t="s">
        <v>323</v>
      </c>
      <c r="C10" s="23"/>
      <c r="D10" s="23"/>
      <c r="E10" s="28">
        <v>4.0999999999999996</v>
      </c>
      <c r="F10" s="24" t="s">
        <v>324</v>
      </c>
      <c r="G10" s="27"/>
    </row>
    <row r="11" spans="1:7" ht="75" customHeight="1" x14ac:dyDescent="0.25">
      <c r="A11" s="22" t="s">
        <v>325</v>
      </c>
      <c r="B11" s="24" t="s">
        <v>326</v>
      </c>
      <c r="C11" s="23" t="s">
        <v>327</v>
      </c>
      <c r="D11" s="23" t="s">
        <v>312</v>
      </c>
      <c r="E11" s="29">
        <v>1.359</v>
      </c>
      <c r="F11" s="24" t="s">
        <v>328</v>
      </c>
    </row>
    <row r="12" spans="1:7" ht="75" customHeight="1" x14ac:dyDescent="0.25">
      <c r="A12" s="22" t="s">
        <v>329</v>
      </c>
      <c r="B12" s="30" t="s">
        <v>330</v>
      </c>
      <c r="C12" s="23" t="s">
        <v>331</v>
      </c>
      <c r="D12" s="23" t="s">
        <v>312</v>
      </c>
      <c r="E12" s="31">
        <v>1.139</v>
      </c>
      <c r="F12" s="32" t="s">
        <v>332</v>
      </c>
      <c r="G12" s="27" t="s">
        <v>333</v>
      </c>
    </row>
    <row r="13" spans="1:7" ht="60" customHeight="1" x14ac:dyDescent="0.25">
      <c r="A13" s="22" t="s">
        <v>334</v>
      </c>
      <c r="B13" s="33" t="s">
        <v>335</v>
      </c>
      <c r="C13" s="23" t="s">
        <v>336</v>
      </c>
      <c r="D13" s="23" t="s">
        <v>337</v>
      </c>
      <c r="E13" s="34">
        <f>((E7*E9/E8)*E11)*E12</f>
        <v>450.69987855411154</v>
      </c>
      <c r="F13" s="24" t="s">
        <v>338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2023-10-07T19:49:37Z</dcterms:modified>
  <cp:category/>
</cp:coreProperties>
</file>