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CFC2698A-2722-46A6-A7F9-71208E0F93A8}" xr6:coauthVersionLast="40" xr6:coauthVersionMax="40" xr10:uidLastSave="{00000000-0000-0000-0000-000000000000}"/>
  <bookViews>
    <workbookView xWindow="0" yWindow="0" windowWidth="28800" windowHeight="12225" tabRatio="924" firstSheet="4" activeTab="8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4.5 РМ" sheetId="4" state="hidden" r:id="rId4"/>
    <sheet name="Прил.1 Сравнит табл" sheetId="5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3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3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 localSheetId="10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3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3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3">#REF!</definedName>
    <definedName name="_def2000г" localSheetId="14">#REF!</definedName>
    <definedName name="_def2000г" localSheetId="15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3">#REF!</definedName>
    <definedName name="_def2001г" localSheetId="14">#REF!</definedName>
    <definedName name="_def2001г" localSheetId="15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3">#REF!</definedName>
    <definedName name="_def2002г" localSheetId="14">#REF!</definedName>
    <definedName name="_def2002г" localSheetId="15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3">#REF!</definedName>
    <definedName name="_inf2000" localSheetId="14">#REF!</definedName>
    <definedName name="_inf2000" localSheetId="15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3">#REF!</definedName>
    <definedName name="_inf2001" localSheetId="14">#REF!</definedName>
    <definedName name="_inf2001" localSheetId="15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3">#REF!</definedName>
    <definedName name="_inf2002" localSheetId="14">#REF!</definedName>
    <definedName name="_inf2002" localSheetId="15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3">#REF!</definedName>
    <definedName name="_inf2003" localSheetId="14">#REF!</definedName>
    <definedName name="_inf2003" localSheetId="15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3">#REF!</definedName>
    <definedName name="_inf2004" localSheetId="14">#REF!</definedName>
    <definedName name="_inf2004" localSheetId="15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3">#REF!</definedName>
    <definedName name="_inf2005" localSheetId="14">#REF!</definedName>
    <definedName name="_inf2005" localSheetId="15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3">#REF!</definedName>
    <definedName name="_inf2006" localSheetId="14">#REF!</definedName>
    <definedName name="_inf2006" localSheetId="15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3">#REF!</definedName>
    <definedName name="_inf2007" localSheetId="14">#REF!</definedName>
    <definedName name="_inf2007" localSheetId="15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3">#REF!</definedName>
    <definedName name="_inf2008" localSheetId="14">#REF!</definedName>
    <definedName name="_inf2008" localSheetId="15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3">#REF!</definedName>
    <definedName name="_inf2009" localSheetId="14">#REF!</definedName>
    <definedName name="_inf2009" localSheetId="15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3">#REF!</definedName>
    <definedName name="_inf2010" localSheetId="14">#REF!</definedName>
    <definedName name="_inf2010" localSheetId="15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3">#REF!</definedName>
    <definedName name="_inf2011" localSheetId="14">#REF!</definedName>
    <definedName name="_inf2011" localSheetId="15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3">#REF!</definedName>
    <definedName name="_inf2012" localSheetId="14">#REF!</definedName>
    <definedName name="_inf2012" localSheetId="15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3">#REF!</definedName>
    <definedName name="_inf2013" localSheetId="14">#REF!</definedName>
    <definedName name="_inf2013" localSheetId="15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3">#REF!</definedName>
    <definedName name="_inf2014" localSheetId="14">#REF!</definedName>
    <definedName name="_inf2014" localSheetId="15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3">#REF!</definedName>
    <definedName name="_inf2015" localSheetId="14">#REF!</definedName>
    <definedName name="_inf2015" localSheetId="15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3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3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3">#REF!</definedName>
    <definedName name="a04t" localSheetId="14">#REF!</definedName>
    <definedName name="a04t" localSheetId="15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3">#REF!</definedName>
    <definedName name="DOLL" localSheetId="14">#REF!</definedName>
    <definedName name="DOLL" localSheetId="15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14">#REF!</definedName>
    <definedName name="Excel_BuiltIn_Print_Area_1" localSheetId="15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 localSheetId="14">#REF!</definedName>
    <definedName name="Excel_BuiltIn_Print_Area_4" localSheetId="15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 localSheetId="14">#REF!</definedName>
    <definedName name="Excel_BuiltIn_Print_Area_5" localSheetId="15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3">#REF!</definedName>
    <definedName name="ff" localSheetId="14">#REF!</definedName>
    <definedName name="ff" localSheetId="15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3">#REF!</definedName>
    <definedName name="gggg" localSheetId="14">#REF!</definedName>
    <definedName name="gggg" localSheetId="15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3">#REF!</definedName>
    <definedName name="Global.MNULL" localSheetId="14">#REF!</definedName>
    <definedName name="Global.MNULL" localSheetId="15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3">#REF!</definedName>
    <definedName name="Global.NULL" localSheetId="14">#REF!</definedName>
    <definedName name="Global.NULL" localSheetId="15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3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3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3">#REF!</definedName>
    <definedName name="Print_Area" localSheetId="15">#REF!</definedName>
    <definedName name="Print_Area" localSheetId="5">#REF!</definedName>
    <definedName name="Print_Area" localSheetId="6">#REF!</definedName>
    <definedName name="Print_Area" localSheetId="8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5">#REF!</definedName>
    <definedName name="rybuf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3">#REF!</definedName>
    <definedName name="time" localSheetId="14">#REF!</definedName>
    <definedName name="time" localSheetId="15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3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3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3">#REF!</definedName>
    <definedName name="а" localSheetId="14">#REF!</definedName>
    <definedName name="а" localSheetId="15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3">#REF!</definedName>
    <definedName name="ааа" localSheetId="14">#REF!</definedName>
    <definedName name="ааа" localSheetId="15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5">#REF!</definedName>
    <definedName name="аморт">#REF!</definedName>
    <definedName name="Амортизация" localSheetId="5">#REF!</definedName>
    <definedName name="Амортизация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3">#REF!</definedName>
    <definedName name="д" localSheetId="14">#REF!</definedName>
    <definedName name="д" localSheetId="15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3">#REF!</definedName>
    <definedName name="дд" localSheetId="14">#REF!</definedName>
    <definedName name="дд" localSheetId="15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3">#REF!</definedName>
    <definedName name="дддд" localSheetId="14">#REF!</definedName>
    <definedName name="дддд" localSheetId="15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3">#REF!</definedName>
    <definedName name="де" localSheetId="14">#REF!</definedName>
    <definedName name="де" localSheetId="15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3">#REF!</definedName>
    <definedName name="дефл." localSheetId="14">#REF!</definedName>
    <definedName name="дефл." localSheetId="15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3">#REF!</definedName>
    <definedName name="до" localSheetId="14">#REF!</definedName>
    <definedName name="до" localSheetId="15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3">#REF!</definedName>
    <definedName name="дол" localSheetId="14">#REF!</definedName>
    <definedName name="дол" localSheetId="15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3">#REF!</definedName>
    <definedName name="ДС" localSheetId="14">#REF!</definedName>
    <definedName name="ДС" localSheetId="15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3">#REF!</definedName>
    <definedName name="ж" localSheetId="14">#REF!</definedName>
    <definedName name="ж" localSheetId="15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5">#REF!</definedName>
    <definedName name="ЗаданиеГС_КМ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3">#REF!</definedName>
    <definedName name="зз" localSheetId="14">#REF!</definedName>
    <definedName name="зз" localSheetId="15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3">#REF!</definedName>
    <definedName name="иии" localSheetId="14">#REF!</definedName>
    <definedName name="иии" localSheetId="15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5">#REF!</definedName>
    <definedName name="ИИМбал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5">#REF!</definedName>
    <definedName name="ИОСост">#REF!</definedName>
    <definedName name="ИОСпс" localSheetId="5">#REF!</definedName>
    <definedName name="ИОСпс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5">#REF!</definedName>
    <definedName name="Иуе">#REF!</definedName>
    <definedName name="ИуеРЭО" localSheetId="5">#REF!</definedName>
    <definedName name="ИуеРЭО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5">#REF!</definedName>
    <definedName name="КЗ_Имущество">#REF!</definedName>
    <definedName name="КЗ_ИП" localSheetId="5">#REF!</definedName>
    <definedName name="КЗ_ИП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3">#REF!</definedName>
    <definedName name="кк" localSheetId="14">#REF!</definedName>
    <definedName name="кк" localSheetId="15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5">#REF!</definedName>
    <definedName name="Компания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3">#REF!</definedName>
    <definedName name="лд" localSheetId="14">#REF!</definedName>
    <definedName name="лд" localSheetId="15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3">#REF!</definedName>
    <definedName name="лдд" localSheetId="14">#REF!</definedName>
    <definedName name="лдд" localSheetId="15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3">#REF!</definedName>
    <definedName name="лл" localSheetId="14">#REF!</definedName>
    <definedName name="лл" localSheetId="15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3">#REF!</definedName>
    <definedName name="ллл" localSheetId="14">#REF!</definedName>
    <definedName name="ллл" localSheetId="15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>#REF!</definedName>
    <definedName name="матер" localSheetId="5">#REF!</definedName>
    <definedName name="матер">#REF!</definedName>
    <definedName name="матер." localSheetId="5">#REF!</definedName>
    <definedName name="матер.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3">#REF!</definedName>
    <definedName name="Модель2" localSheetId="14">#REF!</definedName>
    <definedName name="Модель2" localSheetId="15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5">#REF!</definedName>
    <definedName name="НДСИмущество">#REF!</definedName>
    <definedName name="НДСИП" localSheetId="5">#REF!</definedName>
    <definedName name="НДСИП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3">#REF!</definedName>
    <definedName name="нн" localSheetId="14">#REF!</definedName>
    <definedName name="нн" localSheetId="15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3">граж</definedName>
    <definedName name="нр" localSheetId="13">граж</definedName>
    <definedName name="нр" localSheetId="15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'Прил.2 Расч стоим'!$A$1:$J$28</definedName>
    <definedName name="_xlnm.Print_Area" localSheetId="6">Прил.3!$A$1:$H$75</definedName>
    <definedName name="_xlnm.Print_Area" localSheetId="7">'Прил.4 РМ'!$A$1:$E$48</definedName>
    <definedName name="_xlnm.Print_Area" localSheetId="8">'Прил.5 Расчет СМР и ОБ'!$A$1:$J$90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3">#REF!</definedName>
    <definedName name="ол" localSheetId="14">#REF!</definedName>
    <definedName name="ол" localSheetId="15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3">#REF!</definedName>
    <definedName name="ооо" localSheetId="14">#REF!</definedName>
    <definedName name="ооо" localSheetId="15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3">#REF!</definedName>
    <definedName name="пп" localSheetId="14">#REF!</definedName>
    <definedName name="пп" localSheetId="15">#REF!</definedName>
    <definedName name="пп" localSheetId="5">#REF!</definedName>
    <definedName name="пп" localSheetId="6">#REF!</definedName>
    <definedName name="пп" localSheetId="8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3">#REF!</definedName>
    <definedName name="ппп" localSheetId="14">#REF!</definedName>
    <definedName name="ппп" localSheetId="15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5">#REF!</definedName>
    <definedName name="Прибыль_RAB">#REF!</definedName>
    <definedName name="Прибыль_Масса" localSheetId="5">#REF!</definedName>
    <definedName name="Прибыль_Масса">#REF!</definedName>
    <definedName name="Прибыль_Метод" localSheetId="5">#REF!</definedName>
    <definedName name="Прибыль_Метод">#REF!</definedName>
    <definedName name="Прибыль_ПроцентОС" localSheetId="5">#REF!</definedName>
    <definedName name="Прибыль_ПроцентОС">#REF!</definedName>
    <definedName name="Прибыль_ПроцентСС" localSheetId="5">#REF!</definedName>
    <definedName name="Прибыль_ПроцентСС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5">#REF!</definedName>
    <definedName name="приоб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5">#REF!</definedName>
    <definedName name="СтавкаДКЗ">#REF!</definedName>
    <definedName name="СтавкаЕСН" localSheetId="5">#REF!</definedName>
    <definedName name="СтавкаЕСН">#REF!</definedName>
    <definedName name="СтавкаНДС" localSheetId="5">#REF!</definedName>
    <definedName name="СтавкаНДС">#REF!</definedName>
    <definedName name="СтавкаНП" localSheetId="5">#REF!</definedName>
    <definedName name="СтавкаНП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3">#REF!</definedName>
    <definedName name="ттт" localSheetId="14">#REF!</definedName>
    <definedName name="ттт" localSheetId="15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3">#REF!</definedName>
    <definedName name="ффф" localSheetId="14">#REF!</definedName>
    <definedName name="ффф" localSheetId="15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3">#REF!</definedName>
    <definedName name="хх" localSheetId="14">#REF!</definedName>
    <definedName name="хх" localSheetId="15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3">#REF!</definedName>
    <definedName name="цц" localSheetId="14">#REF!</definedName>
    <definedName name="цц" localSheetId="15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3">#REF!</definedName>
    <definedName name="шш" localSheetId="14">#REF!</definedName>
    <definedName name="шш" localSheetId="15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3">#REF!</definedName>
    <definedName name="щщ" localSheetId="14">#REF!</definedName>
    <definedName name="щщ" localSheetId="15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3">#REF!</definedName>
    <definedName name="ььь" localSheetId="14">#REF!</definedName>
    <definedName name="ььь" localSheetId="15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3">#REF!</definedName>
    <definedName name="э" localSheetId="14">#REF!</definedName>
    <definedName name="э" localSheetId="15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3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3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>#REF!</definedName>
    <definedName name="электроэнер" localSheetId="5">#REF!</definedName>
    <definedName name="электроэнер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3">#REF!</definedName>
    <definedName name="юююю" localSheetId="14">#REF!</definedName>
    <definedName name="юююю" localSheetId="15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8" i="13"/>
  <c r="D5" i="11"/>
  <c r="G13" i="10"/>
  <c r="F13" i="10"/>
  <c r="E13" i="10"/>
  <c r="D13" i="10"/>
  <c r="C13" i="10"/>
  <c r="B13" i="10"/>
  <c r="G12" i="10"/>
  <c r="G14" i="10" s="1"/>
  <c r="F12" i="10"/>
  <c r="E12" i="10"/>
  <c r="D12" i="10"/>
  <c r="C12" i="10"/>
  <c r="B12" i="10"/>
  <c r="I74" i="9"/>
  <c r="J74" i="9" s="1"/>
  <c r="G74" i="9"/>
  <c r="I73" i="9"/>
  <c r="J73" i="9" s="1"/>
  <c r="G73" i="9"/>
  <c r="J72" i="9"/>
  <c r="I72" i="9"/>
  <c r="G72" i="9"/>
  <c r="I71" i="9"/>
  <c r="J71" i="9" s="1"/>
  <c r="G71" i="9"/>
  <c r="J70" i="9"/>
  <c r="I70" i="9"/>
  <c r="G70" i="9"/>
  <c r="J69" i="9"/>
  <c r="I69" i="9"/>
  <c r="G69" i="9"/>
  <c r="J68" i="9"/>
  <c r="I68" i="9"/>
  <c r="G68" i="9"/>
  <c r="I67" i="9"/>
  <c r="J67" i="9" s="1"/>
  <c r="G67" i="9"/>
  <c r="I66" i="9"/>
  <c r="J66" i="9" s="1"/>
  <c r="G66" i="9"/>
  <c r="I65" i="9"/>
  <c r="J65" i="9" s="1"/>
  <c r="G65" i="9"/>
  <c r="I64" i="9"/>
  <c r="J64" i="9" s="1"/>
  <c r="G64" i="9"/>
  <c r="J63" i="9"/>
  <c r="I63" i="9"/>
  <c r="G63" i="9"/>
  <c r="I62" i="9"/>
  <c r="J62" i="9" s="1"/>
  <c r="G62" i="9"/>
  <c r="J61" i="9"/>
  <c r="I61" i="9"/>
  <c r="G61" i="9"/>
  <c r="J60" i="9"/>
  <c r="I60" i="9"/>
  <c r="G60" i="9"/>
  <c r="J59" i="9"/>
  <c r="I59" i="9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J54" i="9"/>
  <c r="I54" i="9"/>
  <c r="G54" i="9"/>
  <c r="I53" i="9"/>
  <c r="J53" i="9" s="1"/>
  <c r="G53" i="9"/>
  <c r="J52" i="9"/>
  <c r="I52" i="9"/>
  <c r="G52" i="9"/>
  <c r="J51" i="9"/>
  <c r="I51" i="9"/>
  <c r="G51" i="9"/>
  <c r="J50" i="9"/>
  <c r="I50" i="9"/>
  <c r="G50" i="9"/>
  <c r="I49" i="9"/>
  <c r="J49" i="9" s="1"/>
  <c r="G49" i="9"/>
  <c r="I48" i="9"/>
  <c r="J48" i="9" s="1"/>
  <c r="G48" i="9"/>
  <c r="I47" i="9"/>
  <c r="J47" i="9" s="1"/>
  <c r="G47" i="9"/>
  <c r="G75" i="9" s="1"/>
  <c r="J46" i="9"/>
  <c r="G46" i="9"/>
  <c r="J45" i="9"/>
  <c r="I45" i="9"/>
  <c r="G45" i="9"/>
  <c r="J44" i="9"/>
  <c r="I44" i="9"/>
  <c r="G44" i="9"/>
  <c r="J43" i="9"/>
  <c r="I43" i="9"/>
  <c r="G43" i="9"/>
  <c r="J42" i="9"/>
  <c r="I42" i="9"/>
  <c r="G42" i="9"/>
  <c r="J41" i="9"/>
  <c r="I41" i="9"/>
  <c r="G41" i="9"/>
  <c r="J38" i="9"/>
  <c r="C26" i="8" s="1"/>
  <c r="J37" i="9"/>
  <c r="J35" i="9"/>
  <c r="G35" i="9"/>
  <c r="J34" i="9"/>
  <c r="I34" i="9"/>
  <c r="G34" i="9"/>
  <c r="J33" i="9"/>
  <c r="G33" i="9"/>
  <c r="F33" i="9"/>
  <c r="G30" i="9"/>
  <c r="H20" i="9" s="1"/>
  <c r="G29" i="9"/>
  <c r="J28" i="9"/>
  <c r="I28" i="9"/>
  <c r="G28" i="9"/>
  <c r="J27" i="9"/>
  <c r="I27" i="9"/>
  <c r="G27" i="9"/>
  <c r="J26" i="9"/>
  <c r="I26" i="9"/>
  <c r="G26" i="9"/>
  <c r="J25" i="9"/>
  <c r="J29" i="9" s="1"/>
  <c r="I25" i="9"/>
  <c r="G25" i="9"/>
  <c r="J24" i="9"/>
  <c r="I24" i="9"/>
  <c r="G24" i="9"/>
  <c r="J23" i="9"/>
  <c r="I23" i="9"/>
  <c r="G23" i="9"/>
  <c r="J22" i="9"/>
  <c r="G22" i="9"/>
  <c r="J21" i="9"/>
  <c r="I21" i="9"/>
  <c r="G21" i="9"/>
  <c r="J20" i="9"/>
  <c r="I20" i="9"/>
  <c r="G20" i="9"/>
  <c r="J19" i="9"/>
  <c r="I19" i="9"/>
  <c r="G19" i="9"/>
  <c r="I16" i="9"/>
  <c r="J16" i="9" s="1"/>
  <c r="C15" i="8" s="1"/>
  <c r="G16" i="9"/>
  <c r="F16" i="9"/>
  <c r="I13" i="9"/>
  <c r="G13" i="9"/>
  <c r="G14" i="9" s="1"/>
  <c r="C33" i="8"/>
  <c r="C25" i="8"/>
  <c r="C16" i="8"/>
  <c r="C12" i="8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7" i="7"/>
  <c r="H16" i="7"/>
  <c r="H15" i="7"/>
  <c r="H14" i="7"/>
  <c r="H13" i="7"/>
  <c r="H12" i="7"/>
  <c r="F12" i="7"/>
  <c r="H12" i="6"/>
  <c r="H14" i="6" s="1"/>
  <c r="D19" i="5" s="1"/>
  <c r="D17" i="5" s="1"/>
  <c r="D23" i="5" s="1"/>
  <c r="D24" i="5" s="1"/>
  <c r="F12" i="6"/>
  <c r="F14" i="6" s="1"/>
  <c r="D18" i="5"/>
  <c r="B32" i="4"/>
  <c r="B30" i="4"/>
  <c r="B28" i="4"/>
  <c r="B27" i="4"/>
  <c r="B26" i="4"/>
  <c r="B19" i="4"/>
  <c r="B17" i="4"/>
  <c r="B13" i="4"/>
  <c r="B12" i="4"/>
  <c r="B10" i="4"/>
  <c r="B9" i="4"/>
  <c r="A4" i="4"/>
  <c r="A2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C13" i="8" l="1"/>
  <c r="C14" i="8" s="1"/>
  <c r="J30" i="9"/>
  <c r="H28" i="9"/>
  <c r="B11" i="4"/>
  <c r="H25" i="9"/>
  <c r="H59" i="9"/>
  <c r="B14" i="4"/>
  <c r="B15" i="4" s="1"/>
  <c r="G76" i="9"/>
  <c r="H74" i="9" s="1"/>
  <c r="J75" i="9"/>
  <c r="G15" i="10"/>
  <c r="B22" i="4" s="1"/>
  <c r="G38" i="9"/>
  <c r="B23" i="4"/>
  <c r="C12" i="2" s="1"/>
  <c r="D18" i="2" s="1"/>
  <c r="H19" i="9"/>
  <c r="H24" i="9"/>
  <c r="H27" i="9"/>
  <c r="G37" i="9"/>
  <c r="H41" i="9"/>
  <c r="H76" i="9"/>
  <c r="H21" i="9"/>
  <c r="H55" i="9"/>
  <c r="H61" i="9"/>
  <c r="H64" i="9"/>
  <c r="H73" i="9"/>
  <c r="H22" i="9"/>
  <c r="H23" i="9"/>
  <c r="H26" i="9"/>
  <c r="H29" i="9"/>
  <c r="H46" i="9"/>
  <c r="H51" i="9"/>
  <c r="H54" i="9"/>
  <c r="H63" i="9"/>
  <c r="H69" i="9"/>
  <c r="H72" i="9"/>
  <c r="D78" i="9"/>
  <c r="G77" i="9"/>
  <c r="D79" i="9"/>
  <c r="B8" i="4"/>
  <c r="J12" i="6"/>
  <c r="J14" i="6" s="1"/>
  <c r="H13" i="9"/>
  <c r="E13" i="9"/>
  <c r="G80" i="9" l="1"/>
  <c r="G81" i="9" s="1"/>
  <c r="H60" i="9"/>
  <c r="H43" i="9"/>
  <c r="H70" i="9"/>
  <c r="H52" i="9"/>
  <c r="H53" i="9"/>
  <c r="H57" i="9"/>
  <c r="H67" i="9"/>
  <c r="H49" i="9"/>
  <c r="H62" i="9"/>
  <c r="H68" i="9"/>
  <c r="J76" i="9"/>
  <c r="C17" i="8"/>
  <c r="C18" i="8" s="1"/>
  <c r="H75" i="9"/>
  <c r="H65" i="9"/>
  <c r="H56" i="9"/>
  <c r="H47" i="9"/>
  <c r="H45" i="9"/>
  <c r="H42" i="9"/>
  <c r="H50" i="9"/>
  <c r="H66" i="9"/>
  <c r="H48" i="9"/>
  <c r="H58" i="9"/>
  <c r="H44" i="9"/>
  <c r="H71" i="9"/>
  <c r="H33" i="9"/>
  <c r="H34" i="9"/>
  <c r="H37" i="9"/>
  <c r="H36" i="9"/>
  <c r="H35" i="9"/>
  <c r="B18" i="4"/>
  <c r="B20" i="4"/>
  <c r="B16" i="4"/>
  <c r="B21" i="4" s="1"/>
  <c r="E14" i="9"/>
  <c r="J13" i="9"/>
  <c r="J14" i="9" s="1"/>
  <c r="J78" i="9" s="1"/>
  <c r="C21" i="8"/>
  <c r="B24" i="4"/>
  <c r="G82" i="9"/>
  <c r="C23" i="8"/>
  <c r="J79" i="9" l="1"/>
  <c r="B33" i="4"/>
  <c r="C21" i="4"/>
  <c r="C15" i="4"/>
  <c r="C13" i="4"/>
  <c r="C11" i="4"/>
  <c r="C9" i="4"/>
  <c r="C17" i="4"/>
  <c r="C14" i="4"/>
  <c r="C10" i="4"/>
  <c r="C19" i="4"/>
  <c r="C12" i="4"/>
  <c r="C8" i="4"/>
  <c r="C11" i="8"/>
  <c r="C20" i="8" s="1"/>
  <c r="J77" i="9"/>
  <c r="J80" i="9"/>
  <c r="J81" i="9" s="1"/>
  <c r="J82" i="9" s="1"/>
  <c r="C22" i="8" l="1"/>
  <c r="C19" i="8"/>
  <c r="B34" i="4"/>
  <c r="C24" i="8" l="1"/>
  <c r="D22" i="8" s="1"/>
  <c r="B35" i="4"/>
  <c r="B36" i="4" l="1"/>
  <c r="D35" i="4"/>
  <c r="D32" i="4"/>
  <c r="D27" i="4"/>
  <c r="D23" i="4"/>
  <c r="D17" i="4"/>
  <c r="D14" i="4"/>
  <c r="D12" i="4"/>
  <c r="D10" i="4"/>
  <c r="D28" i="4"/>
  <c r="D13" i="4"/>
  <c r="D9" i="4"/>
  <c r="D30" i="4"/>
  <c r="D26" i="4"/>
  <c r="D22" i="4"/>
  <c r="D19" i="4"/>
  <c r="D15" i="4"/>
  <c r="D11" i="4"/>
  <c r="D8" i="4"/>
  <c r="D24" i="4"/>
  <c r="D21" i="4"/>
  <c r="D33" i="4"/>
  <c r="D34" i="4"/>
  <c r="C29" i="8"/>
  <c r="C27" i="8"/>
  <c r="D24" i="8"/>
  <c r="D18" i="8"/>
  <c r="D16" i="8"/>
  <c r="D14" i="8"/>
  <c r="D12" i="8"/>
  <c r="D17" i="8"/>
  <c r="D13" i="8"/>
  <c r="D15" i="8"/>
  <c r="D20" i="8"/>
  <c r="D11" i="8"/>
  <c r="C34" i="8" l="1"/>
  <c r="C30" i="8"/>
  <c r="C32" i="8"/>
  <c r="C9" i="2"/>
  <c r="B18" i="2" s="1"/>
  <c r="C13" i="2"/>
  <c r="C10" i="1"/>
  <c r="C35" i="8" l="1"/>
  <c r="C36" i="8"/>
  <c r="C37" i="8"/>
  <c r="C38" i="8" l="1"/>
  <c r="C39" i="8" l="1"/>
  <c r="C40" i="8" l="1"/>
  <c r="E39" i="8"/>
  <c r="E18" i="8" l="1"/>
  <c r="E16" i="8"/>
  <c r="E14" i="8"/>
  <c r="E12" i="8"/>
  <c r="E40" i="8"/>
  <c r="E31" i="8"/>
  <c r="C41" i="8"/>
  <c r="D11" i="11" s="1"/>
  <c r="E25" i="8"/>
  <c r="E26" i="8"/>
  <c r="E33" i="8"/>
  <c r="E17" i="8"/>
  <c r="E13" i="8"/>
  <c r="E15" i="8"/>
  <c r="E20" i="8"/>
  <c r="E11" i="8"/>
  <c r="E22" i="8"/>
  <c r="E24" i="8"/>
  <c r="E29" i="8"/>
  <c r="E27" i="8"/>
  <c r="E32" i="8"/>
  <c r="E34" i="8"/>
  <c r="E30" i="8"/>
  <c r="E36" i="8"/>
  <c r="E37" i="8"/>
  <c r="E35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<sst xmlns="http://schemas.openxmlformats.org/spreadsheetml/2006/main" count="805" uniqueCount="474">
  <si>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</si>
  <si>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</si>
  <si>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</si>
  <si>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</si>
  <si>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</si>
  <si>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</si>
  <si>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</si>
  <si>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</si>
  <si>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</si>
  <si>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</si>
  <si>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</si>
  <si>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</si>
  <si>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</si>
  <si>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</si>
  <si>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</si>
  <si>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</si>
  <si>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</si>
  <si>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</si>
  <si>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</si>
  <si>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</si>
  <si>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</si>
  <si>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</si>
  <si>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</si>
  <si>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</si>
  <si>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</si>
  <si>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</si>
  <si>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</si>
  <si>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</si>
  <si>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</si>
  <si>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</si>
  <si>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</si>
  <si>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</si>
  <si>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</si>
  <si>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</si>
  <si>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</si>
  <si>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</si>
  <si>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</si>
  <si>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</si>
  <si>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</si>
  <si>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</si>
  <si>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</si>
  <si>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</si>
  <si>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</si>
  <si>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</si>
  <si>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</si>
  <si>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</si>
  <si>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</si>
  <si>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</si>
  <si>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</si>
  <si>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</si>
  <si>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</si>
  <si>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</si>
  <si>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</si>
  <si>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</si>
  <si>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</si>
  <si>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</si>
  <si>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</si>
  <si>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</si>
  <si>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</si>
  <si>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</si>
  <si>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</si>
  <si>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</si>
  <si>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</si>
  <si>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</si>
  <si>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</si>
  <si>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</si>
  <si>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</si>
  <si>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</si>
  <si>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</si>
  <si>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</si>
  <si>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</si>
  <si>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</si>
  <si>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</si>
  <si>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</si>
  <si>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</si>
  <si>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</si>
  <si>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</si>
  <si>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</si>
  <si>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</si>
  <si>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</si>
  <si>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</si>
  <si>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</si>
  <si>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</si>
  <si>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</si>
  <si>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ЗПС 110 кВ</t>
  </si>
  <si>
    <t>Сопоставимый уровень цен: - 4 кв. 2019 г.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</si>
  <si>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</si>
  <si>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</si>
  <si>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</si>
  <si>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</si>
  <si>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</si>
  <si>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</si>
  <si>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</si>
  <si>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</si>
  <si>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</si>
  <si>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</si>
  <si>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</si>
  <si>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</si>
  <si>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</si>
  <si>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</si>
  <si>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</si>
  <si>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</si>
  <si>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</si>
  <si>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</si>
  <si>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</si>
  <si>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</si>
  <si>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</si>
  <si>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</si>
  <si>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</si>
  <si>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</si>
  <si>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</si>
  <si>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</si>
  <si>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</si>
  <si>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</si>
  <si>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</si>
  <si>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</si>
  <si>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</si>
  <si>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</si>
  <si>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</t>
  </si>
  <si>
    <t>Номер сметы</t>
  </si>
  <si>
    <t>Наименование сметы</t>
  </si>
  <si>
    <t>Сметная стоимость в уровне цен 4 кв. 2019 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</si>
  <si>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</si>
  <si>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</si>
  <si>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</si>
  <si>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</si>
  <si>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</t>
  </si>
  <si>
    <t>Всего по объекту:</t>
  </si>
  <si>
    <t>Всего по объекту в сопоставимом уровне цен 4 кв. 2019 г.: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</si>
  <si>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</si>
  <si>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</si>
  <si>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</si>
  <si>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</si>
  <si>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</si>
  <si>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ЗПС 110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</si>
  <si>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</si>
  <si>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</si>
  <si>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</si>
  <si>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</si>
  <si>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</si>
  <si>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</si>
  <si>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</si>
  <si>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</si>
  <si>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</si>
  <si>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</si>
  <si>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</si>
  <si>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</si>
  <si>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</si>
  <si>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</si>
  <si>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</si>
  <si>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</si>
  <si>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</si>
  <si>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</si>
  <si>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</si>
  <si>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</si>
  <si>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</si>
  <si>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</si>
  <si>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</si>
  <si>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</si>
  <si>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</si>
  <si>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</si>
  <si>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</si>
  <si>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</si>
  <si>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</si>
  <si>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</si>
  <si>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</si>
  <si>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</si>
  <si>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</si>
  <si>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</si>
  <si>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</si>
  <si>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</si>
  <si>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</si>
  <si>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</si>
  <si>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</si>
  <si>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</si>
  <si>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</si>
  <si>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</si>
  <si>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</si>
  <si>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</si>
  <si>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</si>
  <si>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</si>
  <si>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</si>
  <si>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</si>
  <si>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</si>
  <si>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</si>
  <si>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</si>
  <si>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</si>
  <si>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</si>
  <si>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</si>
  <si>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</si>
  <si>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</si>
  <si>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</si>
  <si>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</si>
  <si>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</si>
  <si>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</si>
  <si>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</si>
  <si>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</si>
  <si>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</si>
  <si>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</si>
  <si>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</si>
  <si>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</si>
  <si>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</si>
  <si>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</si>
  <si>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</si>
  <si>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</si>
  <si>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</si>
  <si>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</si>
  <si>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</si>
  <si>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</si>
  <si>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</si>
  <si>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</si>
  <si>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</si>
  <si>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</si>
  <si>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</si>
  <si>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</si>
  <si>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</si>
  <si>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</si>
  <si>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</si>
  <si>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</si>
  <si>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</si>
  <si>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</si>
  <si>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</si>
  <si>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</si>
  <si>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</si>
  <si>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</si>
  <si>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</si>
  <si>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</si>
  <si>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</si>
  <si>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</si>
  <si>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</si>
  <si>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</si>
  <si>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</si>
  <si>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</si>
  <si>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</si>
  <si>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</si>
  <si>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</si>
  <si>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</si>
  <si>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</si>
  <si>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</si>
  <si>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</si>
  <si>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</si>
  <si>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</si>
  <si>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</si>
  <si>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</si>
  <si>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</si>
  <si>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</si>
  <si>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</si>
  <si>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</si>
  <si>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</si>
  <si>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</si>
  <si>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</si>
  <si>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</si>
  <si>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</si>
  <si>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</si>
  <si>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</si>
  <si>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</si>
  <si>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</si>
  <si>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</si>
  <si>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</si>
  <si>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</si>
  <si>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</si>
  <si>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</si>
  <si>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</si>
  <si>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</si>
  <si>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</si>
  <si>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</si>
  <si>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</si>
  <si>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</si>
  <si>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</si>
  <si>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</si>
  <si>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</si>
  <si>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</si>
  <si>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</si>
  <si>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</si>
  <si>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</si>
  <si>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</si>
  <si>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</si>
  <si>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</si>
  <si>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</si>
  <si>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ЗПС 110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</si>
  <si>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</si>
  <si>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</si>
  <si>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</si>
  <si>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</si>
  <si>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</si>
  <si>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</si>
  <si>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</si>
  <si>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</si>
  <si>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</si>
  <si>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</si>
  <si>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</si>
  <si>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</si>
  <si>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</si>
  <si>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</si>
  <si>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</si>
  <si>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</si>
  <si>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</si>
  <si>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</si>
  <si>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</si>
  <si>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</si>
  <si>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</si>
  <si>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</si>
  <si>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</si>
  <si>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</si>
  <si>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</si>
  <si>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</si>
  <si>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</si>
  <si>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</si>
  <si>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</si>
  <si>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</si>
  <si>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</si>
  <si>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</si>
  <si>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</si>
  <si>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</si>
  <si>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</si>
  <si>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</si>
  <si>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</si>
  <si>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</si>
  <si>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</si>
  <si>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</si>
  <si>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</si>
  <si>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</si>
  <si>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З2-02</t>
  </si>
  <si>
    <t>УНЦ постоянной части ЗПС 220 кВ</t>
  </si>
  <si>
    <t>З2_ЗПС_ворота_110_кВ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</si>
  <si>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</si>
  <si>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</si>
  <si>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</si>
  <si>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</si>
  <si>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</si>
  <si>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</si>
  <si>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</si>
  <si>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</si>
  <si>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</si>
  <si>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</si>
  <si>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</si>
  <si>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</si>
  <si>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</si>
  <si>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</si>
  <si>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</si>
  <si>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</si>
  <si>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</si>
  <si>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</si>
  <si>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</si>
  <si>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</si>
  <si>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</si>
  <si>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</si>
  <si>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</si>
  <si>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</si>
  <si>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</si>
  <si>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</si>
  <si>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</si>
  <si>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</si>
  <si>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</si>
  <si>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</si>
  <si>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</si>
  <si>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</si>
  <si>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</si>
  <si>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</si>
  <si>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</si>
  <si>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</si>
  <si>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</si>
  <si>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</si>
  <si>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</si>
  <si>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</si>
  <si>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</si>
  <si>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</si>
  <si>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</si>
  <si>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</si>
  <si>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</si>
  <si>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</si>
  <si>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</si>
  <si>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</si>
  <si>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</si>
  <si>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</si>
  <si>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</si>
  <si>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</si>
  <si>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</si>
  <si>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</si>
  <si>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</si>
  <si>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</si>
  <si>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</si>
  <si>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</si>
  <si>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</si>
  <si>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</si>
  <si>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</si>
  <si>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</si>
  <si>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</si>
  <si>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</si>
  <si>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</si>
  <si>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</si>
  <si>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</si>
  <si>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</si>
  <si>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</si>
  <si>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</si>
  <si>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</si>
  <si>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</si>
  <si>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</si>
  <si>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</si>
  <si>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</si>
  <si>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</si>
  <si>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</si>
  <si>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</si>
  <si>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</si>
  <si>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</si>
  <si>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</si>
  <si>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</si>
  <si>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</si>
  <si>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</si>
  <si>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</si>
  <si>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</si>
  <si>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</si>
  <si>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</si>
  <si>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</si>
  <si>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</si>
  <si>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</si>
  <si>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</si>
  <si>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</si>
  <si>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</si>
  <si>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</si>
  <si>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</si>
  <si>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</si>
  <si>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</si>
  <si>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</si>
  <si>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</si>
  <si>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</si>
  <si>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</si>
  <si>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</si>
  <si>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</si>
  <si>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</si>
  <si>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</si>
  <si>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</si>
  <si>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</si>
  <si>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</si>
  <si>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</si>
  <si>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</si>
  <si>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</si>
  <si>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</si>
  <si>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</si>
  <si>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</si>
  <si>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</si>
  <si>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</si>
  <si>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</si>
  <si>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</si>
  <si>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</si>
  <si>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</si>
  <si>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</si>
  <si>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</si>
  <si>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</si>
  <si>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</si>
  <si>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</si>
  <si>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</si>
  <si>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</si>
  <si>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</si>
  <si>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</si>
  <si>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</si>
  <si>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</si>
  <si>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</si>
  <si>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</si>
  <si>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</si>
  <si>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</si>
  <si>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</si>
  <si>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</si>
  <si>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</si>
  <si>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</si>
  <si>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</si>
  <si>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</si>
  <si>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</si>
  <si>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</si>
  <si>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</si>
  <si>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</si>
  <si>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</si>
  <si>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</si>
  <si>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Е.А.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</si>
</sst>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29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vertical="center"/>
    </xf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4" fontId="18" fillId="0" borderId="1" xfId="0" applyNumberFormat="1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212725</xdr:colOff>
      <xdr:row>26</xdr:row>
      <xdr:rowOff>95249</xdr:rowOff>
    </xdr:from>
    <xdr:to>
      <xdr:col>2</xdr:col>
      <xdr:colOff>1157527</xdr:colOff>
      <xdr:row>29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27D7FCE-F7D1-4295-BA7B-81EA9758D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1925" y="1060132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374650</xdr:colOff>
      <xdr:row>23</xdr:row>
      <xdr:rowOff>587375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4B37669-8369-4810-8665-942D1B716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3850" y="10102850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904875</xdr:colOff>
      <xdr:row>18</xdr:row>
      <xdr:rowOff>58057</xdr:rowOff>
    </xdr:from>
    <xdr:to>
      <xdr:col>2</xdr:col>
      <xdr:colOff>1849677</xdr:colOff>
      <xdr:row>21</xdr:row>
      <xdr:rowOff>10770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42F586-42F8-4B70-B325-B4D44E67F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89" y="445316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1066800</xdr:colOff>
      <xdr:row>15</xdr:row>
      <xdr:rowOff>124733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EC1BC005-2CD6-494D-9CCF-8B62732C1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6514" y="3948340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297873</xdr:colOff>
      <xdr:row>68</xdr:row>
      <xdr:rowOff>77065</xdr:rowOff>
    </xdr:from>
    <xdr:to>
      <xdr:col>2</xdr:col>
      <xdr:colOff>1242675</xdr:colOff>
      <xdr:row>71</xdr:row>
      <xdr:rowOff>1203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C7E47AA-7C71-4901-A57C-F6E613525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282" y="17741610"/>
          <a:ext cx="944802" cy="547593"/>
        </a:xfrm>
        <a:prstGeom prst="rect">
          <a:avLst/>
        </a:prstGeom>
      </xdr:spPr>
    </xdr:pic>
    <xdr:clientData/>
  </xdr:twoCellAnchor>
  <xdr:oneCellAnchor>
    <xdr:from>
      <xdr:col>2</xdr:col>
      <xdr:colOff>390525</xdr:colOff>
      <xdr:row>65</xdr:row>
      <xdr:rowOff>76200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93A0761-CDE7-4FEE-9CBF-4C4A4B4D4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166878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19D8795-E6B4-4A1B-954E-9370A2563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942975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55ADEFE-CD7B-44D3-BB59-4F9265D1B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925606</xdr:colOff>
      <xdr:row>84</xdr:row>
      <xdr:rowOff>108136</xdr:rowOff>
    </xdr:from>
    <xdr:to>
      <xdr:col>2</xdr:col>
      <xdr:colOff>365458</xdr:colOff>
      <xdr:row>87</xdr:row>
      <xdr:rowOff>60849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C4F095E-9B3C-4384-B642-B03A9D080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606" y="232729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1087531</xdr:colOff>
      <xdr:row>81</xdr:row>
      <xdr:rowOff>441512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8502E31A-EB44-4652-A36F-F3C5678D3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8531" y="227681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17</xdr:row>
      <xdr:rowOff>95249</xdr:rowOff>
    </xdr:from>
    <xdr:to>
      <xdr:col>2</xdr:col>
      <xdr:colOff>230427</xdr:colOff>
      <xdr:row>20</xdr:row>
      <xdr:rowOff>47962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84FFE46-C955-4333-AECD-DBBAABABB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45434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619125</xdr:colOff>
      <xdr:row>14</xdr:row>
      <xdr:rowOff>219075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5630228-29B9-4B15-B022-5EEE230F4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" y="4038600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113319-E4BB-4569-8A71-82F5E0C1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147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10</xdr:row>
      <xdr:rowOff>504825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78B40910-3487-4391-A91F-0A713FD46F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0099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BC94F6B-F074-4DD1-93CB-94605FC88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971550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46F73D4-5EAF-4D02-A6F2-017881DFF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7" t="s">
        <v>0</v>
      </c>
      <c r="B2" s="237"/>
      <c r="C2" s="237"/>
    </row>
    <row r="3" spans="1:3" x14ac:dyDescent="0.25">
      <c r="A3" s="1"/>
      <c r="B3" s="1"/>
      <c r="C3" s="1"/>
    </row>
    <row r="4" spans="1:3" x14ac:dyDescent="0.25">
      <c r="A4" s="238" t="s">
        <v>1</v>
      </c>
      <c r="B4" s="238"/>
      <c r="C4" s="23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39" t="s">
        <v>3</v>
      </c>
      <c r="C6" s="239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29.552250798605833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1"/>
  <sheetViews>
    <sheetView view="pageBreakPreview" topLeftCell="A7" workbookViewId="0">
      <selection activeCell="D19" sqref="D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5" t="s">
        <v>310</v>
      </c>
      <c r="B1" s="285"/>
      <c r="C1" s="285"/>
      <c r="D1" s="285"/>
      <c r="E1" s="285"/>
      <c r="F1" s="285"/>
      <c r="G1" s="285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7" t="s">
        <v>311</v>
      </c>
      <c r="B3" s="237"/>
      <c r="C3" s="237"/>
      <c r="D3" s="237"/>
      <c r="E3" s="237"/>
      <c r="F3" s="237"/>
      <c r="G3" s="237"/>
    </row>
    <row r="4" spans="1:7" ht="25.5" customHeight="1" x14ac:dyDescent="0.25">
      <c r="A4" s="240" t="s">
        <v>84</v>
      </c>
      <c r="B4" s="240"/>
      <c r="C4" s="240"/>
      <c r="D4" s="240"/>
      <c r="E4" s="240"/>
      <c r="F4" s="240"/>
      <c r="G4" s="240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90" t="s">
        <v>13</v>
      </c>
      <c r="B6" s="290" t="s">
        <v>137</v>
      </c>
      <c r="C6" s="290" t="s">
        <v>46</v>
      </c>
      <c r="D6" s="290" t="s">
        <v>139</v>
      </c>
      <c r="E6" s="267" t="s">
        <v>280</v>
      </c>
      <c r="F6" s="290" t="s">
        <v>47</v>
      </c>
      <c r="G6" s="290"/>
    </row>
    <row r="7" spans="1:7" x14ac:dyDescent="0.25">
      <c r="A7" s="290"/>
      <c r="B7" s="290"/>
      <c r="C7" s="290"/>
      <c r="D7" s="290"/>
      <c r="E7" s="283"/>
      <c r="F7" s="2" t="s">
        <v>283</v>
      </c>
      <c r="G7" s="2" t="s">
        <v>142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6" t="s">
        <v>312</v>
      </c>
      <c r="C9" s="287"/>
      <c r="D9" s="287"/>
      <c r="E9" s="287"/>
      <c r="F9" s="287"/>
      <c r="G9" s="288"/>
    </row>
    <row r="10" spans="1:7" ht="27" customHeight="1" x14ac:dyDescent="0.25">
      <c r="A10" s="2"/>
      <c r="B10" s="104"/>
      <c r="C10" s="8" t="s">
        <v>313</v>
      </c>
      <c r="D10" s="104"/>
      <c r="E10" s="105"/>
      <c r="F10" s="103"/>
      <c r="G10" s="103">
        <v>0</v>
      </c>
    </row>
    <row r="11" spans="1:7" x14ac:dyDescent="0.25">
      <c r="A11" s="2"/>
      <c r="B11" s="271" t="s">
        <v>314</v>
      </c>
      <c r="C11" s="271"/>
      <c r="D11" s="271"/>
      <c r="E11" s="289"/>
      <c r="F11" s="274"/>
      <c r="G11" s="274"/>
    </row>
    <row r="12" spans="1:7" ht="33" customHeight="1" x14ac:dyDescent="0.25">
      <c r="A12" s="2">
        <v>1</v>
      </c>
      <c r="B12" s="183" t="str">
        <f>'Прил.5 Расчет СМР и ОБ'!B33</f>
        <v>БЦ.92_4.11</v>
      </c>
      <c r="C12" s="183" t="str">
        <f>'Прил.5 Расчет СМР и ОБ'!C33</f>
        <v>Мотор-редуктор для откатных ворот</v>
      </c>
      <c r="D12" s="191" t="str">
        <f>'Прил.5 Расчет СМР и ОБ'!D33</f>
        <v>шт</v>
      </c>
      <c r="E12" s="192">
        <f>'Прил.5 Расчет СМР и ОБ'!E33</f>
        <v>1</v>
      </c>
      <c r="F12" s="183">
        <f>'Прил.5 Расчет СМР и ОБ'!F33</f>
        <v>3642.45</v>
      </c>
      <c r="G12" s="32">
        <f>ROUND(E12*F12,2)</f>
        <v>3642.45</v>
      </c>
    </row>
    <row r="13" spans="1:7" ht="33" customHeight="1" x14ac:dyDescent="0.25">
      <c r="A13" s="2">
        <v>2</v>
      </c>
      <c r="B13" s="183" t="str">
        <f>'Прил.5 Расчет СМР и ОБ'!B34</f>
        <v>62.1.02.14-0069</v>
      </c>
      <c r="C13" s="183" t="str">
        <f>'Прил.5 Расчет СМР и ОБ'!C34</f>
        <v>Ящик управления РУСМ 5410-2274 У2</v>
      </c>
      <c r="D13" s="191" t="str">
        <f>'Прил.5 Расчет СМР и ОБ'!D34</f>
        <v>шт.</v>
      </c>
      <c r="E13" s="192">
        <f>'Прил.5 Расчет СМР и ОБ'!E34</f>
        <v>1</v>
      </c>
      <c r="F13" s="183">
        <f>'Прил.5 Расчет СМР и ОБ'!F34</f>
        <v>1097.28</v>
      </c>
      <c r="G13" s="32">
        <f>ROUND(E13*F13,2)</f>
        <v>1097.28</v>
      </c>
    </row>
    <row r="14" spans="1:7" ht="25.5" customHeight="1" x14ac:dyDescent="0.25">
      <c r="A14" s="2"/>
      <c r="B14" s="8"/>
      <c r="C14" s="8" t="s">
        <v>315</v>
      </c>
      <c r="D14" s="8"/>
      <c r="E14" s="47"/>
      <c r="F14" s="103"/>
      <c r="G14" s="32">
        <f>SUM(G12:G13)</f>
        <v>4739.7299999999996</v>
      </c>
    </row>
    <row r="15" spans="1:7" ht="19.5" customHeight="1" x14ac:dyDescent="0.25">
      <c r="A15" s="2"/>
      <c r="B15" s="8"/>
      <c r="C15" s="8" t="s">
        <v>316</v>
      </c>
      <c r="D15" s="8"/>
      <c r="E15" s="47"/>
      <c r="F15" s="103"/>
      <c r="G15" s="32">
        <f>G10+G14</f>
        <v>4739.7299999999996</v>
      </c>
    </row>
    <row r="16" spans="1:7" x14ac:dyDescent="0.25">
      <c r="A16" s="30"/>
      <c r="B16" s="106"/>
      <c r="C16" s="30"/>
      <c r="D16" s="30"/>
      <c r="E16" s="30"/>
      <c r="F16" s="30"/>
      <c r="G16" s="30"/>
    </row>
    <row r="17" spans="1:7" x14ac:dyDescent="0.25">
      <c r="A17" s="4" t="s">
        <v>309</v>
      </c>
      <c r="B17" s="12"/>
      <c r="C17" s="12"/>
      <c r="D17" s="30"/>
      <c r="E17" s="30"/>
      <c r="F17" s="30"/>
      <c r="G17" s="30"/>
    </row>
    <row r="18" spans="1:7" x14ac:dyDescent="0.25">
      <c r="A18" s="33" t="s">
        <v>112</v>
      </c>
      <c r="B18" s="12"/>
      <c r="C18" s="12"/>
      <c r="D18" s="30"/>
      <c r="E18" s="30"/>
      <c r="F18" s="30"/>
      <c r="G18" s="30"/>
    </row>
    <row r="19" spans="1:7" x14ac:dyDescent="0.25">
      <c r="A19" s="4"/>
      <c r="B19" s="12"/>
      <c r="C19" s="12"/>
      <c r="D19" s="30"/>
      <c r="E19" s="30"/>
      <c r="F19" s="30"/>
      <c r="G19" s="30"/>
    </row>
    <row r="20" spans="1:7" x14ac:dyDescent="0.25">
      <c r="A20" s="4" t="s">
        <v>113</v>
      </c>
      <c r="B20" s="12"/>
      <c r="C20" s="12"/>
      <c r="D20" s="30"/>
      <c r="E20" s="30"/>
      <c r="F20" s="30"/>
      <c r="G20" s="30"/>
    </row>
    <row r="21" spans="1:7" x14ac:dyDescent="0.25">
      <c r="A21" s="33" t="s">
        <v>114</v>
      </c>
      <c r="B21" s="12"/>
      <c r="C21" s="12"/>
      <c r="D21" s="30"/>
      <c r="E21" s="30"/>
      <c r="F21" s="30"/>
      <c r="G21" s="3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D19" sqref="D19"/>
    </sheetView>
  </sheetViews>
  <sheetFormatPr defaultColWidth="8.85546875" defaultRowHeight="15" x14ac:dyDescent="0.25"/>
  <cols>
    <col min="1" max="1" width="14.42578125" style="212" customWidth="1"/>
    <col min="2" max="2" width="29.5703125" style="212" customWidth="1"/>
    <col min="3" max="3" width="39.140625" style="212" customWidth="1"/>
    <col min="4" max="4" width="48.140625" style="212" customWidth="1"/>
    <col min="5" max="5" width="8.85546875" style="212"/>
  </cols>
  <sheetData>
    <row r="1" spans="1:5" x14ac:dyDescent="0.25">
      <c r="B1" s="213"/>
      <c r="C1" s="213"/>
      <c r="D1" s="214" t="s">
        <v>317</v>
      </c>
    </row>
    <row r="2" spans="1:5" x14ac:dyDescent="0.25">
      <c r="A2" s="214"/>
      <c r="B2" s="214"/>
      <c r="C2" s="214"/>
      <c r="D2" s="214"/>
    </row>
    <row r="3" spans="1:5" ht="24.75" customHeight="1" x14ac:dyDescent="0.25">
      <c r="A3" s="237" t="s">
        <v>318</v>
      </c>
      <c r="B3" s="237"/>
      <c r="C3" s="237"/>
      <c r="D3" s="237"/>
    </row>
    <row r="4" spans="1:5" ht="24.75" customHeight="1" x14ac:dyDescent="0.25">
      <c r="A4" s="215"/>
      <c r="B4" s="215"/>
      <c r="C4" s="215"/>
      <c r="D4" s="215"/>
    </row>
    <row r="5" spans="1:5" ht="39" customHeight="1" x14ac:dyDescent="0.25">
      <c r="A5" s="240" t="s">
        <v>319</v>
      </c>
      <c r="B5" s="240"/>
      <c r="C5" s="240"/>
      <c r="D5" s="216" t="str">
        <f>'Прил.5 Расчет СМР и ОБ'!D6:J6</f>
        <v>Постоянная часть ПС, откатные (раздвижные, автоматические, противопожарные) ворота ЗПС 110 кВ</v>
      </c>
    </row>
    <row r="6" spans="1:5" ht="19.899999999999999" customHeight="1" x14ac:dyDescent="0.25">
      <c r="A6" s="240" t="s">
        <v>86</v>
      </c>
      <c r="B6" s="240"/>
      <c r="C6" s="240"/>
      <c r="D6" s="216"/>
    </row>
    <row r="7" spans="1:5" x14ac:dyDescent="0.25">
      <c r="A7" s="213"/>
      <c r="B7" s="213"/>
      <c r="C7" s="213"/>
      <c r="D7" s="213"/>
    </row>
    <row r="8" spans="1:5" ht="14.45" customHeight="1" x14ac:dyDescent="0.25">
      <c r="A8" s="254" t="s">
        <v>5</v>
      </c>
      <c r="B8" s="254" t="s">
        <v>6</v>
      </c>
      <c r="C8" s="254" t="s">
        <v>320</v>
      </c>
      <c r="D8" s="254" t="s">
        <v>321</v>
      </c>
    </row>
    <row r="9" spans="1:5" ht="15" customHeight="1" x14ac:dyDescent="0.25">
      <c r="A9" s="254"/>
      <c r="B9" s="254"/>
      <c r="C9" s="254"/>
      <c r="D9" s="254"/>
    </row>
    <row r="10" spans="1:5" x14ac:dyDescent="0.25">
      <c r="A10" s="217">
        <v>1</v>
      </c>
      <c r="B10" s="217">
        <v>2</v>
      </c>
      <c r="C10" s="217">
        <v>3</v>
      </c>
      <c r="D10" s="217">
        <v>4</v>
      </c>
    </row>
    <row r="11" spans="1:5" ht="41.45" customHeight="1" x14ac:dyDescent="0.25">
      <c r="A11" s="225" t="s">
        <v>322</v>
      </c>
      <c r="B11" s="226" t="s">
        <v>323</v>
      </c>
      <c r="C11" s="227" t="s">
        <v>324</v>
      </c>
      <c r="D11" s="218">
        <f>'Прил.4 РМ'!C41/1000</f>
        <v>290.84666999999996</v>
      </c>
      <c r="E11" s="219"/>
    </row>
    <row r="12" spans="1:5" x14ac:dyDescent="0.25">
      <c r="A12" s="220"/>
      <c r="B12" s="221"/>
      <c r="C12" s="220"/>
      <c r="D12" s="220"/>
    </row>
    <row r="13" spans="1:5" x14ac:dyDescent="0.25">
      <c r="A13" s="213" t="s">
        <v>325</v>
      </c>
      <c r="B13" s="222"/>
      <c r="C13" s="222"/>
      <c r="D13" s="220"/>
    </row>
    <row r="14" spans="1:5" x14ac:dyDescent="0.25">
      <c r="A14" s="223" t="s">
        <v>112</v>
      </c>
      <c r="B14" s="222"/>
      <c r="C14" s="222"/>
      <c r="D14" s="220"/>
    </row>
    <row r="15" spans="1:5" x14ac:dyDescent="0.25">
      <c r="A15" s="213"/>
      <c r="B15" s="222"/>
      <c r="C15" s="222"/>
      <c r="D15" s="220"/>
    </row>
    <row r="16" spans="1:5" x14ac:dyDescent="0.25">
      <c r="A16" s="213" t="s">
        <v>130</v>
      </c>
      <c r="B16" s="222"/>
      <c r="C16" s="222"/>
      <c r="D16" s="220"/>
    </row>
    <row r="17" spans="1:4" x14ac:dyDescent="0.25">
      <c r="A17" s="223" t="s">
        <v>114</v>
      </c>
      <c r="B17" s="222"/>
      <c r="C17" s="222"/>
      <c r="D17" s="220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4:E30"/>
  <sheetViews>
    <sheetView view="pageBreakPreview" topLeftCell="A4" zoomScale="60" zoomScaleNormal="85" workbookViewId="0">
      <selection activeCell="C30" sqref="C30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8" t="s">
        <v>326</v>
      </c>
      <c r="C4" s="248"/>
      <c r="D4" s="248"/>
    </row>
    <row r="5" spans="2:5" ht="18.75" customHeight="1" x14ac:dyDescent="0.25">
      <c r="B5" s="131"/>
    </row>
    <row r="6" spans="2:5" ht="15.75" customHeight="1" x14ac:dyDescent="0.25">
      <c r="B6" s="253" t="s">
        <v>327</v>
      </c>
      <c r="C6" s="253"/>
      <c r="D6" s="253"/>
    </row>
    <row r="7" spans="2:5" x14ac:dyDescent="0.25">
      <c r="B7" s="291"/>
      <c r="C7" s="291"/>
      <c r="D7" s="291"/>
      <c r="E7" s="291"/>
    </row>
    <row r="8" spans="2:5" x14ac:dyDescent="0.25">
      <c r="B8" s="146"/>
      <c r="C8" s="146"/>
      <c r="D8" s="146"/>
      <c r="E8" s="146"/>
    </row>
    <row r="9" spans="2:5" ht="47.25" customHeight="1" x14ac:dyDescent="0.25">
      <c r="B9" s="122" t="s">
        <v>328</v>
      </c>
      <c r="C9" s="122" t="s">
        <v>329</v>
      </c>
      <c r="D9" s="122" t="s">
        <v>330</v>
      </c>
    </row>
    <row r="10" spans="2:5" ht="15.75" customHeight="1" x14ac:dyDescent="0.25">
      <c r="B10" s="122">
        <v>1</v>
      </c>
      <c r="C10" s="122">
        <v>2</v>
      </c>
      <c r="D10" s="122">
        <v>3</v>
      </c>
    </row>
    <row r="11" spans="2:5" ht="45" customHeight="1" x14ac:dyDescent="0.25">
      <c r="B11" s="122" t="s">
        <v>331</v>
      </c>
      <c r="C11" s="122" t="s">
        <v>332</v>
      </c>
      <c r="D11" s="122">
        <v>44.29</v>
      </c>
    </row>
    <row r="12" spans="2:5" ht="29.25" customHeight="1" x14ac:dyDescent="0.25">
      <c r="B12" s="122" t="s">
        <v>333</v>
      </c>
      <c r="C12" s="122" t="s">
        <v>332</v>
      </c>
      <c r="D12" s="122">
        <v>13.47</v>
      </c>
    </row>
    <row r="13" spans="2:5" ht="29.25" customHeight="1" x14ac:dyDescent="0.25">
      <c r="B13" s="122" t="s">
        <v>334</v>
      </c>
      <c r="C13" s="122" t="s">
        <v>332</v>
      </c>
      <c r="D13" s="122">
        <v>8.0399999999999991</v>
      </c>
    </row>
    <row r="14" spans="2:5" ht="30.75" customHeight="1" x14ac:dyDescent="0.25">
      <c r="B14" s="122" t="s">
        <v>335</v>
      </c>
      <c r="C14" s="116" t="s">
        <v>336</v>
      </c>
      <c r="D14" s="122">
        <v>6.26</v>
      </c>
    </row>
    <row r="15" spans="2:5" ht="89.45" customHeight="1" x14ac:dyDescent="0.25">
      <c r="B15" s="122" t="s">
        <v>337</v>
      </c>
      <c r="C15" s="122" t="s">
        <v>338</v>
      </c>
      <c r="D15" s="133">
        <v>3.9E-2</v>
      </c>
    </row>
    <row r="16" spans="2:5" ht="78.75" customHeight="1" x14ac:dyDescent="0.25">
      <c r="B16" s="122" t="s">
        <v>339</v>
      </c>
      <c r="C16" s="122" t="s">
        <v>340</v>
      </c>
      <c r="D16" s="133">
        <v>2.1000000000000001E-2</v>
      </c>
    </row>
    <row r="17" spans="2:4" ht="31.7" customHeight="1" x14ac:dyDescent="0.25">
      <c r="B17" s="122" t="s">
        <v>71</v>
      </c>
      <c r="C17" s="122" t="s">
        <v>341</v>
      </c>
      <c r="D17" s="133">
        <v>2.1399999999999999E-2</v>
      </c>
    </row>
    <row r="18" spans="2:4" ht="31.7" customHeight="1" x14ac:dyDescent="0.25">
      <c r="B18" s="122" t="s">
        <v>271</v>
      </c>
      <c r="C18" s="122" t="s">
        <v>342</v>
      </c>
      <c r="D18" s="133">
        <v>2E-3</v>
      </c>
    </row>
    <row r="19" spans="2:4" ht="24" customHeight="1" x14ac:dyDescent="0.25">
      <c r="B19" s="122" t="s">
        <v>74</v>
      </c>
      <c r="C19" s="122" t="s">
        <v>343</v>
      </c>
      <c r="D19" s="133">
        <v>0.03</v>
      </c>
    </row>
    <row r="20" spans="2:4" ht="18.75" customHeight="1" x14ac:dyDescent="0.25">
      <c r="B20" s="132"/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6" spans="2:4" x14ac:dyDescent="0.25">
      <c r="B26" s="4" t="s">
        <v>111</v>
      </c>
      <c r="C26" s="12"/>
    </row>
    <row r="27" spans="2:4" x14ac:dyDescent="0.25">
      <c r="B27" s="33" t="s">
        <v>112</v>
      </c>
      <c r="C27" s="12"/>
    </row>
    <row r="28" spans="2:4" x14ac:dyDescent="0.25">
      <c r="B28" s="4"/>
      <c r="C28" s="12"/>
    </row>
    <row r="29" spans="2:4" x14ac:dyDescent="0.25">
      <c r="B29" s="4" t="s">
        <v>113</v>
      </c>
      <c r="C29" s="12"/>
    </row>
    <row r="30" spans="2:4" x14ac:dyDescent="0.25">
      <c r="B30" s="33" t="s">
        <v>114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H13" sqref="H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3" t="s">
        <v>344</v>
      </c>
      <c r="B2" s="253"/>
      <c r="C2" s="253"/>
      <c r="D2" s="253"/>
      <c r="E2" s="253"/>
      <c r="F2" s="253"/>
    </row>
    <row r="4" spans="1:7" ht="18" customHeight="1" x14ac:dyDescent="0.25">
      <c r="A4" s="117" t="s">
        <v>345</v>
      </c>
      <c r="B4" s="118"/>
      <c r="C4" s="118"/>
      <c r="D4" s="118"/>
      <c r="E4" s="118"/>
      <c r="F4" s="118"/>
      <c r="G4" s="118"/>
    </row>
    <row r="5" spans="1:7" ht="15.75" customHeight="1" x14ac:dyDescent="0.25">
      <c r="A5" s="119" t="s">
        <v>13</v>
      </c>
      <c r="B5" s="119" t="s">
        <v>346</v>
      </c>
      <c r="C5" s="119" t="s">
        <v>347</v>
      </c>
      <c r="D5" s="119" t="s">
        <v>348</v>
      </c>
      <c r="E5" s="119" t="s">
        <v>349</v>
      </c>
      <c r="F5" s="119" t="s">
        <v>350</v>
      </c>
      <c r="G5" s="118"/>
    </row>
    <row r="6" spans="1:7" ht="15.75" customHeight="1" x14ac:dyDescent="0.25">
      <c r="A6" s="119">
        <v>1</v>
      </c>
      <c r="B6" s="119">
        <v>2</v>
      </c>
      <c r="C6" s="119">
        <v>3</v>
      </c>
      <c r="D6" s="119">
        <v>4</v>
      </c>
      <c r="E6" s="119">
        <v>5</v>
      </c>
      <c r="F6" s="119">
        <v>6</v>
      </c>
      <c r="G6" s="118"/>
    </row>
    <row r="7" spans="1:7" ht="110.25" customHeight="1" x14ac:dyDescent="0.25">
      <c r="A7" s="120" t="s">
        <v>351</v>
      </c>
      <c r="B7" s="121" t="s">
        <v>352</v>
      </c>
      <c r="C7" s="122" t="s">
        <v>353</v>
      </c>
      <c r="D7" s="122" t="s">
        <v>354</v>
      </c>
      <c r="E7" s="123">
        <v>47872.94</v>
      </c>
      <c r="F7" s="121" t="s">
        <v>355</v>
      </c>
      <c r="G7" s="118"/>
    </row>
    <row r="8" spans="1:7" ht="31.7" customHeight="1" x14ac:dyDescent="0.25">
      <c r="A8" s="120" t="s">
        <v>356</v>
      </c>
      <c r="B8" s="121" t="s">
        <v>357</v>
      </c>
      <c r="C8" s="122" t="s">
        <v>358</v>
      </c>
      <c r="D8" s="122" t="s">
        <v>359</v>
      </c>
      <c r="E8" s="123">
        <f>1973/12</f>
        <v>164.41666666667001</v>
      </c>
      <c r="F8" s="121" t="s">
        <v>360</v>
      </c>
      <c r="G8" s="124"/>
    </row>
    <row r="9" spans="1:7" ht="15.75" customHeight="1" x14ac:dyDescent="0.25">
      <c r="A9" s="120" t="s">
        <v>361</v>
      </c>
      <c r="B9" s="121" t="s">
        <v>362</v>
      </c>
      <c r="C9" s="122" t="s">
        <v>363</v>
      </c>
      <c r="D9" s="122" t="s">
        <v>354</v>
      </c>
      <c r="E9" s="123">
        <v>1</v>
      </c>
      <c r="F9" s="121"/>
      <c r="G9" s="124"/>
    </row>
    <row r="10" spans="1:7" ht="15.75" customHeight="1" x14ac:dyDescent="0.25">
      <c r="A10" s="120" t="s">
        <v>364</v>
      </c>
      <c r="B10" s="121" t="s">
        <v>365</v>
      </c>
      <c r="C10" s="122"/>
      <c r="D10" s="122"/>
      <c r="E10" s="125">
        <v>4</v>
      </c>
      <c r="F10" s="121" t="s">
        <v>366</v>
      </c>
      <c r="G10" s="124"/>
    </row>
    <row r="11" spans="1:7" ht="78.75" customHeight="1" x14ac:dyDescent="0.25">
      <c r="A11" s="120" t="s">
        <v>367</v>
      </c>
      <c r="B11" s="121" t="s">
        <v>368</v>
      </c>
      <c r="C11" s="122" t="s">
        <v>369</v>
      </c>
      <c r="D11" s="122" t="s">
        <v>354</v>
      </c>
      <c r="E11" s="167">
        <v>1.34</v>
      </c>
      <c r="F11" s="121" t="s">
        <v>370</v>
      </c>
      <c r="G11" s="118"/>
    </row>
    <row r="12" spans="1:7" ht="78.75" customHeight="1" x14ac:dyDescent="0.25">
      <c r="A12" s="120" t="s">
        <v>371</v>
      </c>
      <c r="B12" s="126" t="s">
        <v>372</v>
      </c>
      <c r="C12" s="122" t="s">
        <v>373</v>
      </c>
      <c r="D12" s="122" t="s">
        <v>354</v>
      </c>
      <c r="E12" s="127">
        <v>1.139</v>
      </c>
      <c r="F12" s="128" t="s">
        <v>374</v>
      </c>
      <c r="G12" s="124"/>
    </row>
    <row r="13" spans="1:7" ht="63" customHeight="1" x14ac:dyDescent="0.25">
      <c r="A13" s="120" t="s">
        <v>375</v>
      </c>
      <c r="B13" s="129" t="s">
        <v>376</v>
      </c>
      <c r="C13" s="122" t="s">
        <v>377</v>
      </c>
      <c r="D13" s="122" t="s">
        <v>378</v>
      </c>
      <c r="E13" s="130">
        <v>444.39870291576</v>
      </c>
      <c r="F13" s="121" t="s">
        <v>379</v>
      </c>
      <c r="G13" s="118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2" t="s">
        <v>380</v>
      </c>
      <c r="B1" s="292"/>
      <c r="C1" s="292"/>
      <c r="D1" s="292"/>
      <c r="E1" s="292"/>
      <c r="F1" s="292"/>
      <c r="G1" s="292"/>
      <c r="H1" s="292"/>
      <c r="I1" s="292"/>
    </row>
    <row r="2" spans="1:13" s="34" customFormat="1" ht="13.7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40" t="e">
        <f>#REF!</f>
        <v>#REF!</v>
      </c>
      <c r="B3" s="240"/>
      <c r="C3" s="240"/>
      <c r="D3" s="240"/>
      <c r="E3" s="240"/>
      <c r="F3" s="240"/>
      <c r="G3" s="240"/>
      <c r="H3" s="240"/>
      <c r="I3" s="240"/>
    </row>
    <row r="4" spans="1:13" s="4" customFormat="1" ht="15.75" customHeight="1" x14ac:dyDescent="0.2">
      <c r="A4" s="244"/>
      <c r="B4" s="244"/>
      <c r="C4" s="244"/>
      <c r="D4" s="244"/>
      <c r="E4" s="244"/>
      <c r="F4" s="244"/>
      <c r="G4" s="244"/>
      <c r="H4" s="244"/>
      <c r="I4" s="244"/>
    </row>
    <row r="5" spans="1:13" s="36" customFormat="1" ht="36.75" customHeight="1" x14ac:dyDescent="0.35">
      <c r="A5" s="293" t="s">
        <v>13</v>
      </c>
      <c r="B5" s="293" t="s">
        <v>381</v>
      </c>
      <c r="C5" s="293" t="s">
        <v>382</v>
      </c>
      <c r="D5" s="293" t="s">
        <v>383</v>
      </c>
      <c r="E5" s="290" t="s">
        <v>384</v>
      </c>
      <c r="F5" s="290"/>
      <c r="G5" s="290"/>
      <c r="H5" s="290"/>
      <c r="I5" s="290"/>
    </row>
    <row r="6" spans="1:13" s="30" customFormat="1" ht="31.7" customHeight="1" x14ac:dyDescent="0.2">
      <c r="A6" s="293"/>
      <c r="B6" s="293"/>
      <c r="C6" s="293"/>
      <c r="D6" s="293"/>
      <c r="E6" s="37" t="s">
        <v>122</v>
      </c>
      <c r="F6" s="37" t="s">
        <v>123</v>
      </c>
      <c r="G6" s="37" t="s">
        <v>43</v>
      </c>
      <c r="H6" s="37" t="s">
        <v>385</v>
      </c>
      <c r="I6" s="37" t="s">
        <v>386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66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387</v>
      </c>
      <c r="C9" s="8" t="s">
        <v>388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389</v>
      </c>
      <c r="C11" s="8" t="s">
        <v>339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390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391</v>
      </c>
      <c r="C12" s="8" t="s">
        <v>392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393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341</v>
      </c>
      <c r="C14" s="8" t="s">
        <v>394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395</v>
      </c>
      <c r="C16" s="8" t="s">
        <v>396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397</v>
      </c>
    </row>
    <row r="17" spans="1:10" s="30" customFormat="1" ht="81.75" customHeight="1" x14ac:dyDescent="0.2">
      <c r="A17" s="38">
        <v>7</v>
      </c>
      <c r="B17" s="8" t="s">
        <v>395</v>
      </c>
      <c r="C17" s="8" t="s">
        <v>398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399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400</v>
      </c>
      <c r="C20" s="8" t="s">
        <v>74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401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77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78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79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80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5" t="s">
        <v>402</v>
      </c>
      <c r="O2" s="295"/>
    </row>
    <row r="3" spans="1:16" x14ac:dyDescent="0.25">
      <c r="A3" s="296" t="s">
        <v>403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</row>
    <row r="5" spans="1:16" ht="37.5" customHeight="1" x14ac:dyDescent="0.25">
      <c r="A5" s="297" t="s">
        <v>404</v>
      </c>
      <c r="B5" s="300" t="s">
        <v>405</v>
      </c>
      <c r="C5" s="303" t="s">
        <v>406</v>
      </c>
      <c r="D5" s="306" t="s">
        <v>407</v>
      </c>
      <c r="E5" s="307"/>
      <c r="F5" s="307"/>
      <c r="G5" s="307"/>
      <c r="H5" s="307"/>
      <c r="I5" s="306" t="s">
        <v>408</v>
      </c>
      <c r="J5" s="307"/>
      <c r="K5" s="307"/>
      <c r="L5" s="307"/>
      <c r="M5" s="307"/>
      <c r="N5" s="307"/>
      <c r="O5" s="54" t="s">
        <v>409</v>
      </c>
    </row>
    <row r="6" spans="1:16" s="57" customFormat="1" ht="150" customHeight="1" x14ac:dyDescent="0.25">
      <c r="A6" s="298"/>
      <c r="B6" s="301"/>
      <c r="C6" s="304"/>
      <c r="D6" s="303" t="s">
        <v>410</v>
      </c>
      <c r="E6" s="308" t="s">
        <v>411</v>
      </c>
      <c r="F6" s="309"/>
      <c r="G6" s="310"/>
      <c r="H6" s="55" t="s">
        <v>412</v>
      </c>
      <c r="I6" s="311" t="s">
        <v>413</v>
      </c>
      <c r="J6" s="311" t="s">
        <v>410</v>
      </c>
      <c r="K6" s="312" t="s">
        <v>411</v>
      </c>
      <c r="L6" s="312"/>
      <c r="M6" s="312"/>
      <c r="N6" s="55" t="s">
        <v>412</v>
      </c>
      <c r="O6" s="56" t="s">
        <v>414</v>
      </c>
    </row>
    <row r="7" spans="1:16" s="57" customFormat="1" ht="30.75" customHeight="1" x14ac:dyDescent="0.25">
      <c r="A7" s="299"/>
      <c r="B7" s="302"/>
      <c r="C7" s="305"/>
      <c r="D7" s="305"/>
      <c r="E7" s="54" t="s">
        <v>122</v>
      </c>
      <c r="F7" s="54" t="s">
        <v>123</v>
      </c>
      <c r="G7" s="54" t="s">
        <v>43</v>
      </c>
      <c r="H7" s="58" t="s">
        <v>415</v>
      </c>
      <c r="I7" s="311"/>
      <c r="J7" s="311"/>
      <c r="K7" s="54" t="s">
        <v>122</v>
      </c>
      <c r="L7" s="54" t="s">
        <v>123</v>
      </c>
      <c r="M7" s="54" t="s">
        <v>43</v>
      </c>
      <c r="N7" s="58" t="s">
        <v>415</v>
      </c>
      <c r="O7" s="54" t="s">
        <v>416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7" t="s">
        <v>417</v>
      </c>
      <c r="C9" s="60" t="s">
        <v>418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299"/>
      <c r="C10" s="63" t="s">
        <v>419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7" t="s">
        <v>420</v>
      </c>
      <c r="C11" s="63" t="s">
        <v>421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299"/>
      <c r="C12" s="63" t="s">
        <v>422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7" t="s">
        <v>423</v>
      </c>
      <c r="C13" s="60" t="s">
        <v>424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299"/>
      <c r="C14" s="63" t="s">
        <v>425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426</v>
      </c>
      <c r="C15" s="63" t="s">
        <v>427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428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429</v>
      </c>
    </row>
    <row r="19" spans="1:15" ht="30.75" customHeight="1" x14ac:dyDescent="0.25">
      <c r="L19" s="75"/>
    </row>
    <row r="20" spans="1:15" ht="15" customHeight="1" outlineLevel="1" x14ac:dyDescent="0.25">
      <c r="G20" s="294" t="s">
        <v>430</v>
      </c>
      <c r="H20" s="294"/>
      <c r="I20" s="294"/>
      <c r="J20" s="294"/>
      <c r="K20" s="294"/>
      <c r="L20" s="294"/>
      <c r="M20" s="294"/>
      <c r="N20" s="294"/>
    </row>
    <row r="21" spans="1:15" ht="15.75" customHeight="1" outlineLevel="1" x14ac:dyDescent="0.25">
      <c r="G21" s="76"/>
      <c r="H21" s="76" t="s">
        <v>431</v>
      </c>
      <c r="I21" s="76" t="s">
        <v>432</v>
      </c>
      <c r="J21" s="76" t="s">
        <v>433</v>
      </c>
      <c r="K21" s="77" t="s">
        <v>434</v>
      </c>
      <c r="L21" s="76" t="s">
        <v>435</v>
      </c>
      <c r="M21" s="76" t="s">
        <v>436</v>
      </c>
      <c r="N21" s="76" t="s">
        <v>437</v>
      </c>
      <c r="O21" s="70"/>
    </row>
    <row r="22" spans="1:15" ht="15.75" customHeight="1" outlineLevel="1" x14ac:dyDescent="0.25">
      <c r="G22" s="314" t="s">
        <v>438</v>
      </c>
      <c r="H22" s="313">
        <v>6.09</v>
      </c>
      <c r="I22" s="315">
        <v>6.44</v>
      </c>
      <c r="J22" s="313">
        <v>5.77</v>
      </c>
      <c r="K22" s="315">
        <v>5.77</v>
      </c>
      <c r="L22" s="313">
        <v>5.23</v>
      </c>
      <c r="M22" s="313">
        <v>5.77</v>
      </c>
      <c r="N22" s="78">
        <v>6.29</v>
      </c>
      <c r="O22" t="s">
        <v>439</v>
      </c>
    </row>
    <row r="23" spans="1:15" ht="15.75" customHeight="1" outlineLevel="1" x14ac:dyDescent="0.25">
      <c r="G23" s="314"/>
      <c r="H23" s="313"/>
      <c r="I23" s="315"/>
      <c r="J23" s="313"/>
      <c r="K23" s="315"/>
      <c r="L23" s="313"/>
      <c r="M23" s="313"/>
      <c r="N23" s="78">
        <v>6.56</v>
      </c>
      <c r="O23" t="s">
        <v>440</v>
      </c>
    </row>
    <row r="24" spans="1:15" ht="15.75" customHeight="1" outlineLevel="1" x14ac:dyDescent="0.25">
      <c r="G24" s="79" t="s">
        <v>441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415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7" customHeight="1" outlineLevel="1" x14ac:dyDescent="0.25">
      <c r="G26" s="79" t="s">
        <v>442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7" customHeight="1" outlineLevel="1" x14ac:dyDescent="0.25">
      <c r="G27" s="79" t="s">
        <v>443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385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1" t="s">
        <v>444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</row>
    <row r="4" spans="1:18" ht="36.75" customHeight="1" x14ac:dyDescent="0.25">
      <c r="A4" s="297" t="s">
        <v>404</v>
      </c>
      <c r="B4" s="300" t="s">
        <v>405</v>
      </c>
      <c r="C4" s="303" t="s">
        <v>445</v>
      </c>
      <c r="D4" s="303" t="s">
        <v>446</v>
      </c>
      <c r="E4" s="306" t="s">
        <v>447</v>
      </c>
      <c r="F4" s="307"/>
      <c r="G4" s="307"/>
      <c r="H4" s="307"/>
      <c r="I4" s="307"/>
      <c r="J4" s="307"/>
      <c r="K4" s="307"/>
      <c r="L4" s="307"/>
      <c r="M4" s="307"/>
      <c r="N4" s="332" t="s">
        <v>448</v>
      </c>
      <c r="O4" s="333"/>
      <c r="P4" s="333"/>
      <c r="Q4" s="333"/>
      <c r="R4" s="334"/>
    </row>
    <row r="5" spans="1:18" ht="60" customHeight="1" x14ac:dyDescent="0.25">
      <c r="A5" s="298"/>
      <c r="B5" s="301"/>
      <c r="C5" s="304"/>
      <c r="D5" s="304"/>
      <c r="E5" s="311" t="s">
        <v>449</v>
      </c>
      <c r="F5" s="311" t="s">
        <v>450</v>
      </c>
      <c r="G5" s="308" t="s">
        <v>411</v>
      </c>
      <c r="H5" s="309"/>
      <c r="I5" s="309"/>
      <c r="J5" s="310"/>
      <c r="K5" s="311" t="s">
        <v>451</v>
      </c>
      <c r="L5" s="311"/>
      <c r="M5" s="311"/>
      <c r="N5" s="81" t="s">
        <v>452</v>
      </c>
      <c r="O5" s="81" t="s">
        <v>453</v>
      </c>
      <c r="P5" s="81" t="s">
        <v>454</v>
      </c>
      <c r="Q5" s="82" t="s">
        <v>455</v>
      </c>
      <c r="R5" s="81" t="s">
        <v>456</v>
      </c>
    </row>
    <row r="6" spans="1:18" ht="49.7" customHeight="1" x14ac:dyDescent="0.25">
      <c r="A6" s="299"/>
      <c r="B6" s="302"/>
      <c r="C6" s="305"/>
      <c r="D6" s="305"/>
      <c r="E6" s="311"/>
      <c r="F6" s="311"/>
      <c r="G6" s="54" t="s">
        <v>122</v>
      </c>
      <c r="H6" s="54" t="s">
        <v>123</v>
      </c>
      <c r="I6" s="54" t="s">
        <v>43</v>
      </c>
      <c r="J6" s="54" t="s">
        <v>385</v>
      </c>
      <c r="K6" s="54" t="s">
        <v>452</v>
      </c>
      <c r="L6" s="54" t="s">
        <v>453</v>
      </c>
      <c r="M6" s="54" t="s">
        <v>454</v>
      </c>
      <c r="N6" s="54" t="s">
        <v>457</v>
      </c>
      <c r="O6" s="54" t="s">
        <v>458</v>
      </c>
      <c r="P6" s="54" t="s">
        <v>459</v>
      </c>
      <c r="Q6" s="55" t="s">
        <v>460</v>
      </c>
      <c r="R6" s="54" t="s">
        <v>461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7">
        <v>1</v>
      </c>
      <c r="B9" s="297" t="s">
        <v>462</v>
      </c>
      <c r="C9" s="324" t="s">
        <v>418</v>
      </c>
      <c r="D9" s="60" t="s">
        <v>463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75" hidden="1" customHeight="1" x14ac:dyDescent="0.25">
      <c r="A10" s="299"/>
      <c r="B10" s="298"/>
      <c r="C10" s="325"/>
      <c r="D10" s="60" t="s">
        <v>464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7">
        <v>2</v>
      </c>
      <c r="B11" s="298"/>
      <c r="C11" s="324" t="s">
        <v>465</v>
      </c>
      <c r="D11" s="60" t="s">
        <v>463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299"/>
      <c r="B12" s="299"/>
      <c r="C12" s="325"/>
      <c r="D12" s="60" t="s">
        <v>464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7">
        <v>3</v>
      </c>
      <c r="B13" s="297" t="s">
        <v>420</v>
      </c>
      <c r="C13" s="327" t="s">
        <v>421</v>
      </c>
      <c r="D13" s="60" t="s">
        <v>466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.2" hidden="1" customHeight="1" x14ac:dyDescent="0.25">
      <c r="A14" s="299"/>
      <c r="B14" s="298"/>
      <c r="C14" s="328"/>
      <c r="D14" s="60" t="s">
        <v>464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7">
        <v>4</v>
      </c>
      <c r="B15" s="298"/>
      <c r="C15" s="329" t="s">
        <v>422</v>
      </c>
      <c r="D15" s="63" t="s">
        <v>466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299"/>
      <c r="B16" s="299"/>
      <c r="C16" s="330"/>
      <c r="D16" s="63" t="s">
        <v>464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7">
        <v>5</v>
      </c>
      <c r="B17" s="312" t="s">
        <v>423</v>
      </c>
      <c r="C17" s="324" t="s">
        <v>467</v>
      </c>
      <c r="D17" s="60" t="s">
        <v>468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299"/>
      <c r="B18" s="312"/>
      <c r="C18" s="325"/>
      <c r="D18" s="60" t="s">
        <v>464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7">
        <v>6</v>
      </c>
      <c r="B19" s="312"/>
      <c r="C19" s="324" t="s">
        <v>425</v>
      </c>
      <c r="D19" s="63" t="s">
        <v>466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299"/>
      <c r="B20" s="312"/>
      <c r="C20" s="325"/>
      <c r="D20" s="63" t="s">
        <v>464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7">
        <v>7</v>
      </c>
      <c r="B21" s="297" t="s">
        <v>426</v>
      </c>
      <c r="C21" s="324" t="s">
        <v>427</v>
      </c>
      <c r="D21" s="63" t="s">
        <v>469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299"/>
      <c r="B22" s="299"/>
      <c r="C22" s="325"/>
      <c r="D22" s="86" t="s">
        <v>464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470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6" t="s">
        <v>471</v>
      </c>
      <c r="E26" s="326"/>
      <c r="F26" s="326"/>
      <c r="G26" s="326"/>
      <c r="H26" s="326"/>
      <c r="I26" s="326"/>
      <c r="J26" s="326"/>
      <c r="K26" s="326"/>
      <c r="L26" s="75"/>
      <c r="R26" s="93"/>
    </row>
    <row r="27" spans="1:18" outlineLevel="1" x14ac:dyDescent="0.25">
      <c r="D27" s="94"/>
      <c r="E27" s="94" t="s">
        <v>431</v>
      </c>
      <c r="F27" s="94" t="s">
        <v>432</v>
      </c>
      <c r="G27" s="94" t="s">
        <v>433</v>
      </c>
      <c r="H27" s="95" t="s">
        <v>434</v>
      </c>
      <c r="I27" s="95" t="s">
        <v>435</v>
      </c>
      <c r="J27" s="95" t="s">
        <v>436</v>
      </c>
      <c r="K27" s="66" t="s">
        <v>437</v>
      </c>
    </row>
    <row r="28" spans="1:18" outlineLevel="1" x14ac:dyDescent="0.25">
      <c r="D28" s="320" t="s">
        <v>438</v>
      </c>
      <c r="E28" s="318">
        <v>6.09</v>
      </c>
      <c r="F28" s="322">
        <v>6.63</v>
      </c>
      <c r="G28" s="318">
        <v>5.77</v>
      </c>
      <c r="H28" s="316">
        <v>5.77</v>
      </c>
      <c r="I28" s="316">
        <v>6.35</v>
      </c>
      <c r="J28" s="318">
        <v>5.77</v>
      </c>
      <c r="K28" s="96">
        <v>6.29</v>
      </c>
      <c r="L28" t="s">
        <v>439</v>
      </c>
    </row>
    <row r="29" spans="1:18" outlineLevel="1" x14ac:dyDescent="0.25">
      <c r="D29" s="321"/>
      <c r="E29" s="319"/>
      <c r="F29" s="323"/>
      <c r="G29" s="319"/>
      <c r="H29" s="317"/>
      <c r="I29" s="317"/>
      <c r="J29" s="319"/>
      <c r="K29" s="96">
        <v>6.56</v>
      </c>
      <c r="L29" t="s">
        <v>440</v>
      </c>
    </row>
    <row r="30" spans="1:18" outlineLevel="1" x14ac:dyDescent="0.25">
      <c r="D30" s="97" t="s">
        <v>441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0" t="s">
        <v>415</v>
      </c>
      <c r="E31" s="318">
        <v>11.37</v>
      </c>
      <c r="F31" s="322">
        <v>13.56</v>
      </c>
      <c r="G31" s="318">
        <v>15.91</v>
      </c>
      <c r="H31" s="316">
        <v>15.91</v>
      </c>
      <c r="I31" s="316">
        <v>14.03</v>
      </c>
      <c r="J31" s="318">
        <v>15.91</v>
      </c>
      <c r="K31" s="96">
        <v>8.2899999999999991</v>
      </c>
      <c r="L31" t="s">
        <v>439</v>
      </c>
    </row>
    <row r="32" spans="1:18" outlineLevel="1" x14ac:dyDescent="0.25">
      <c r="D32" s="321"/>
      <c r="E32" s="319"/>
      <c r="F32" s="323"/>
      <c r="G32" s="319"/>
      <c r="H32" s="317"/>
      <c r="I32" s="317"/>
      <c r="J32" s="319"/>
      <c r="K32" s="96">
        <v>11.84</v>
      </c>
      <c r="L32" t="s">
        <v>440</v>
      </c>
    </row>
    <row r="33" spans="4:12" ht="15" customHeight="1" outlineLevel="1" x14ac:dyDescent="0.25">
      <c r="D33" s="98" t="s">
        <v>442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472</v>
      </c>
    </row>
    <row r="34" spans="4:12" outlineLevel="1" x14ac:dyDescent="0.25">
      <c r="D34" s="98" t="s">
        <v>443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472</v>
      </c>
    </row>
    <row r="35" spans="4:12" outlineLevel="1" x14ac:dyDescent="0.25">
      <c r="D35" s="97" t="s">
        <v>385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7" t="s">
        <v>10</v>
      </c>
      <c r="B2" s="237"/>
      <c r="C2" s="237"/>
      <c r="D2" s="237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0"/>
    </row>
    <row r="5" spans="1:4" x14ac:dyDescent="0.25">
      <c r="A5" s="5"/>
      <c r="B5" s="1"/>
      <c r="C5" s="1"/>
    </row>
    <row r="6" spans="1:4" x14ac:dyDescent="0.25">
      <c r="A6" s="237" t="s">
        <v>12</v>
      </c>
      <c r="B6" s="237"/>
      <c r="C6" s="237"/>
      <c r="D6" s="23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29.552250798605833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4.7397299999999998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29.552250798605833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1" t="s">
        <v>5</v>
      </c>
      <c r="B15" s="242" t="s">
        <v>15</v>
      </c>
      <c r="C15" s="242"/>
      <c r="D15" s="242"/>
    </row>
    <row r="16" spans="1:4" x14ac:dyDescent="0.25">
      <c r="A16" s="241"/>
      <c r="B16" s="241" t="s">
        <v>17</v>
      </c>
      <c r="C16" s="242" t="s">
        <v>28</v>
      </c>
      <c r="D16" s="242"/>
    </row>
    <row r="17" spans="1:4" ht="39.200000000000003" customHeight="1" x14ac:dyDescent="0.25">
      <c r="A17" s="241"/>
      <c r="B17" s="24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29.552250798605833</v>
      </c>
      <c r="C18" s="3">
        <f>C11</f>
        <v>0</v>
      </c>
      <c r="D18" s="3">
        <f>C12</f>
        <v>4.7397299999999998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3" t="s">
        <v>29</v>
      </c>
      <c r="B2" s="243"/>
      <c r="C2" s="243"/>
      <c r="D2" s="243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3" t="s">
        <v>45</v>
      </c>
      <c r="B1" s="243"/>
      <c r="C1" s="243"/>
      <c r="D1" s="243"/>
    </row>
    <row r="2" spans="1:10" x14ac:dyDescent="0.25">
      <c r="A2" s="244" t="str">
        <f>'4.1 Отдел 1'!A10</f>
        <v>И5-05-02</v>
      </c>
      <c r="B2" s="244"/>
      <c r="C2" s="244"/>
      <c r="D2" s="244"/>
    </row>
    <row r="3" spans="1:10" x14ac:dyDescent="0.25">
      <c r="A3" s="245"/>
      <c r="B3" s="245"/>
      <c r="C3" s="245"/>
      <c r="D3" s="245"/>
    </row>
    <row r="4" spans="1:10" ht="51.75" customHeight="1" x14ac:dyDescent="0.25">
      <c r="A4" s="240" t="e">
        <f>#REF!</f>
        <v>#REF!</v>
      </c>
      <c r="B4" s="240"/>
      <c r="C4" s="240"/>
      <c r="D4" s="240"/>
    </row>
    <row r="5" spans="1:10" ht="15" customHeight="1" x14ac:dyDescent="0.25">
      <c r="A5" s="240"/>
      <c r="B5" s="246"/>
      <c r="C5" s="246"/>
      <c r="D5" s="246"/>
    </row>
    <row r="6" spans="1:10" x14ac:dyDescent="0.25">
      <c r="A6" s="4"/>
      <c r="B6" s="4"/>
      <c r="C6" s="4"/>
      <c r="D6" s="4"/>
    </row>
    <row r="7" spans="1:10" ht="53.1" customHeight="1" x14ac:dyDescent="0.25">
      <c r="A7" s="7" t="s">
        <v>46</v>
      </c>
      <c r="B7" s="2" t="s">
        <v>47</v>
      </c>
      <c r="C7" s="2" t="s">
        <v>48</v>
      </c>
      <c r="D7" s="2" t="s">
        <v>49</v>
      </c>
    </row>
    <row r="8" spans="1:10" x14ac:dyDescent="0.25">
      <c r="A8" s="25" t="s">
        <v>50</v>
      </c>
      <c r="B8" s="26">
        <f>'Прил.5 Расчет СМР и ОБ'!G14</f>
        <v>895.98</v>
      </c>
      <c r="C8" s="27">
        <f t="shared" ref="C8:C15" si="0">B8/$B$21</f>
        <v>5.6652484260564254E-2</v>
      </c>
      <c r="D8" s="27">
        <f t="shared" ref="D8:D15" si="1">B8/$B$35</f>
        <v>3.0318502847920776E-2</v>
      </c>
      <c r="I8" s="28"/>
      <c r="J8" s="28"/>
    </row>
    <row r="9" spans="1:10" x14ac:dyDescent="0.25">
      <c r="A9" s="25" t="s">
        <v>51</v>
      </c>
      <c r="B9" s="26">
        <f>'Прил.5 Расчет СМР и ОБ'!G22</f>
        <v>1104.19</v>
      </c>
      <c r="C9" s="27">
        <f t="shared" si="0"/>
        <v>6.9817525609581071E-2</v>
      </c>
      <c r="D9" s="27">
        <f t="shared" si="1"/>
        <v>3.7363989887771648E-2</v>
      </c>
      <c r="I9" s="28"/>
      <c r="J9" s="28"/>
    </row>
    <row r="10" spans="1:10" x14ac:dyDescent="0.25">
      <c r="A10" s="25" t="s">
        <v>52</v>
      </c>
      <c r="B10" s="26">
        <f>'Прил.5 Расчет СМР и ОБ'!G29</f>
        <v>170.32999999999998</v>
      </c>
      <c r="C10" s="27">
        <f t="shared" si="0"/>
        <v>1.0769902948840273E-2</v>
      </c>
      <c r="D10" s="27">
        <f t="shared" si="1"/>
        <v>5.7636895802209258E-3</v>
      </c>
      <c r="I10" s="28"/>
      <c r="J10" s="28"/>
    </row>
    <row r="11" spans="1:10" x14ac:dyDescent="0.25">
      <c r="A11" s="25" t="s">
        <v>53</v>
      </c>
      <c r="B11" s="26">
        <f>B9+B10</f>
        <v>1274.52</v>
      </c>
      <c r="C11" s="27">
        <f t="shared" si="0"/>
        <v>8.058742855842134E-2</v>
      </c>
      <c r="D11" s="27">
        <f t="shared" si="1"/>
        <v>4.3127679467992577E-2</v>
      </c>
      <c r="I11" s="28"/>
      <c r="J11" s="28"/>
    </row>
    <row r="12" spans="1:10" x14ac:dyDescent="0.25">
      <c r="A12" s="25" t="s">
        <v>54</v>
      </c>
      <c r="B12" s="26">
        <f>'Прил.5 Расчет СМР и ОБ'!G16</f>
        <v>87.9</v>
      </c>
      <c r="C12" s="27">
        <f t="shared" si="0"/>
        <v>5.5578845136092306E-3</v>
      </c>
      <c r="D12" s="27">
        <f t="shared" si="1"/>
        <v>2.9743927323514323E-3</v>
      </c>
      <c r="I12" s="28"/>
      <c r="J12" s="28"/>
    </row>
    <row r="13" spans="1:10" x14ac:dyDescent="0.25">
      <c r="A13" s="25" t="s">
        <v>55</v>
      </c>
      <c r="B13" s="26">
        <f>'Прил.5 Расчет СМР и ОБ'!G46</f>
        <v>10612.039999999999</v>
      </c>
      <c r="C13" s="27">
        <f t="shared" si="0"/>
        <v>0.67099536716497932</v>
      </c>
      <c r="D13" s="27">
        <f t="shared" si="1"/>
        <v>0.35909413710378485</v>
      </c>
      <c r="I13" s="28"/>
      <c r="J13" s="28"/>
    </row>
    <row r="14" spans="1:10" x14ac:dyDescent="0.25">
      <c r="A14" s="25" t="s">
        <v>56</v>
      </c>
      <c r="B14" s="26">
        <f>'Прил.5 Расчет СМР и ОБ'!G75</f>
        <v>1345.4299999999998</v>
      </c>
      <c r="C14" s="27">
        <f t="shared" si="0"/>
        <v>8.5071041651254439E-2</v>
      </c>
      <c r="D14" s="27">
        <f t="shared" si="1"/>
        <v>4.5527158292236483E-2</v>
      </c>
      <c r="I14" s="28"/>
      <c r="J14" s="28"/>
    </row>
    <row r="15" spans="1:10" x14ac:dyDescent="0.25">
      <c r="A15" s="25" t="s">
        <v>57</v>
      </c>
      <c r="B15" s="26">
        <f>B13+B14</f>
        <v>11957.47</v>
      </c>
      <c r="C15" s="27">
        <f t="shared" si="0"/>
        <v>0.75606640881623388</v>
      </c>
      <c r="D15" s="27">
        <f t="shared" si="1"/>
        <v>0.40462129539602137</v>
      </c>
      <c r="I15" s="28"/>
      <c r="J15" s="28"/>
    </row>
    <row r="16" spans="1:10" x14ac:dyDescent="0.25">
      <c r="A16" s="25" t="s">
        <v>58</v>
      </c>
      <c r="B16" s="26">
        <f>B8+B11+B15</f>
        <v>14127.97</v>
      </c>
      <c r="C16" s="27"/>
      <c r="D16" s="27"/>
      <c r="I16" s="28"/>
      <c r="J16" s="28"/>
    </row>
    <row r="17" spans="1:10" x14ac:dyDescent="0.25">
      <c r="A17" s="25" t="s">
        <v>59</v>
      </c>
      <c r="B17" s="26">
        <f>'Прил.5 Расчет СМР и ОБ'!G79</f>
        <v>680.4</v>
      </c>
      <c r="C17" s="27">
        <f>B17/$B$21</f>
        <v>4.3021440535377931E-2</v>
      </c>
      <c r="D17" s="27">
        <f>B17/$B$35</f>
        <v>2.302362702038583E-2</v>
      </c>
      <c r="I17" s="28"/>
      <c r="J17" s="28"/>
    </row>
    <row r="18" spans="1:10" x14ac:dyDescent="0.25">
      <c r="A18" s="25" t="s">
        <v>60</v>
      </c>
      <c r="B18" s="29">
        <f>B17/(B8+B12)</f>
        <v>0.69154774972557631</v>
      </c>
      <c r="C18" s="27"/>
      <c r="D18" s="27"/>
      <c r="I18" s="28"/>
      <c r="J18" s="28"/>
    </row>
    <row r="19" spans="1:10" x14ac:dyDescent="0.25">
      <c r="A19" s="25" t="s">
        <v>61</v>
      </c>
      <c r="B19" s="26">
        <f>'Прил.5 Расчет СМР и ОБ'!G78</f>
        <v>1007</v>
      </c>
      <c r="C19" s="27">
        <f>B19/$B$21</f>
        <v>6.3672237829402664E-2</v>
      </c>
      <c r="D19" s="27">
        <f>B19/$B$35</f>
        <v>3.4075238697131881E-2</v>
      </c>
      <c r="I19" s="28"/>
      <c r="J19" s="28"/>
    </row>
    <row r="20" spans="1:10" x14ac:dyDescent="0.25">
      <c r="A20" s="25" t="s">
        <v>62</v>
      </c>
      <c r="B20" s="29">
        <f>B19/(B8+B12)</f>
        <v>1.023498800666748</v>
      </c>
      <c r="C20" s="27"/>
      <c r="D20" s="27"/>
      <c r="J20" s="28"/>
    </row>
    <row r="21" spans="1:10" x14ac:dyDescent="0.25">
      <c r="A21" s="25" t="s">
        <v>63</v>
      </c>
      <c r="B21" s="26">
        <f>B16+B17+B19</f>
        <v>15815.369999999999</v>
      </c>
      <c r="C21" s="27">
        <f>B21/$B$21</f>
        <v>1</v>
      </c>
      <c r="D21" s="27">
        <f>B21/$B$35</f>
        <v>0.53516634342945246</v>
      </c>
      <c r="J21" s="28"/>
    </row>
    <row r="22" spans="1:10" ht="26.45" customHeight="1" x14ac:dyDescent="0.25">
      <c r="A22" s="25" t="s">
        <v>64</v>
      </c>
      <c r="B22" s="26">
        <f>'Прил.6 Расчет ОБ'!G15</f>
        <v>4739.7299999999996</v>
      </c>
      <c r="C22" s="27"/>
      <c r="D22" s="27">
        <f>B22/$B$35</f>
        <v>0.16038473794434643</v>
      </c>
      <c r="J22" s="28"/>
    </row>
    <row r="23" spans="1:10" ht="26.45" customHeight="1" x14ac:dyDescent="0.25">
      <c r="A23" s="25" t="s">
        <v>65</v>
      </c>
      <c r="B23" s="26">
        <f>'Прил.6 Расчет ОБ'!G14</f>
        <v>4739.7299999999996</v>
      </c>
      <c r="C23" s="27"/>
      <c r="D23" s="27">
        <f>B23/$B$35</f>
        <v>0.16038473794434643</v>
      </c>
      <c r="J23" s="28"/>
    </row>
    <row r="24" spans="1:10" x14ac:dyDescent="0.25">
      <c r="A24" s="25" t="s">
        <v>66</v>
      </c>
      <c r="B24" s="26">
        <f>'Прил.5 Расчет СМР и ОБ'!G81</f>
        <v>20555.099999999999</v>
      </c>
      <c r="C24" s="27"/>
      <c r="D24" s="27">
        <f>B24/$B$35</f>
        <v>0.69555108137379884</v>
      </c>
      <c r="J24" s="28"/>
    </row>
    <row r="25" spans="1:10" ht="26.45" customHeight="1" x14ac:dyDescent="0.25">
      <c r="A25" s="25" t="s">
        <v>67</v>
      </c>
      <c r="B25" s="26"/>
      <c r="C25" s="27"/>
      <c r="D25" s="27"/>
      <c r="J25" s="28"/>
    </row>
    <row r="26" spans="1:10" x14ac:dyDescent="0.25">
      <c r="A26" s="25" t="s">
        <v>68</v>
      </c>
      <c r="B26" s="26">
        <f>'4.7 Прил.6 Расчет Прочие'!I9*1000</f>
        <v>278.41007999999999</v>
      </c>
      <c r="C26" s="27"/>
      <c r="D26" s="27">
        <f>B26/$B$35</f>
        <v>9.4209433283888606E-3</v>
      </c>
      <c r="J26" s="28"/>
    </row>
    <row r="27" spans="1:10" x14ac:dyDescent="0.25">
      <c r="A27" s="25" t="s">
        <v>69</v>
      </c>
      <c r="B27" s="26">
        <f>'4.7 Прил.6 Расчет Прочие'!I11*1000</f>
        <v>86.950678710000005</v>
      </c>
      <c r="C27" s="27"/>
      <c r="D27" s="27">
        <f>B27/$B$35</f>
        <v>2.9422692471905397E-3</v>
      </c>
      <c r="J27" s="28"/>
    </row>
    <row r="28" spans="1:10" x14ac:dyDescent="0.25">
      <c r="A28" s="25" t="s">
        <v>70</v>
      </c>
      <c r="B28" s="26">
        <f>'4.7 Прил.6 Расчет Прочие'!I12*1000</f>
        <v>5470.4031199999999</v>
      </c>
      <c r="C28" s="27"/>
      <c r="D28" s="27">
        <f>B28/$B$35</f>
        <v>0.18510952540569511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71</v>
      </c>
      <c r="B30" s="26">
        <f>'4.7 Прил.6 Расчет Прочие'!I14*1000</f>
        <v>2300.6417510043998</v>
      </c>
      <c r="C30" s="27"/>
      <c r="D30" s="27">
        <f>B30/$B$35</f>
        <v>7.7849967052693522E-2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72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73</v>
      </c>
      <c r="B33" s="26">
        <f>B24+B26+B27+B28+B30+B32</f>
        <v>28691.5056297144</v>
      </c>
      <c r="C33" s="27"/>
      <c r="D33" s="27">
        <f>B33/$B$35</f>
        <v>0.97087378640776689</v>
      </c>
      <c r="J33" s="28"/>
    </row>
    <row r="34" spans="1:10" x14ac:dyDescent="0.25">
      <c r="A34" s="25" t="s">
        <v>74</v>
      </c>
      <c r="B34" s="26">
        <f>B33*3%</f>
        <v>860.74516889143194</v>
      </c>
      <c r="C34" s="27"/>
      <c r="D34" s="27">
        <f>B34/$B$35</f>
        <v>2.9126213592233007E-2</v>
      </c>
      <c r="J34" s="28"/>
    </row>
    <row r="35" spans="1:10" x14ac:dyDescent="0.25">
      <c r="A35" s="25" t="s">
        <v>75</v>
      </c>
      <c r="B35" s="26">
        <f>B33+B34</f>
        <v>29552.250798605834</v>
      </c>
      <c r="C35" s="27"/>
      <c r="D35" s="27">
        <f>B35/$B$35</f>
        <v>1</v>
      </c>
      <c r="J35" s="28"/>
    </row>
    <row r="36" spans="1:10" x14ac:dyDescent="0.25">
      <c r="A36" s="25" t="s">
        <v>76</v>
      </c>
      <c r="B36" s="26">
        <f>B35</f>
        <v>29552.250798605834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77</v>
      </c>
      <c r="B38" s="30"/>
      <c r="C38" s="30"/>
      <c r="D38" s="30"/>
    </row>
    <row r="39" spans="1:10" x14ac:dyDescent="0.25">
      <c r="A39" s="31" t="s">
        <v>78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79</v>
      </c>
      <c r="B41" s="30"/>
      <c r="C41" s="30"/>
      <c r="D41" s="30"/>
    </row>
    <row r="42" spans="1:10" x14ac:dyDescent="0.25">
      <c r="A42" s="31" t="s">
        <v>80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1"/>
  <sheetViews>
    <sheetView view="pageBreakPreview" topLeftCell="A16" zoomScaleNormal="70" zoomScaleSheetLayoutView="100" workbookViewId="0">
      <selection activeCell="H23" sqref="H23"/>
    </sheetView>
  </sheetViews>
  <sheetFormatPr defaultColWidth="9.140625" defaultRowHeight="15" x14ac:dyDescent="0.25"/>
  <cols>
    <col min="1" max="2" width="9.140625" style="198"/>
    <col min="3" max="3" width="36.85546875" style="198" customWidth="1"/>
    <col min="4" max="4" width="39.42578125" style="198" customWidth="1"/>
    <col min="5" max="5" width="9.140625" style="198"/>
  </cols>
  <sheetData>
    <row r="3" spans="2:11" ht="15.75" customHeight="1" x14ac:dyDescent="0.25">
      <c r="B3" s="248" t="s">
        <v>81</v>
      </c>
      <c r="C3" s="248"/>
      <c r="D3" s="248"/>
    </row>
    <row r="4" spans="2:11" ht="18.75" customHeight="1" x14ac:dyDescent="0.25">
      <c r="B4" s="249" t="s">
        <v>82</v>
      </c>
      <c r="C4" s="249"/>
      <c r="D4" s="249"/>
    </row>
    <row r="5" spans="2:11" ht="91.5" customHeight="1" x14ac:dyDescent="0.25">
      <c r="B5" s="250" t="s">
        <v>83</v>
      </c>
      <c r="C5" s="250"/>
      <c r="D5" s="250"/>
    </row>
    <row r="6" spans="2:11" ht="18.75" customHeight="1" x14ac:dyDescent="0.25">
      <c r="B6" s="199"/>
      <c r="C6" s="199"/>
      <c r="D6" s="199"/>
    </row>
    <row r="7" spans="2:11" ht="36" customHeight="1" x14ac:dyDescent="0.25">
      <c r="B7" s="247" t="s">
        <v>84</v>
      </c>
      <c r="C7" s="247"/>
      <c r="D7" s="247"/>
    </row>
    <row r="8" spans="2:11" ht="15.75" customHeight="1" x14ac:dyDescent="0.25">
      <c r="B8" s="247" t="s">
        <v>85</v>
      </c>
      <c r="C8" s="247"/>
      <c r="D8" s="247"/>
    </row>
    <row r="9" spans="2:11" ht="15.75" customHeight="1" x14ac:dyDescent="0.25">
      <c r="B9" s="247" t="s">
        <v>86</v>
      </c>
      <c r="C9" s="247"/>
      <c r="D9" s="247"/>
    </row>
    <row r="10" spans="2:11" ht="18.75" customHeight="1" x14ac:dyDescent="0.25">
      <c r="B10" s="200"/>
    </row>
    <row r="11" spans="2:11" ht="15.75" customHeight="1" x14ac:dyDescent="0.25">
      <c r="B11" s="201" t="s">
        <v>33</v>
      </c>
      <c r="C11" s="201" t="s">
        <v>87</v>
      </c>
      <c r="D11" s="201" t="s">
        <v>88</v>
      </c>
    </row>
    <row r="12" spans="2:11" ht="31.5" customHeight="1" x14ac:dyDescent="0.25">
      <c r="B12" s="201">
        <v>1</v>
      </c>
      <c r="C12" s="202" t="s">
        <v>89</v>
      </c>
      <c r="D12" s="122" t="s">
        <v>90</v>
      </c>
      <c r="E12" s="203"/>
      <c r="F12" s="203"/>
      <c r="G12" s="203"/>
      <c r="H12" s="203"/>
      <c r="I12" s="203"/>
      <c r="J12" s="203"/>
      <c r="K12" s="203"/>
    </row>
    <row r="13" spans="2:11" ht="31.5" customHeight="1" x14ac:dyDescent="0.25">
      <c r="B13" s="201">
        <v>2</v>
      </c>
      <c r="C13" s="202" t="s">
        <v>91</v>
      </c>
      <c r="D13" s="122" t="s">
        <v>92</v>
      </c>
    </row>
    <row r="14" spans="2:11" ht="15.75" customHeight="1" x14ac:dyDescent="0.25">
      <c r="B14" s="201">
        <v>3</v>
      </c>
      <c r="C14" s="202" t="s">
        <v>93</v>
      </c>
      <c r="D14" s="122" t="s">
        <v>94</v>
      </c>
    </row>
    <row r="15" spans="2:11" ht="15.75" customHeight="1" x14ac:dyDescent="0.25">
      <c r="B15" s="201">
        <v>4</v>
      </c>
      <c r="C15" s="202" t="s">
        <v>95</v>
      </c>
      <c r="D15" s="122">
        <v>1</v>
      </c>
    </row>
    <row r="16" spans="2:11" ht="94.5" customHeight="1" x14ac:dyDescent="0.25">
      <c r="B16" s="201">
        <v>5</v>
      </c>
      <c r="C16" s="204" t="s">
        <v>96</v>
      </c>
      <c r="D16" s="205" t="s">
        <v>97</v>
      </c>
    </row>
    <row r="17" spans="2:4" ht="78.75" customHeight="1" x14ac:dyDescent="0.25">
      <c r="B17" s="201">
        <v>6</v>
      </c>
      <c r="C17" s="204" t="s">
        <v>98</v>
      </c>
      <c r="D17" s="228">
        <f>D18+D19</f>
        <v>138.99128409999997</v>
      </c>
    </row>
    <row r="18" spans="2:4" ht="15.75" customHeight="1" x14ac:dyDescent="0.25">
      <c r="B18" s="206" t="s">
        <v>99</v>
      </c>
      <c r="C18" s="202" t="s">
        <v>100</v>
      </c>
      <c r="D18" s="228">
        <f>'Прил.2 Расч стоим'!F12</f>
        <v>115.29070569999998</v>
      </c>
    </row>
    <row r="19" spans="2:4" ht="15.75" customHeight="1" x14ac:dyDescent="0.25">
      <c r="B19" s="206" t="s">
        <v>101</v>
      </c>
      <c r="C19" s="202" t="s">
        <v>102</v>
      </c>
      <c r="D19" s="228">
        <f>'Прил.2 Расч стоим'!H14</f>
        <v>23.700578399999998</v>
      </c>
    </row>
    <row r="20" spans="2:4" ht="15.75" customHeight="1" x14ac:dyDescent="0.25">
      <c r="B20" s="206" t="s">
        <v>103</v>
      </c>
      <c r="C20" s="202" t="s">
        <v>104</v>
      </c>
      <c r="D20" s="228"/>
    </row>
    <row r="21" spans="2:4" ht="31.5" customHeight="1" x14ac:dyDescent="0.25">
      <c r="B21" s="206" t="s">
        <v>105</v>
      </c>
      <c r="C21" s="202" t="s">
        <v>106</v>
      </c>
      <c r="D21" s="228"/>
    </row>
    <row r="22" spans="2:4" ht="15.75" customHeight="1" x14ac:dyDescent="0.25">
      <c r="B22" s="201">
        <v>7</v>
      </c>
      <c r="C22" s="202" t="s">
        <v>107</v>
      </c>
      <c r="D22" s="122" t="s">
        <v>108</v>
      </c>
    </row>
    <row r="23" spans="2:4" ht="110.25" customHeight="1" x14ac:dyDescent="0.25">
      <c r="B23" s="201">
        <v>8</v>
      </c>
      <c r="C23" s="204" t="s">
        <v>109</v>
      </c>
      <c r="D23" s="228">
        <f>D17</f>
        <v>138.99128409999997</v>
      </c>
    </row>
    <row r="24" spans="2:4" ht="47.25" customHeight="1" x14ac:dyDescent="0.25">
      <c r="B24" s="201">
        <v>9</v>
      </c>
      <c r="C24" s="204" t="s">
        <v>110</v>
      </c>
      <c r="D24" s="228">
        <f>D23/D15</f>
        <v>138.99128409999997</v>
      </c>
    </row>
    <row r="25" spans="2:4" ht="15.75" customHeight="1" x14ac:dyDescent="0.25">
      <c r="B25" s="207"/>
      <c r="C25" s="208"/>
      <c r="D25" s="126"/>
    </row>
    <row r="26" spans="2:4" x14ac:dyDescent="0.25">
      <c r="B26" s="209" t="s">
        <v>473</v>
      </c>
      <c r="C26" s="210"/>
    </row>
    <row r="27" spans="2:4" x14ac:dyDescent="0.25">
      <c r="B27" s="211" t="s">
        <v>112</v>
      </c>
      <c r="C27" s="210"/>
    </row>
    <row r="28" spans="2:4" x14ac:dyDescent="0.25">
      <c r="B28" s="209"/>
      <c r="C28" s="210"/>
    </row>
    <row r="29" spans="2:4" x14ac:dyDescent="0.25">
      <c r="B29" s="209" t="s">
        <v>113</v>
      </c>
      <c r="C29" s="210"/>
    </row>
    <row r="30" spans="2:4" x14ac:dyDescent="0.25">
      <c r="B30" s="211" t="s">
        <v>114</v>
      </c>
      <c r="C30" s="210"/>
    </row>
    <row r="31" spans="2:4" ht="15.75" customHeight="1" x14ac:dyDescent="0.25">
      <c r="B31" s="208"/>
      <c r="C31" s="208"/>
      <c r="D31" s="208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5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8"/>
  <sheetViews>
    <sheetView view="pageBreakPreview" zoomScale="70" zoomScaleNormal="70" workbookViewId="0">
      <selection activeCell="F20" sqref="F20"/>
    </sheetView>
  </sheetViews>
  <sheetFormatPr defaultColWidth="9.140625" defaultRowHeight="15.75" x14ac:dyDescent="0.25"/>
  <cols>
    <col min="1" max="1" width="5.5703125" style="118" customWidth="1"/>
    <col min="2" max="2" width="9.140625" style="118"/>
    <col min="3" max="3" width="35.28515625" style="118" customWidth="1"/>
    <col min="4" max="4" width="13.85546875" style="118" customWidth="1"/>
    <col min="5" max="5" width="24.85546875" style="118" customWidth="1"/>
    <col min="6" max="6" width="15.5703125" style="118" customWidth="1"/>
    <col min="7" max="7" width="14.85546875" style="118" customWidth="1"/>
    <col min="8" max="8" width="16.7109375" style="118" customWidth="1"/>
    <col min="9" max="10" width="13" style="118" customWidth="1"/>
    <col min="11" max="11" width="18" style="118" customWidth="1"/>
    <col min="12" max="12" width="9.140625" style="118"/>
  </cols>
  <sheetData>
    <row r="3" spans="2:11" x14ac:dyDescent="0.25">
      <c r="B3" s="248" t="s">
        <v>115</v>
      </c>
      <c r="C3" s="248"/>
      <c r="D3" s="248"/>
      <c r="E3" s="248"/>
      <c r="F3" s="248"/>
      <c r="G3" s="248"/>
      <c r="H3" s="248"/>
      <c r="I3" s="248"/>
      <c r="J3" s="248"/>
      <c r="K3" s="155"/>
    </row>
    <row r="4" spans="2:11" x14ac:dyDescent="0.25">
      <c r="B4" s="253" t="s">
        <v>116</v>
      </c>
      <c r="C4" s="253"/>
      <c r="D4" s="253"/>
      <c r="E4" s="253"/>
      <c r="F4" s="253"/>
      <c r="G4" s="253"/>
      <c r="H4" s="253"/>
      <c r="I4" s="253"/>
      <c r="J4" s="253"/>
      <c r="K4" s="253"/>
    </row>
    <row r="5" spans="2:11" x14ac:dyDescent="0.25">
      <c r="B5" s="156"/>
      <c r="C5" s="156"/>
      <c r="D5" s="156"/>
      <c r="E5" s="156"/>
      <c r="F5" s="156"/>
      <c r="G5" s="156"/>
      <c r="H5" s="156"/>
      <c r="I5" s="156"/>
      <c r="J5" s="156"/>
      <c r="K5" s="156"/>
    </row>
    <row r="6" spans="2:11" ht="29.25" customHeight="1" x14ac:dyDescent="0.25">
      <c r="B6" s="247" t="s">
        <v>84</v>
      </c>
      <c r="C6" s="247"/>
      <c r="D6" s="247"/>
      <c r="E6" s="247"/>
      <c r="F6" s="247"/>
      <c r="G6" s="247"/>
      <c r="H6" s="247"/>
      <c r="I6" s="247"/>
      <c r="J6" s="247"/>
      <c r="K6" s="247"/>
    </row>
    <row r="7" spans="2:11" x14ac:dyDescent="0.25">
      <c r="B7" s="247" t="s">
        <v>86</v>
      </c>
      <c r="C7" s="247"/>
      <c r="D7" s="247"/>
      <c r="E7" s="247"/>
      <c r="F7" s="247"/>
      <c r="G7" s="247"/>
      <c r="H7" s="247"/>
      <c r="I7" s="247"/>
      <c r="J7" s="247"/>
      <c r="K7" s="247"/>
    </row>
    <row r="8" spans="2:11" ht="18.75" customHeight="1" x14ac:dyDescent="0.25">
      <c r="B8" s="132"/>
    </row>
    <row r="9" spans="2:11" ht="15.75" customHeight="1" x14ac:dyDescent="0.25">
      <c r="B9" s="254" t="s">
        <v>33</v>
      </c>
      <c r="C9" s="254" t="s">
        <v>117</v>
      </c>
      <c r="D9" s="254" t="s">
        <v>118</v>
      </c>
      <c r="E9" s="254"/>
      <c r="F9" s="254"/>
      <c r="G9" s="254"/>
      <c r="H9" s="254"/>
      <c r="I9" s="254"/>
      <c r="J9" s="254"/>
    </row>
    <row r="10" spans="2:11" ht="15.75" customHeight="1" x14ac:dyDescent="0.25">
      <c r="B10" s="254"/>
      <c r="C10" s="254"/>
      <c r="D10" s="254" t="s">
        <v>119</v>
      </c>
      <c r="E10" s="254" t="s">
        <v>120</v>
      </c>
      <c r="F10" s="254" t="s">
        <v>121</v>
      </c>
      <c r="G10" s="254"/>
      <c r="H10" s="254"/>
      <c r="I10" s="254"/>
      <c r="J10" s="254"/>
    </row>
    <row r="11" spans="2:11" ht="31.7" customHeight="1" x14ac:dyDescent="0.25">
      <c r="B11" s="254"/>
      <c r="C11" s="254"/>
      <c r="D11" s="254"/>
      <c r="E11" s="254"/>
      <c r="F11" s="122" t="s">
        <v>122</v>
      </c>
      <c r="G11" s="122" t="s">
        <v>123</v>
      </c>
      <c r="H11" s="122" t="s">
        <v>43</v>
      </c>
      <c r="I11" s="122" t="s">
        <v>124</v>
      </c>
      <c r="J11" s="122" t="s">
        <v>125</v>
      </c>
    </row>
    <row r="12" spans="2:11" ht="47.25" customHeight="1" x14ac:dyDescent="0.25">
      <c r="B12" s="229"/>
      <c r="C12" s="180" t="s">
        <v>126</v>
      </c>
      <c r="D12" s="230"/>
      <c r="E12" s="122"/>
      <c r="F12" s="255">
        <f>(Прил.3!H12+Прил.3!H17+Прил.3!H19+Прил.3!H32)*8.11/1000</f>
        <v>115.29070569999998</v>
      </c>
      <c r="G12" s="256"/>
      <c r="H12" s="231">
        <f>Прил.3!H29*4.78/1000</f>
        <v>23.700578399999998</v>
      </c>
      <c r="I12" s="232"/>
      <c r="J12" s="233">
        <f>F12+H12</f>
        <v>138.99128409999997</v>
      </c>
    </row>
    <row r="13" spans="2:11" ht="15" customHeight="1" x14ac:dyDescent="0.25">
      <c r="B13" s="257" t="s">
        <v>127</v>
      </c>
      <c r="C13" s="257"/>
      <c r="D13" s="257"/>
      <c r="E13" s="257"/>
      <c r="F13" s="234"/>
      <c r="G13" s="234"/>
      <c r="H13" s="234"/>
      <c r="I13" s="235"/>
      <c r="J13" s="236"/>
    </row>
    <row r="14" spans="2:11" ht="15.75" customHeight="1" x14ac:dyDescent="0.25">
      <c r="B14" s="257" t="s">
        <v>128</v>
      </c>
      <c r="C14" s="257"/>
      <c r="D14" s="257"/>
      <c r="E14" s="257"/>
      <c r="F14" s="251">
        <f>F12</f>
        <v>115.29070569999998</v>
      </c>
      <c r="G14" s="252"/>
      <c r="H14" s="234">
        <f>H12</f>
        <v>23.700578399999998</v>
      </c>
      <c r="I14" s="235"/>
      <c r="J14" s="236">
        <f>J12</f>
        <v>138.99128409999997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129</v>
      </c>
      <c r="D18" s="12"/>
      <c r="E18" s="12"/>
    </row>
    <row r="19" spans="3:5" ht="15" customHeight="1" x14ac:dyDescent="0.25">
      <c r="C19" s="33" t="s">
        <v>112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130</v>
      </c>
      <c r="D21" s="12"/>
      <c r="E21" s="12"/>
    </row>
    <row r="22" spans="3:5" ht="15" customHeight="1" x14ac:dyDescent="0.25">
      <c r="C22" s="33" t="s">
        <v>114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4"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B14:E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O72"/>
  <sheetViews>
    <sheetView view="pageBreakPreview" zoomScale="55" zoomScaleSheetLayoutView="55" workbookViewId="0">
      <selection activeCell="F70" sqref="F70"/>
    </sheetView>
  </sheetViews>
  <sheetFormatPr defaultColWidth="9.140625" defaultRowHeight="15.75" x14ac:dyDescent="0.25"/>
  <cols>
    <col min="1" max="1" width="9.140625" style="118"/>
    <col min="2" max="2" width="12.5703125" style="118" customWidth="1"/>
    <col min="3" max="3" width="22.42578125" style="118" customWidth="1"/>
    <col min="4" max="4" width="49.7109375" style="118" customWidth="1"/>
    <col min="5" max="5" width="10.140625" style="178" customWidth="1"/>
    <col min="6" max="6" width="20.7109375" style="178" customWidth="1"/>
    <col min="7" max="7" width="20" style="118" customWidth="1"/>
    <col min="8" max="8" width="16.7109375" style="155" customWidth="1"/>
    <col min="11" max="11" width="15" customWidth="1"/>
    <col min="15" max="15" width="9.140625" style="118"/>
  </cols>
  <sheetData>
    <row r="2" spans="1:15" s="212" customFormat="1" x14ac:dyDescent="0.25">
      <c r="A2" s="118"/>
      <c r="B2" s="118"/>
      <c r="C2" s="118"/>
      <c r="D2" s="118"/>
      <c r="E2" s="178"/>
      <c r="F2" s="178"/>
      <c r="G2" s="118"/>
      <c r="H2" s="207"/>
      <c r="O2" s="118"/>
    </row>
    <row r="3" spans="1:15" x14ac:dyDescent="0.25">
      <c r="A3" s="248" t="s">
        <v>131</v>
      </c>
      <c r="B3" s="248"/>
      <c r="C3" s="248"/>
      <c r="D3" s="248"/>
      <c r="E3" s="248"/>
      <c r="F3" s="248"/>
      <c r="G3" s="248"/>
      <c r="H3" s="248"/>
    </row>
    <row r="4" spans="1:15" x14ac:dyDescent="0.25">
      <c r="A4" s="253" t="s">
        <v>132</v>
      </c>
      <c r="B4" s="253"/>
      <c r="C4" s="253"/>
      <c r="D4" s="253"/>
      <c r="E4" s="253"/>
      <c r="F4" s="253"/>
      <c r="G4" s="253"/>
      <c r="H4" s="253"/>
    </row>
    <row r="5" spans="1:15" ht="18.75" customHeight="1" x14ac:dyDescent="0.25">
      <c r="A5" s="174"/>
      <c r="B5" s="174"/>
      <c r="C5" s="259" t="s">
        <v>133</v>
      </c>
      <c r="D5" s="259"/>
      <c r="E5" s="259"/>
      <c r="F5" s="259"/>
      <c r="G5" s="259"/>
      <c r="H5" s="259"/>
    </row>
    <row r="6" spans="1:15" x14ac:dyDescent="0.25">
      <c r="A6" s="154"/>
    </row>
    <row r="7" spans="1:15" x14ac:dyDescent="0.25">
      <c r="A7" s="258" t="s">
        <v>134</v>
      </c>
      <c r="B7" s="258"/>
      <c r="C7" s="258"/>
      <c r="D7" s="258"/>
      <c r="E7" s="258"/>
      <c r="F7" s="258"/>
      <c r="G7" s="258"/>
      <c r="H7" s="258"/>
    </row>
    <row r="8" spans="1:15" x14ac:dyDescent="0.25">
      <c r="A8" s="157"/>
      <c r="B8" s="157"/>
      <c r="C8" s="157"/>
      <c r="D8" s="157"/>
      <c r="F8" s="156"/>
      <c r="G8" s="157"/>
    </row>
    <row r="9" spans="1:15" ht="38.25" customHeight="1" x14ac:dyDescent="0.25">
      <c r="A9" s="254" t="s">
        <v>135</v>
      </c>
      <c r="B9" s="254" t="s">
        <v>136</v>
      </c>
      <c r="C9" s="254" t="s">
        <v>137</v>
      </c>
      <c r="D9" s="254" t="s">
        <v>138</v>
      </c>
      <c r="E9" s="264" t="s">
        <v>139</v>
      </c>
      <c r="F9" s="254" t="s">
        <v>140</v>
      </c>
      <c r="G9" s="254" t="s">
        <v>47</v>
      </c>
      <c r="H9" s="254"/>
    </row>
    <row r="10" spans="1:15" ht="40.700000000000003" customHeight="1" x14ac:dyDescent="0.25">
      <c r="A10" s="254"/>
      <c r="B10" s="254"/>
      <c r="C10" s="254"/>
      <c r="D10" s="254"/>
      <c r="E10" s="264"/>
      <c r="F10" s="254"/>
      <c r="G10" s="122" t="s">
        <v>141</v>
      </c>
      <c r="H10" s="126" t="s">
        <v>142</v>
      </c>
    </row>
    <row r="11" spans="1:15" x14ac:dyDescent="0.25">
      <c r="A11" s="162">
        <v>1</v>
      </c>
      <c r="B11" s="162"/>
      <c r="C11" s="162">
        <v>2</v>
      </c>
      <c r="D11" s="162" t="s">
        <v>143</v>
      </c>
      <c r="E11" s="184">
        <v>4</v>
      </c>
      <c r="F11" s="162">
        <v>5</v>
      </c>
      <c r="G11" s="162">
        <v>6</v>
      </c>
      <c r="H11" s="180">
        <v>7</v>
      </c>
    </row>
    <row r="12" spans="1:15" s="159" customFormat="1" x14ac:dyDescent="0.25">
      <c r="A12" s="261" t="s">
        <v>144</v>
      </c>
      <c r="B12" s="262"/>
      <c r="C12" s="263"/>
      <c r="D12" s="263"/>
      <c r="E12" s="262"/>
      <c r="F12" s="179">
        <f>SUM(F13:F16)</f>
        <v>92.828999999999994</v>
      </c>
      <c r="G12" s="10"/>
      <c r="H12" s="172">
        <f>SUM(H13:H16)</f>
        <v>895.98</v>
      </c>
    </row>
    <row r="13" spans="1:15" x14ac:dyDescent="0.25">
      <c r="A13" s="173">
        <v>1</v>
      </c>
      <c r="B13" s="161"/>
      <c r="C13" s="147" t="s">
        <v>145</v>
      </c>
      <c r="D13" s="8" t="s">
        <v>146</v>
      </c>
      <c r="E13" s="185" t="s">
        <v>147</v>
      </c>
      <c r="F13" s="147">
        <v>30.536000000000001</v>
      </c>
      <c r="G13" s="176">
        <v>9.4</v>
      </c>
      <c r="H13" s="164">
        <f>ROUND(F13*G13,2)</f>
        <v>287.04000000000002</v>
      </c>
    </row>
    <row r="14" spans="1:15" x14ac:dyDescent="0.25">
      <c r="A14" s="173">
        <v>2</v>
      </c>
      <c r="B14" s="161"/>
      <c r="C14" s="147" t="s">
        <v>148</v>
      </c>
      <c r="D14" s="8" t="s">
        <v>149</v>
      </c>
      <c r="E14" s="185" t="s">
        <v>147</v>
      </c>
      <c r="F14" s="147">
        <v>23.22</v>
      </c>
      <c r="G14" s="176">
        <v>9.92</v>
      </c>
      <c r="H14" s="164">
        <f>ROUND(F14*G14,2)</f>
        <v>230.34</v>
      </c>
    </row>
    <row r="15" spans="1:15" x14ac:dyDescent="0.25">
      <c r="A15" s="173">
        <v>3</v>
      </c>
      <c r="B15" s="161"/>
      <c r="C15" s="147" t="s">
        <v>150</v>
      </c>
      <c r="D15" s="8" t="s">
        <v>151</v>
      </c>
      <c r="E15" s="185" t="s">
        <v>147</v>
      </c>
      <c r="F15" s="147">
        <v>19.402000000000001</v>
      </c>
      <c r="G15" s="176">
        <v>9.76</v>
      </c>
      <c r="H15" s="164">
        <f>ROUND(F15*G15,2)</f>
        <v>189.36</v>
      </c>
    </row>
    <row r="16" spans="1:15" x14ac:dyDescent="0.25">
      <c r="A16" s="173">
        <v>4</v>
      </c>
      <c r="B16" s="161"/>
      <c r="C16" s="147" t="s">
        <v>152</v>
      </c>
      <c r="D16" s="8" t="s">
        <v>153</v>
      </c>
      <c r="E16" s="185" t="s">
        <v>147</v>
      </c>
      <c r="F16" s="147">
        <v>19.670999999999999</v>
      </c>
      <c r="G16" s="176">
        <v>9.6199999999999992</v>
      </c>
      <c r="H16" s="164">
        <f>ROUND(F16*G16,2)</f>
        <v>189.24</v>
      </c>
    </row>
    <row r="17" spans="1:8" x14ac:dyDescent="0.25">
      <c r="A17" s="260" t="s">
        <v>154</v>
      </c>
      <c r="B17" s="260"/>
      <c r="C17" s="260"/>
      <c r="D17" s="260"/>
      <c r="E17" s="260"/>
      <c r="F17" s="187"/>
      <c r="G17" s="160"/>
      <c r="H17" s="172">
        <f>H18</f>
        <v>87.9</v>
      </c>
    </row>
    <row r="18" spans="1:8" x14ac:dyDescent="0.25">
      <c r="A18" s="173">
        <v>5</v>
      </c>
      <c r="B18" s="158"/>
      <c r="C18" s="170">
        <v>2</v>
      </c>
      <c r="D18" s="177" t="s">
        <v>155</v>
      </c>
      <c r="E18" s="185" t="s">
        <v>147</v>
      </c>
      <c r="F18" s="173">
        <v>6.3554000000000004</v>
      </c>
      <c r="G18" s="169"/>
      <c r="H18" s="181">
        <v>87.9</v>
      </c>
    </row>
    <row r="19" spans="1:8" s="159" customFormat="1" x14ac:dyDescent="0.25">
      <c r="A19" s="261" t="s">
        <v>156</v>
      </c>
      <c r="B19" s="262"/>
      <c r="C19" s="263"/>
      <c r="D19" s="263"/>
      <c r="E19" s="262"/>
      <c r="F19" s="187"/>
      <c r="G19" s="160"/>
      <c r="H19" s="172">
        <f>SUM(H20:H28)</f>
        <v>1274.52</v>
      </c>
    </row>
    <row r="20" spans="1:8" ht="25.5" customHeight="1" x14ac:dyDescent="0.25">
      <c r="A20" s="173">
        <v>6</v>
      </c>
      <c r="B20" s="158"/>
      <c r="C20" s="147" t="s">
        <v>157</v>
      </c>
      <c r="D20" s="8" t="s">
        <v>158</v>
      </c>
      <c r="E20" s="185" t="s">
        <v>159</v>
      </c>
      <c r="F20" s="147">
        <v>2.48</v>
      </c>
      <c r="G20" s="103">
        <v>197.01</v>
      </c>
      <c r="H20" s="164">
        <f t="shared" ref="H20:H28" si="0">ROUND(F20*G20,2)</f>
        <v>488.58</v>
      </c>
    </row>
    <row r="21" spans="1:8" s="159" customFormat="1" x14ac:dyDescent="0.25">
      <c r="A21" s="173">
        <v>7</v>
      </c>
      <c r="B21" s="158"/>
      <c r="C21" s="147" t="s">
        <v>160</v>
      </c>
      <c r="D21" s="8" t="s">
        <v>161</v>
      </c>
      <c r="E21" s="185" t="s">
        <v>159</v>
      </c>
      <c r="F21" s="147">
        <v>3.8090999999999999</v>
      </c>
      <c r="G21" s="103">
        <v>111.99</v>
      </c>
      <c r="H21" s="164">
        <f t="shared" si="0"/>
        <v>426.58</v>
      </c>
    </row>
    <row r="22" spans="1:8" x14ac:dyDescent="0.25">
      <c r="A22" s="173">
        <v>8</v>
      </c>
      <c r="B22" s="158"/>
      <c r="C22" s="147" t="s">
        <v>162</v>
      </c>
      <c r="D22" s="8" t="s">
        <v>163</v>
      </c>
      <c r="E22" s="185" t="s">
        <v>159</v>
      </c>
      <c r="F22" s="147">
        <v>2.8767999999999998</v>
      </c>
      <c r="G22" s="103">
        <v>65.709999999999994</v>
      </c>
      <c r="H22" s="164">
        <f t="shared" si="0"/>
        <v>189.03</v>
      </c>
    </row>
    <row r="23" spans="1:8" ht="25.5" customHeight="1" x14ac:dyDescent="0.25">
      <c r="A23" s="173">
        <v>9</v>
      </c>
      <c r="B23" s="158"/>
      <c r="C23" s="147" t="s">
        <v>164</v>
      </c>
      <c r="D23" s="8" t="s">
        <v>165</v>
      </c>
      <c r="E23" s="185" t="s">
        <v>159</v>
      </c>
      <c r="F23" s="147">
        <v>17.000800000000002</v>
      </c>
      <c r="G23" s="103">
        <v>8.1</v>
      </c>
      <c r="H23" s="164">
        <f t="shared" si="0"/>
        <v>137.71</v>
      </c>
    </row>
    <row r="24" spans="1:8" ht="25.5" customHeight="1" x14ac:dyDescent="0.25">
      <c r="A24" s="173">
        <v>10</v>
      </c>
      <c r="B24" s="158"/>
      <c r="C24" s="147" t="s">
        <v>166</v>
      </c>
      <c r="D24" s="8" t="s">
        <v>167</v>
      </c>
      <c r="E24" s="185" t="s">
        <v>159</v>
      </c>
      <c r="F24" s="147">
        <v>4.6440000000000001</v>
      </c>
      <c r="G24" s="103">
        <v>3.28</v>
      </c>
      <c r="H24" s="164">
        <f t="shared" si="0"/>
        <v>15.23</v>
      </c>
    </row>
    <row r="25" spans="1:8" x14ac:dyDescent="0.25">
      <c r="A25" s="173">
        <v>11</v>
      </c>
      <c r="B25" s="158"/>
      <c r="C25" s="147" t="s">
        <v>168</v>
      </c>
      <c r="D25" s="8" t="s">
        <v>169</v>
      </c>
      <c r="E25" s="185" t="s">
        <v>159</v>
      </c>
      <c r="F25" s="147">
        <v>3.9049999999999998</v>
      </c>
      <c r="G25" s="103">
        <v>2.08</v>
      </c>
      <c r="H25" s="164">
        <f t="shared" si="0"/>
        <v>8.1199999999999992</v>
      </c>
    </row>
    <row r="26" spans="1:8" ht="25.5" customHeight="1" x14ac:dyDescent="0.25">
      <c r="A26" s="173">
        <v>12</v>
      </c>
      <c r="B26" s="158"/>
      <c r="C26" s="147" t="s">
        <v>170</v>
      </c>
      <c r="D26" s="8" t="s">
        <v>171</v>
      </c>
      <c r="E26" s="185" t="s">
        <v>159</v>
      </c>
      <c r="F26" s="147">
        <v>6.6299999999999998E-2</v>
      </c>
      <c r="G26" s="103">
        <v>70.010000000000005</v>
      </c>
      <c r="H26" s="164">
        <f t="shared" si="0"/>
        <v>4.6399999999999997</v>
      </c>
    </row>
    <row r="27" spans="1:8" x14ac:dyDescent="0.25">
      <c r="A27" s="173">
        <v>13</v>
      </c>
      <c r="B27" s="158"/>
      <c r="C27" s="147" t="s">
        <v>172</v>
      </c>
      <c r="D27" s="8" t="s">
        <v>173</v>
      </c>
      <c r="E27" s="185" t="s">
        <v>159</v>
      </c>
      <c r="F27" s="147">
        <v>4.6440000000000001</v>
      </c>
      <c r="G27" s="103">
        <v>0.9</v>
      </c>
      <c r="H27" s="164">
        <f t="shared" si="0"/>
        <v>4.18</v>
      </c>
    </row>
    <row r="28" spans="1:8" x14ac:dyDescent="0.25">
      <c r="A28" s="173">
        <v>14</v>
      </c>
      <c r="B28" s="158"/>
      <c r="C28" s="147" t="s">
        <v>174</v>
      </c>
      <c r="D28" s="8" t="s">
        <v>175</v>
      </c>
      <c r="E28" s="185" t="s">
        <v>159</v>
      </c>
      <c r="F28" s="147">
        <v>0.2379</v>
      </c>
      <c r="G28" s="103">
        <v>1.9</v>
      </c>
      <c r="H28" s="164">
        <f t="shared" si="0"/>
        <v>0.45</v>
      </c>
    </row>
    <row r="29" spans="1:8" ht="15" customHeight="1" x14ac:dyDescent="0.25">
      <c r="A29" s="260" t="s">
        <v>43</v>
      </c>
      <c r="B29" s="260"/>
      <c r="C29" s="260"/>
      <c r="D29" s="260"/>
      <c r="E29" s="260"/>
      <c r="F29" s="188"/>
      <c r="G29" s="10"/>
      <c r="H29" s="172">
        <f>SUM(H30:H31)</f>
        <v>4958.28</v>
      </c>
    </row>
    <row r="30" spans="1:8" ht="15" customHeight="1" x14ac:dyDescent="0.25">
      <c r="A30" s="171">
        <v>15</v>
      </c>
      <c r="B30" s="104"/>
      <c r="C30" s="170" t="s">
        <v>176</v>
      </c>
      <c r="D30" s="182" t="s">
        <v>177</v>
      </c>
      <c r="E30" s="186" t="s">
        <v>178</v>
      </c>
      <c r="F30" s="186">
        <v>1</v>
      </c>
      <c r="G30" s="182">
        <v>3861</v>
      </c>
      <c r="H30" s="164">
        <f>ROUND(F30*G30,2)</f>
        <v>3861</v>
      </c>
    </row>
    <row r="31" spans="1:8" ht="18" customHeight="1" x14ac:dyDescent="0.25">
      <c r="A31" s="171">
        <v>16</v>
      </c>
      <c r="B31" s="104"/>
      <c r="C31" s="170" t="s">
        <v>179</v>
      </c>
      <c r="D31" s="183" t="s">
        <v>180</v>
      </c>
      <c r="E31" s="186" t="s">
        <v>181</v>
      </c>
      <c r="F31" s="186">
        <v>1</v>
      </c>
      <c r="G31" s="194">
        <v>1097.28</v>
      </c>
      <c r="H31" s="195">
        <f>ROUND(F31*G31,2)</f>
        <v>1097.28</v>
      </c>
    </row>
    <row r="32" spans="1:8" x14ac:dyDescent="0.25">
      <c r="A32" s="261" t="s">
        <v>182</v>
      </c>
      <c r="B32" s="262"/>
      <c r="C32" s="263"/>
      <c r="D32" s="263"/>
      <c r="E32" s="262"/>
      <c r="F32" s="187"/>
      <c r="G32" s="160"/>
      <c r="H32" s="172">
        <f>SUM(H33:H65)</f>
        <v>11957.47</v>
      </c>
    </row>
    <row r="33" spans="1:8" ht="38.25" customHeight="1" x14ac:dyDescent="0.25">
      <c r="A33" s="171">
        <v>17</v>
      </c>
      <c r="B33" s="158"/>
      <c r="C33" s="147" t="s">
        <v>183</v>
      </c>
      <c r="D33" s="8" t="s">
        <v>184</v>
      </c>
      <c r="E33" s="2" t="s">
        <v>185</v>
      </c>
      <c r="F33" s="147">
        <v>0.61199999999999999</v>
      </c>
      <c r="G33" s="103">
        <v>8128</v>
      </c>
      <c r="H33" s="164">
        <f t="shared" ref="H33:H65" si="1">ROUND(F33*G33,2)</f>
        <v>4974.34</v>
      </c>
    </row>
    <row r="34" spans="1:8" ht="38.25" customHeight="1" x14ac:dyDescent="0.25">
      <c r="A34" s="171">
        <v>18</v>
      </c>
      <c r="B34" s="158"/>
      <c r="C34" s="147" t="s">
        <v>186</v>
      </c>
      <c r="D34" s="8" t="s">
        <v>187</v>
      </c>
      <c r="E34" s="2" t="s">
        <v>185</v>
      </c>
      <c r="F34" s="147">
        <v>0.58799999999999997</v>
      </c>
      <c r="G34" s="103">
        <v>5999.99</v>
      </c>
      <c r="H34" s="164">
        <f t="shared" si="1"/>
        <v>3527.99</v>
      </c>
    </row>
    <row r="35" spans="1:8" ht="38.25" customHeight="1" x14ac:dyDescent="0.25">
      <c r="A35" s="171">
        <v>19</v>
      </c>
      <c r="B35" s="158"/>
      <c r="C35" s="147" t="s">
        <v>188</v>
      </c>
      <c r="D35" s="8" t="s">
        <v>189</v>
      </c>
      <c r="E35" s="2" t="s">
        <v>190</v>
      </c>
      <c r="F35" s="147">
        <v>110</v>
      </c>
      <c r="G35" s="103">
        <v>8.2799999999999994</v>
      </c>
      <c r="H35" s="164">
        <f t="shared" si="1"/>
        <v>910.8</v>
      </c>
    </row>
    <row r="36" spans="1:8" x14ac:dyDescent="0.25">
      <c r="A36" s="171">
        <v>20</v>
      </c>
      <c r="B36" s="158"/>
      <c r="C36" s="147" t="s">
        <v>191</v>
      </c>
      <c r="D36" s="8" t="s">
        <v>192</v>
      </c>
      <c r="E36" s="2" t="s">
        <v>193</v>
      </c>
      <c r="F36" s="147">
        <v>1</v>
      </c>
      <c r="G36" s="103">
        <v>682</v>
      </c>
      <c r="H36" s="164">
        <f t="shared" si="1"/>
        <v>682</v>
      </c>
    </row>
    <row r="37" spans="1:8" ht="25.5" customHeight="1" x14ac:dyDescent="0.25">
      <c r="A37" s="171">
        <v>21</v>
      </c>
      <c r="B37" s="158"/>
      <c r="C37" s="147" t="s">
        <v>194</v>
      </c>
      <c r="D37" s="8" t="s">
        <v>195</v>
      </c>
      <c r="E37" s="2" t="s">
        <v>196</v>
      </c>
      <c r="F37" s="147">
        <v>0.03</v>
      </c>
      <c r="G37" s="103">
        <v>17230.189999999999</v>
      </c>
      <c r="H37" s="164">
        <f t="shared" si="1"/>
        <v>516.91</v>
      </c>
    </row>
    <row r="38" spans="1:8" x14ac:dyDescent="0.25">
      <c r="A38" s="171">
        <v>22</v>
      </c>
      <c r="B38" s="158"/>
      <c r="C38" s="147" t="s">
        <v>197</v>
      </c>
      <c r="D38" s="8" t="s">
        <v>198</v>
      </c>
      <c r="E38" s="2" t="s">
        <v>199</v>
      </c>
      <c r="F38" s="147">
        <v>1.1000000000000001</v>
      </c>
      <c r="G38" s="103">
        <v>277.5</v>
      </c>
      <c r="H38" s="164">
        <f t="shared" si="1"/>
        <v>305.25</v>
      </c>
    </row>
    <row r="39" spans="1:8" ht="25.5" customHeight="1" x14ac:dyDescent="0.25">
      <c r="A39" s="171">
        <v>23</v>
      </c>
      <c r="B39" s="158"/>
      <c r="C39" s="147" t="s">
        <v>200</v>
      </c>
      <c r="D39" s="8" t="s">
        <v>201</v>
      </c>
      <c r="E39" s="2" t="s">
        <v>185</v>
      </c>
      <c r="F39" s="147">
        <v>5.6649999999999999E-2</v>
      </c>
      <c r="G39" s="103">
        <v>5000</v>
      </c>
      <c r="H39" s="164">
        <f t="shared" si="1"/>
        <v>283.25</v>
      </c>
    </row>
    <row r="40" spans="1:8" ht="25.5" customHeight="1" x14ac:dyDescent="0.25">
      <c r="A40" s="171">
        <v>24</v>
      </c>
      <c r="B40" s="158"/>
      <c r="C40" s="147" t="s">
        <v>202</v>
      </c>
      <c r="D40" s="8" t="s">
        <v>203</v>
      </c>
      <c r="E40" s="2" t="s">
        <v>185</v>
      </c>
      <c r="F40" s="147">
        <v>0.02</v>
      </c>
      <c r="G40" s="103">
        <v>11500</v>
      </c>
      <c r="H40" s="164">
        <f t="shared" si="1"/>
        <v>230</v>
      </c>
    </row>
    <row r="41" spans="1:8" ht="25.5" customHeight="1" x14ac:dyDescent="0.25">
      <c r="A41" s="171">
        <v>25</v>
      </c>
      <c r="B41" s="158"/>
      <c r="C41" s="147" t="s">
        <v>204</v>
      </c>
      <c r="D41" s="8" t="s">
        <v>205</v>
      </c>
      <c r="E41" s="2" t="s">
        <v>193</v>
      </c>
      <c r="F41" s="147">
        <v>0.29099999999999998</v>
      </c>
      <c r="G41" s="103">
        <v>600</v>
      </c>
      <c r="H41" s="164">
        <f t="shared" si="1"/>
        <v>174.6</v>
      </c>
    </row>
    <row r="42" spans="1:8" x14ac:dyDescent="0.25">
      <c r="A42" s="171">
        <v>26</v>
      </c>
      <c r="B42" s="158"/>
      <c r="C42" s="147" t="s">
        <v>206</v>
      </c>
      <c r="D42" s="8" t="s">
        <v>207</v>
      </c>
      <c r="E42" s="2" t="s">
        <v>196</v>
      </c>
      <c r="F42" s="147">
        <v>0.1</v>
      </c>
      <c r="G42" s="103">
        <v>887.03</v>
      </c>
      <c r="H42" s="164">
        <f t="shared" si="1"/>
        <v>88.7</v>
      </c>
    </row>
    <row r="43" spans="1:8" ht="25.5" customHeight="1" x14ac:dyDescent="0.25">
      <c r="A43" s="171">
        <v>27</v>
      </c>
      <c r="B43" s="158"/>
      <c r="C43" s="147" t="s">
        <v>208</v>
      </c>
      <c r="D43" s="8" t="s">
        <v>209</v>
      </c>
      <c r="E43" s="2" t="s">
        <v>185</v>
      </c>
      <c r="F43" s="147">
        <v>6.9999999999999999E-4</v>
      </c>
      <c r="G43" s="103">
        <v>86162.5</v>
      </c>
      <c r="H43" s="164">
        <f t="shared" si="1"/>
        <v>60.31</v>
      </c>
    </row>
    <row r="44" spans="1:8" ht="25.5" customHeight="1" x14ac:dyDescent="0.25">
      <c r="A44" s="171">
        <v>28</v>
      </c>
      <c r="B44" s="158"/>
      <c r="C44" s="147" t="s">
        <v>210</v>
      </c>
      <c r="D44" s="8" t="s">
        <v>211</v>
      </c>
      <c r="E44" s="2" t="s">
        <v>196</v>
      </c>
      <c r="F44" s="147">
        <v>0.03</v>
      </c>
      <c r="G44" s="103">
        <v>1335.52</v>
      </c>
      <c r="H44" s="164">
        <f t="shared" si="1"/>
        <v>40.07</v>
      </c>
    </row>
    <row r="45" spans="1:8" x14ac:dyDescent="0.25">
      <c r="A45" s="171">
        <v>29</v>
      </c>
      <c r="B45" s="158"/>
      <c r="C45" s="147" t="s">
        <v>212</v>
      </c>
      <c r="D45" s="8" t="s">
        <v>213</v>
      </c>
      <c r="E45" s="2" t="s">
        <v>185</v>
      </c>
      <c r="F45" s="147">
        <v>2.398E-3</v>
      </c>
      <c r="G45" s="103">
        <v>12430</v>
      </c>
      <c r="H45" s="164">
        <f t="shared" si="1"/>
        <v>29.81</v>
      </c>
    </row>
    <row r="46" spans="1:8" s="159" customFormat="1" x14ac:dyDescent="0.25">
      <c r="A46" s="171">
        <v>30</v>
      </c>
      <c r="B46" s="158"/>
      <c r="C46" s="147" t="s">
        <v>214</v>
      </c>
      <c r="D46" s="8" t="s">
        <v>215</v>
      </c>
      <c r="E46" s="2" t="s">
        <v>199</v>
      </c>
      <c r="F46" s="147">
        <v>0.55000000000000004</v>
      </c>
      <c r="G46" s="103">
        <v>39</v>
      </c>
      <c r="H46" s="164">
        <f t="shared" si="1"/>
        <v>21.45</v>
      </c>
    </row>
    <row r="47" spans="1:8" ht="25.5" customHeight="1" x14ac:dyDescent="0.25">
      <c r="A47" s="171">
        <v>31</v>
      </c>
      <c r="B47" s="158"/>
      <c r="C47" s="147" t="s">
        <v>216</v>
      </c>
      <c r="D47" s="8" t="s">
        <v>217</v>
      </c>
      <c r="E47" s="2" t="s">
        <v>193</v>
      </c>
      <c r="F47" s="147">
        <v>3.1E-2</v>
      </c>
      <c r="G47" s="103">
        <v>684</v>
      </c>
      <c r="H47" s="164">
        <f t="shared" si="1"/>
        <v>21.2</v>
      </c>
    </row>
    <row r="48" spans="1:8" x14ac:dyDescent="0.25">
      <c r="A48" s="171">
        <v>32</v>
      </c>
      <c r="B48" s="158"/>
      <c r="C48" s="147" t="s">
        <v>218</v>
      </c>
      <c r="D48" s="8" t="s">
        <v>219</v>
      </c>
      <c r="E48" s="2" t="s">
        <v>220</v>
      </c>
      <c r="F48" s="147">
        <v>1.905</v>
      </c>
      <c r="G48" s="103">
        <v>9.0399999999999991</v>
      </c>
      <c r="H48" s="164">
        <f t="shared" si="1"/>
        <v>17.22</v>
      </c>
    </row>
    <row r="49" spans="1:8" ht="25.5" customHeight="1" x14ac:dyDescent="0.25">
      <c r="A49" s="171">
        <v>33</v>
      </c>
      <c r="B49" s="158"/>
      <c r="C49" s="147" t="s">
        <v>221</v>
      </c>
      <c r="D49" s="8" t="s">
        <v>222</v>
      </c>
      <c r="E49" s="2" t="s">
        <v>223</v>
      </c>
      <c r="F49" s="147">
        <v>14.13885</v>
      </c>
      <c r="G49" s="103">
        <v>1</v>
      </c>
      <c r="H49" s="164">
        <f t="shared" si="1"/>
        <v>14.14</v>
      </c>
    </row>
    <row r="50" spans="1:8" x14ac:dyDescent="0.25">
      <c r="A50" s="171">
        <v>34</v>
      </c>
      <c r="B50" s="158"/>
      <c r="C50" s="147" t="s">
        <v>224</v>
      </c>
      <c r="D50" s="8" t="s">
        <v>225</v>
      </c>
      <c r="E50" s="2" t="s">
        <v>220</v>
      </c>
      <c r="F50" s="147">
        <v>1.3260000000000001</v>
      </c>
      <c r="G50" s="103">
        <v>10.57</v>
      </c>
      <c r="H50" s="164">
        <f t="shared" si="1"/>
        <v>14.02</v>
      </c>
    </row>
    <row r="51" spans="1:8" x14ac:dyDescent="0.25">
      <c r="A51" s="171">
        <v>35</v>
      </c>
      <c r="B51" s="158"/>
      <c r="C51" s="147" t="s">
        <v>226</v>
      </c>
      <c r="D51" s="8" t="s">
        <v>227</v>
      </c>
      <c r="E51" s="2" t="s">
        <v>178</v>
      </c>
      <c r="F51" s="147">
        <v>0.05</v>
      </c>
      <c r="G51" s="103">
        <v>266.67</v>
      </c>
      <c r="H51" s="164">
        <f t="shared" si="1"/>
        <v>13.33</v>
      </c>
    </row>
    <row r="52" spans="1:8" x14ac:dyDescent="0.25">
      <c r="A52" s="171">
        <v>36</v>
      </c>
      <c r="B52" s="158"/>
      <c r="C52" s="147" t="s">
        <v>228</v>
      </c>
      <c r="D52" s="8" t="s">
        <v>229</v>
      </c>
      <c r="E52" s="2" t="s">
        <v>178</v>
      </c>
      <c r="F52" s="147">
        <v>11</v>
      </c>
      <c r="G52" s="103">
        <v>0.71</v>
      </c>
      <c r="H52" s="164">
        <f t="shared" si="1"/>
        <v>7.81</v>
      </c>
    </row>
    <row r="53" spans="1:8" x14ac:dyDescent="0.25">
      <c r="A53" s="171">
        <v>37</v>
      </c>
      <c r="B53" s="158"/>
      <c r="C53" s="147" t="s">
        <v>230</v>
      </c>
      <c r="D53" s="8" t="s">
        <v>231</v>
      </c>
      <c r="E53" s="2" t="s">
        <v>185</v>
      </c>
      <c r="F53" s="147">
        <v>3.7199999999999999E-4</v>
      </c>
      <c r="G53" s="103">
        <v>12430</v>
      </c>
      <c r="H53" s="164">
        <f t="shared" si="1"/>
        <v>4.62</v>
      </c>
    </row>
    <row r="54" spans="1:8" x14ac:dyDescent="0.25">
      <c r="A54" s="171">
        <v>38</v>
      </c>
      <c r="B54" s="158"/>
      <c r="C54" s="147" t="s">
        <v>232</v>
      </c>
      <c r="D54" s="8" t="s">
        <v>233</v>
      </c>
      <c r="E54" s="2" t="s">
        <v>185</v>
      </c>
      <c r="F54" s="147">
        <v>4.9799999999999996E-4</v>
      </c>
      <c r="G54" s="103">
        <v>7826.9</v>
      </c>
      <c r="H54" s="164">
        <f t="shared" si="1"/>
        <v>3.9</v>
      </c>
    </row>
    <row r="55" spans="1:8" x14ac:dyDescent="0.25">
      <c r="A55" s="171">
        <v>39</v>
      </c>
      <c r="B55" s="158"/>
      <c r="C55" s="147" t="s">
        <v>234</v>
      </c>
      <c r="D55" s="8" t="s">
        <v>235</v>
      </c>
      <c r="E55" s="2" t="s">
        <v>236</v>
      </c>
      <c r="F55" s="147">
        <v>2.5260000000000001E-2</v>
      </c>
      <c r="G55" s="103">
        <v>120</v>
      </c>
      <c r="H55" s="164">
        <f t="shared" si="1"/>
        <v>3.03</v>
      </c>
    </row>
    <row r="56" spans="1:8" x14ac:dyDescent="0.25">
      <c r="A56" s="171">
        <v>40</v>
      </c>
      <c r="B56" s="158"/>
      <c r="C56" s="147" t="s">
        <v>237</v>
      </c>
      <c r="D56" s="8" t="s">
        <v>238</v>
      </c>
      <c r="E56" s="2" t="s">
        <v>239</v>
      </c>
      <c r="F56" s="147">
        <v>1.0999999999999999E-2</v>
      </c>
      <c r="G56" s="103">
        <v>270</v>
      </c>
      <c r="H56" s="164">
        <f t="shared" si="1"/>
        <v>2.97</v>
      </c>
    </row>
    <row r="57" spans="1:8" x14ac:dyDescent="0.25">
      <c r="A57" s="171">
        <v>41</v>
      </c>
      <c r="B57" s="158"/>
      <c r="C57" s="147" t="s">
        <v>240</v>
      </c>
      <c r="D57" s="8" t="s">
        <v>241</v>
      </c>
      <c r="E57" s="2" t="s">
        <v>185</v>
      </c>
      <c r="F57" s="147">
        <v>2.9999999999999997E-4</v>
      </c>
      <c r="G57" s="103">
        <v>9424</v>
      </c>
      <c r="H57" s="164">
        <f t="shared" si="1"/>
        <v>2.83</v>
      </c>
    </row>
    <row r="58" spans="1:8" ht="25.5" customHeight="1" x14ac:dyDescent="0.25">
      <c r="A58" s="171">
        <v>42</v>
      </c>
      <c r="B58" s="158"/>
      <c r="C58" s="147" t="s">
        <v>242</v>
      </c>
      <c r="D58" s="8" t="s">
        <v>243</v>
      </c>
      <c r="E58" s="2" t="s">
        <v>193</v>
      </c>
      <c r="F58" s="147">
        <v>5.0000000000000001E-3</v>
      </c>
      <c r="G58" s="103">
        <v>558.33000000000004</v>
      </c>
      <c r="H58" s="164">
        <f t="shared" si="1"/>
        <v>2.79</v>
      </c>
    </row>
    <row r="59" spans="1:8" ht="25.5" customHeight="1" x14ac:dyDescent="0.25">
      <c r="A59" s="171">
        <v>43</v>
      </c>
      <c r="B59" s="158"/>
      <c r="C59" s="147" t="s">
        <v>244</v>
      </c>
      <c r="D59" s="8" t="s">
        <v>245</v>
      </c>
      <c r="E59" s="2" t="s">
        <v>239</v>
      </c>
      <c r="F59" s="147">
        <v>1.06E-3</v>
      </c>
      <c r="G59" s="103">
        <v>1740.2</v>
      </c>
      <c r="H59" s="164">
        <f t="shared" si="1"/>
        <v>1.84</v>
      </c>
    </row>
    <row r="60" spans="1:8" x14ac:dyDescent="0.25">
      <c r="A60" s="171">
        <v>44</v>
      </c>
      <c r="B60" s="158"/>
      <c r="C60" s="147" t="s">
        <v>246</v>
      </c>
      <c r="D60" s="8" t="s">
        <v>247</v>
      </c>
      <c r="E60" s="2" t="s">
        <v>220</v>
      </c>
      <c r="F60" s="147">
        <v>0.03</v>
      </c>
      <c r="G60" s="103">
        <v>28.6</v>
      </c>
      <c r="H60" s="164">
        <f t="shared" si="1"/>
        <v>0.86</v>
      </c>
    </row>
    <row r="61" spans="1:8" s="159" customFormat="1" x14ac:dyDescent="0.25">
      <c r="A61" s="171">
        <v>45</v>
      </c>
      <c r="B61" s="158"/>
      <c r="C61" s="147" t="s">
        <v>248</v>
      </c>
      <c r="D61" s="8" t="s">
        <v>249</v>
      </c>
      <c r="E61" s="2" t="s">
        <v>250</v>
      </c>
      <c r="F61" s="147">
        <v>4.0000000000000001E-3</v>
      </c>
      <c r="G61" s="103">
        <v>110</v>
      </c>
      <c r="H61" s="164">
        <f t="shared" si="1"/>
        <v>0.44</v>
      </c>
    </row>
    <row r="62" spans="1:8" ht="25.5" customHeight="1" x14ac:dyDescent="0.25">
      <c r="A62" s="171">
        <v>46</v>
      </c>
      <c r="B62" s="158"/>
      <c r="C62" s="147" t="s">
        <v>251</v>
      </c>
      <c r="D62" s="8" t="s">
        <v>252</v>
      </c>
      <c r="E62" s="2" t="s">
        <v>185</v>
      </c>
      <c r="F62" s="147">
        <v>8.9999999999999998E-4</v>
      </c>
      <c r="G62" s="103">
        <v>480</v>
      </c>
      <c r="H62" s="164">
        <f t="shared" si="1"/>
        <v>0.43</v>
      </c>
    </row>
    <row r="63" spans="1:8" x14ac:dyDescent="0.25">
      <c r="A63" s="171">
        <v>47</v>
      </c>
      <c r="B63" s="158"/>
      <c r="C63" s="147" t="s">
        <v>253</v>
      </c>
      <c r="D63" s="8" t="s">
        <v>254</v>
      </c>
      <c r="E63" s="2" t="s">
        <v>220</v>
      </c>
      <c r="F63" s="147">
        <v>0.06</v>
      </c>
      <c r="G63" s="103">
        <v>6.4</v>
      </c>
      <c r="H63" s="164">
        <f t="shared" si="1"/>
        <v>0.38</v>
      </c>
    </row>
    <row r="64" spans="1:8" x14ac:dyDescent="0.25">
      <c r="A64" s="171">
        <v>48</v>
      </c>
      <c r="B64" s="158"/>
      <c r="C64" s="147" t="s">
        <v>255</v>
      </c>
      <c r="D64" s="8" t="s">
        <v>256</v>
      </c>
      <c r="E64" s="2" t="s">
        <v>193</v>
      </c>
      <c r="F64" s="147">
        <v>3.1E-4</v>
      </c>
      <c r="G64" s="103">
        <v>463.3</v>
      </c>
      <c r="H64" s="164">
        <f t="shared" si="1"/>
        <v>0.14000000000000001</v>
      </c>
    </row>
    <row r="65" spans="1:8" ht="38.25" customHeight="1" x14ac:dyDescent="0.25">
      <c r="A65" s="171">
        <v>49</v>
      </c>
      <c r="B65" s="158"/>
      <c r="C65" s="147" t="s">
        <v>257</v>
      </c>
      <c r="D65" s="8" t="s">
        <v>258</v>
      </c>
      <c r="E65" s="2" t="s">
        <v>193</v>
      </c>
      <c r="F65" s="147">
        <v>7.5000000000000002E-4</v>
      </c>
      <c r="G65" s="103">
        <v>55.26</v>
      </c>
      <c r="H65" s="164">
        <f t="shared" si="1"/>
        <v>0.04</v>
      </c>
    </row>
    <row r="68" spans="1:8" x14ac:dyDescent="0.25">
      <c r="B68" s="118" t="s">
        <v>129</v>
      </c>
    </row>
    <row r="69" spans="1:8" x14ac:dyDescent="0.25">
      <c r="B69" s="155" t="s">
        <v>112</v>
      </c>
    </row>
    <row r="71" spans="1:8" x14ac:dyDescent="0.25">
      <c r="B71" s="118" t="s">
        <v>130</v>
      </c>
    </row>
    <row r="72" spans="1:8" x14ac:dyDescent="0.25">
      <c r="B72" s="155" t="s">
        <v>114</v>
      </c>
    </row>
  </sheetData>
  <mergeCells count="16">
    <mergeCell ref="A17:E17"/>
    <mergeCell ref="A32:E32"/>
    <mergeCell ref="A12:E12"/>
    <mergeCell ref="A19:E19"/>
    <mergeCell ref="D9:D10"/>
    <mergeCell ref="E9:E10"/>
    <mergeCell ref="A29:E2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L50"/>
  <sheetViews>
    <sheetView view="pageBreakPreview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2" t="s">
        <v>259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7" t="s">
        <v>45</v>
      </c>
      <c r="C5" s="237"/>
      <c r="D5" s="237"/>
      <c r="E5" s="237"/>
    </row>
    <row r="6" spans="2:5" x14ac:dyDescent="0.25">
      <c r="B6" s="166"/>
      <c r="C6" s="4"/>
      <c r="D6" s="4"/>
      <c r="E6" s="4"/>
    </row>
    <row r="7" spans="2:5" ht="25.5" customHeight="1" x14ac:dyDescent="0.25">
      <c r="B7" s="246" t="s">
        <v>84</v>
      </c>
      <c r="C7" s="246"/>
      <c r="D7" s="246"/>
      <c r="E7" s="246"/>
    </row>
    <row r="8" spans="2:5" x14ac:dyDescent="0.25">
      <c r="B8" s="265" t="s">
        <v>86</v>
      </c>
      <c r="C8" s="265"/>
      <c r="D8" s="265"/>
      <c r="E8" s="265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46</v>
      </c>
      <c r="C10" s="2" t="s">
        <v>260</v>
      </c>
      <c r="D10" s="2" t="s">
        <v>261</v>
      </c>
      <c r="E10" s="2" t="s">
        <v>262</v>
      </c>
    </row>
    <row r="11" spans="2:5" x14ac:dyDescent="0.25">
      <c r="B11" s="25" t="s">
        <v>50</v>
      </c>
      <c r="C11" s="164">
        <f>'Прил.5 Расчет СМР и ОБ'!J14</f>
        <v>41390.06</v>
      </c>
      <c r="D11" s="27">
        <f t="shared" ref="D11:D18" si="0">C11/$C$24</f>
        <v>0.17830531874646588</v>
      </c>
      <c r="E11" s="27">
        <f t="shared" ref="E11:E18" si="1">C11/$C$40</f>
        <v>0.14230886673036347</v>
      </c>
    </row>
    <row r="12" spans="2:5" x14ac:dyDescent="0.25">
      <c r="B12" s="25" t="s">
        <v>51</v>
      </c>
      <c r="C12" s="164">
        <f>'Прил.5 Расчет СМР и ОБ'!J22</f>
        <v>14873.58</v>
      </c>
      <c r="D12" s="27">
        <f t="shared" si="0"/>
        <v>6.4074283120175712E-2</v>
      </c>
      <c r="E12" s="27">
        <f t="shared" si="1"/>
        <v>5.1138904220564052E-2</v>
      </c>
    </row>
    <row r="13" spans="2:5" x14ac:dyDescent="0.25">
      <c r="B13" s="25" t="s">
        <v>52</v>
      </c>
      <c r="C13" s="164">
        <f>'Прил.5 Расчет СМР и ОБ'!J29</f>
        <v>2294.4500000000003</v>
      </c>
      <c r="D13" s="27">
        <f t="shared" si="0"/>
        <v>9.8843209842611659E-3</v>
      </c>
      <c r="E13" s="27">
        <f t="shared" si="1"/>
        <v>7.8888646034695892E-3</v>
      </c>
    </row>
    <row r="14" spans="2:5" x14ac:dyDescent="0.25">
      <c r="B14" s="25" t="s">
        <v>53</v>
      </c>
      <c r="C14" s="164">
        <f>C13+C12</f>
        <v>17168.03</v>
      </c>
      <c r="D14" s="27">
        <f t="shared" si="0"/>
        <v>7.3958604104436873E-2</v>
      </c>
      <c r="E14" s="27">
        <f t="shared" si="1"/>
        <v>5.9027768824033641E-2</v>
      </c>
    </row>
    <row r="15" spans="2:5" x14ac:dyDescent="0.25">
      <c r="B15" s="25" t="s">
        <v>54</v>
      </c>
      <c r="C15" s="164">
        <f>'Прил.5 Расчет СМР и ОБ'!J16</f>
        <v>3893.06</v>
      </c>
      <c r="D15" s="27">
        <f t="shared" si="0"/>
        <v>1.677101468804627E-2</v>
      </c>
      <c r="E15" s="27">
        <f t="shared" si="1"/>
        <v>1.338526585159115E-2</v>
      </c>
    </row>
    <row r="16" spans="2:5" x14ac:dyDescent="0.25">
      <c r="B16" s="25" t="s">
        <v>55</v>
      </c>
      <c r="C16" s="164">
        <f>'Прил.5 Расчет СМР и ОБ'!J46</f>
        <v>85320.63</v>
      </c>
      <c r="D16" s="27">
        <f t="shared" si="0"/>
        <v>0.36755496676736588</v>
      </c>
      <c r="E16" s="27">
        <f t="shared" si="1"/>
        <v>0.29335261084474512</v>
      </c>
    </row>
    <row r="17" spans="2:6" x14ac:dyDescent="0.25">
      <c r="B17" s="25" t="s">
        <v>56</v>
      </c>
      <c r="C17" s="164">
        <f>'Прил.5 Расчет СМР и ОБ'!J75</f>
        <v>10817.409999999996</v>
      </c>
      <c r="D17" s="27">
        <f t="shared" si="0"/>
        <v>4.6600602609931145E-2</v>
      </c>
      <c r="E17" s="27">
        <f t="shared" si="1"/>
        <v>3.7192827409713844E-2</v>
      </c>
    </row>
    <row r="18" spans="2:6" x14ac:dyDescent="0.25">
      <c r="B18" s="25" t="s">
        <v>57</v>
      </c>
      <c r="C18" s="164">
        <f>C17+C16</f>
        <v>96138.040000000008</v>
      </c>
      <c r="D18" s="27">
        <f t="shared" si="0"/>
        <v>0.41415556937729708</v>
      </c>
      <c r="E18" s="27">
        <f t="shared" si="1"/>
        <v>0.33054543825445898</v>
      </c>
    </row>
    <row r="19" spans="2:6" x14ac:dyDescent="0.25">
      <c r="B19" s="25" t="s">
        <v>58</v>
      </c>
      <c r="C19" s="164">
        <f>C18+C14+C11</f>
        <v>154696.13</v>
      </c>
      <c r="D19" s="27"/>
      <c r="E19" s="25"/>
    </row>
    <row r="20" spans="2:6" x14ac:dyDescent="0.25">
      <c r="B20" s="25" t="s">
        <v>59</v>
      </c>
      <c r="C20" s="164">
        <f>ROUND(C21*(C11+C15),2)</f>
        <v>31245.35</v>
      </c>
      <c r="D20" s="27">
        <f>C20/$C$24</f>
        <v>0.13460265800762036</v>
      </c>
      <c r="E20" s="27">
        <f>C20/$C$40</f>
        <v>0.10742894185448298</v>
      </c>
    </row>
    <row r="21" spans="2:6" x14ac:dyDescent="0.25">
      <c r="B21" s="25" t="s">
        <v>60</v>
      </c>
      <c r="C21" s="29">
        <f>'Прил.5 Расчет СМР и ОБ'!D79</f>
        <v>0.69</v>
      </c>
      <c r="D21" s="27"/>
      <c r="E21" s="25"/>
    </row>
    <row r="22" spans="2:6" x14ac:dyDescent="0.25">
      <c r="B22" s="25" t="s">
        <v>61</v>
      </c>
      <c r="C22" s="164">
        <f>ROUND(C23*(C11+C15),2)</f>
        <v>46188.78</v>
      </c>
      <c r="D22" s="27">
        <f>C22/$C$24</f>
        <v>0.19897784976417981</v>
      </c>
      <c r="E22" s="27">
        <f>C22/$C$40</f>
        <v>0.1588080069818231</v>
      </c>
    </row>
    <row r="23" spans="2:6" x14ac:dyDescent="0.25">
      <c r="B23" s="25" t="s">
        <v>62</v>
      </c>
      <c r="C23" s="29">
        <f>'Прил.5 Расчет СМР и ОБ'!D78</f>
        <v>1.02</v>
      </c>
      <c r="D23" s="27"/>
      <c r="E23" s="25"/>
    </row>
    <row r="24" spans="2:6" x14ac:dyDescent="0.25">
      <c r="B24" s="25" t="s">
        <v>63</v>
      </c>
      <c r="C24" s="164">
        <f>C19+C20+C22</f>
        <v>232130.26</v>
      </c>
      <c r="D24" s="27">
        <f>C24/$C$24</f>
        <v>1</v>
      </c>
      <c r="E24" s="27">
        <f>C24/$C$40</f>
        <v>0.79811902264516221</v>
      </c>
    </row>
    <row r="25" spans="2:6" ht="25.5" customHeight="1" x14ac:dyDescent="0.25">
      <c r="B25" s="25" t="s">
        <v>64</v>
      </c>
      <c r="C25" s="164">
        <f>'Прил.5 Расчет СМР и ОБ'!J37</f>
        <v>29670.720000000001</v>
      </c>
      <c r="D25" s="27"/>
      <c r="E25" s="27">
        <f>C25/$C$40</f>
        <v>0.10201498954758534</v>
      </c>
    </row>
    <row r="26" spans="2:6" ht="25.5" customHeight="1" x14ac:dyDescent="0.25">
      <c r="B26" s="25" t="s">
        <v>65</v>
      </c>
      <c r="C26" s="164">
        <f>'Прил.5 Расчет СМР и ОБ'!J38</f>
        <v>29670.720000000001</v>
      </c>
      <c r="D26" s="27"/>
      <c r="E26" s="27">
        <f>C26/$C$40</f>
        <v>0.10201498954758534</v>
      </c>
    </row>
    <row r="27" spans="2:6" x14ac:dyDescent="0.25">
      <c r="B27" s="25" t="s">
        <v>66</v>
      </c>
      <c r="C27" s="26">
        <f>C24+C25</f>
        <v>261800.98</v>
      </c>
      <c r="D27" s="27"/>
      <c r="E27" s="27">
        <f>C27/$C$40</f>
        <v>0.90013401219274758</v>
      </c>
    </row>
    <row r="28" spans="2:6" ht="33" customHeight="1" x14ac:dyDescent="0.25">
      <c r="B28" s="25" t="s">
        <v>67</v>
      </c>
      <c r="C28" s="25"/>
      <c r="D28" s="25"/>
      <c r="E28" s="25"/>
      <c r="F28" s="165"/>
    </row>
    <row r="29" spans="2:6" ht="25.5" customHeight="1" x14ac:dyDescent="0.25">
      <c r="B29" s="25" t="s">
        <v>263</v>
      </c>
      <c r="C29" s="26">
        <f>ROUND(C24*3.9%,2)</f>
        <v>9053.08</v>
      </c>
      <c r="D29" s="25"/>
      <c r="E29" s="27">
        <f t="shared" ref="E29:E38" si="2">C29/$C$40</f>
        <v>3.1126641401808042E-2</v>
      </c>
    </row>
    <row r="30" spans="2:6" ht="38.25" customHeight="1" x14ac:dyDescent="0.25">
      <c r="B30" s="25" t="s">
        <v>264</v>
      </c>
      <c r="C30" s="26">
        <f>ROUND((C24+C29)*2.1%,2)</f>
        <v>5064.8500000000004</v>
      </c>
      <c r="D30" s="25"/>
      <c r="E30" s="27">
        <f t="shared" si="2"/>
        <v>1.7414158463633093E-2</v>
      </c>
      <c r="F30" s="165"/>
    </row>
    <row r="31" spans="2:6" x14ac:dyDescent="0.25">
      <c r="B31" s="25" t="s">
        <v>265</v>
      </c>
      <c r="C31" s="26">
        <v>0</v>
      </c>
      <c r="D31" s="25"/>
      <c r="E31" s="27">
        <f t="shared" si="2"/>
        <v>0</v>
      </c>
    </row>
    <row r="32" spans="2:6" ht="25.5" customHeight="1" x14ac:dyDescent="0.25">
      <c r="B32" s="25" t="s">
        <v>266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267</v>
      </c>
      <c r="C33" s="26">
        <f>ROUND(C28*0%,2)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268</v>
      </c>
      <c r="C34" s="26">
        <f>ROUND(C29*0%,2)</f>
        <v>0</v>
      </c>
      <c r="D34" s="25"/>
      <c r="E34" s="27">
        <f t="shared" si="2"/>
        <v>0</v>
      </c>
      <c r="H34" s="168"/>
    </row>
    <row r="35" spans="2:12" ht="76.7" customHeight="1" x14ac:dyDescent="0.25">
      <c r="B35" s="25" t="s">
        <v>269</v>
      </c>
      <c r="C35" s="26">
        <f>ROUND(C30*0%,2)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270</v>
      </c>
      <c r="C36" s="26">
        <f>ROUND((C27+C32+C33+C34+C35+C29+C31+C30)*2.14%,2)</f>
        <v>5904.66</v>
      </c>
      <c r="D36" s="25"/>
      <c r="E36" s="27">
        <f t="shared" si="2"/>
        <v>2.0301624907721996E-2</v>
      </c>
      <c r="L36" s="165"/>
    </row>
    <row r="37" spans="2:12" x14ac:dyDescent="0.25">
      <c r="B37" s="25" t="s">
        <v>271</v>
      </c>
      <c r="C37" s="26">
        <f>ROUND((C27+C32+C33+C34+C35+C29+C31+C30)*0.2%,2)</f>
        <v>551.84</v>
      </c>
      <c r="D37" s="25"/>
      <c r="E37" s="27">
        <f t="shared" si="2"/>
        <v>1.8973571194746705E-3</v>
      </c>
      <c r="L37" s="165"/>
    </row>
    <row r="38" spans="2:12" ht="38.25" customHeight="1" x14ac:dyDescent="0.25">
      <c r="B38" s="25" t="s">
        <v>73</v>
      </c>
      <c r="C38" s="164">
        <f>C27+C32+C33+C34+C35+C29+C31+C30+C36+C37</f>
        <v>282375.40999999997</v>
      </c>
      <c r="D38" s="25"/>
      <c r="E38" s="27">
        <f t="shared" si="2"/>
        <v>0.97087379408538521</v>
      </c>
    </row>
    <row r="39" spans="2:12" ht="13.7" customHeight="1" x14ac:dyDescent="0.25">
      <c r="B39" s="25" t="s">
        <v>74</v>
      </c>
      <c r="C39" s="164">
        <f>ROUND(C38*3%,2)</f>
        <v>8471.26</v>
      </c>
      <c r="D39" s="25"/>
      <c r="E39" s="27">
        <f>C39/$C$38</f>
        <v>2.9999991854814841E-2</v>
      </c>
    </row>
    <row r="40" spans="2:12" x14ac:dyDescent="0.25">
      <c r="B40" s="25" t="s">
        <v>75</v>
      </c>
      <c r="C40" s="164">
        <f>C39+C38</f>
        <v>290846.67</v>
      </c>
      <c r="D40" s="25"/>
      <c r="E40" s="27">
        <f>C40/$C$40</f>
        <v>1</v>
      </c>
    </row>
    <row r="41" spans="2:12" x14ac:dyDescent="0.25">
      <c r="B41" s="25" t="s">
        <v>76</v>
      </c>
      <c r="C41" s="164">
        <f>C40/'Прил.5 Расчет СМР и ОБ'!E82</f>
        <v>290846.67</v>
      </c>
      <c r="D41" s="25"/>
      <c r="E41" s="25"/>
    </row>
    <row r="42" spans="2:12" x14ac:dyDescent="0.25">
      <c r="B42" s="163"/>
      <c r="C42" s="4"/>
      <c r="D42" s="4"/>
      <c r="E42" s="4"/>
    </row>
    <row r="43" spans="2:12" x14ac:dyDescent="0.25">
      <c r="B43" s="163" t="s">
        <v>272</v>
      </c>
      <c r="C43" s="4"/>
      <c r="D43" s="4"/>
      <c r="E43" s="4"/>
    </row>
    <row r="44" spans="2:12" x14ac:dyDescent="0.25">
      <c r="B44" s="163" t="s">
        <v>273</v>
      </c>
      <c r="C44" s="4"/>
      <c r="D44" s="4"/>
      <c r="E44" s="4"/>
    </row>
    <row r="45" spans="2:12" x14ac:dyDescent="0.25">
      <c r="B45" s="163"/>
      <c r="C45" s="4"/>
      <c r="D45" s="4"/>
      <c r="E45" s="4"/>
    </row>
    <row r="46" spans="2:12" x14ac:dyDescent="0.25">
      <c r="B46" s="163" t="s">
        <v>274</v>
      </c>
      <c r="C46" s="4"/>
      <c r="D46" s="4"/>
      <c r="E46" s="4"/>
    </row>
    <row r="47" spans="2:12" x14ac:dyDescent="0.25">
      <c r="B47" s="265" t="s">
        <v>275</v>
      </c>
      <c r="C47" s="26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88"/>
  <sheetViews>
    <sheetView tabSelected="1" view="pageBreakPreview" zoomScale="55" zoomScaleSheetLayoutView="55" workbookViewId="0">
      <selection activeCell="AK43" sqref="AK4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89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80" t="s">
        <v>276</v>
      </c>
      <c r="I2" s="280"/>
      <c r="J2" s="28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7" t="s">
        <v>277</v>
      </c>
      <c r="B4" s="237"/>
      <c r="C4" s="237"/>
      <c r="D4" s="237"/>
      <c r="E4" s="237"/>
      <c r="F4" s="237"/>
      <c r="G4" s="237"/>
      <c r="H4" s="237"/>
      <c r="I4" s="237"/>
      <c r="J4" s="237"/>
    </row>
    <row r="5" spans="1:14" s="4" customFormat="1" ht="12.75" customHeight="1" x14ac:dyDescent="0.2">
      <c r="A5" s="134"/>
      <c r="B5" s="134"/>
      <c r="C5" s="35"/>
      <c r="D5" s="134"/>
      <c r="E5" s="134"/>
      <c r="F5" s="134"/>
      <c r="G5" s="134"/>
      <c r="H5" s="134"/>
      <c r="I5" s="134"/>
      <c r="J5" s="134"/>
    </row>
    <row r="6" spans="1:14" s="4" customFormat="1" ht="12.75" customHeight="1" x14ac:dyDescent="0.2">
      <c r="A6" s="149" t="s">
        <v>278</v>
      </c>
      <c r="B6" s="148"/>
      <c r="C6" s="148"/>
      <c r="D6" s="284" t="s">
        <v>279</v>
      </c>
      <c r="E6" s="284"/>
      <c r="F6" s="284"/>
      <c r="G6" s="284"/>
      <c r="H6" s="284"/>
      <c r="I6" s="284"/>
      <c r="J6" s="284"/>
    </row>
    <row r="7" spans="1:14" s="4" customFormat="1" ht="12.75" customHeight="1" x14ac:dyDescent="0.2">
      <c r="A7" s="240" t="s">
        <v>86</v>
      </c>
      <c r="B7" s="246"/>
      <c r="C7" s="246"/>
      <c r="D7" s="246"/>
      <c r="E7" s="246"/>
      <c r="F7" s="246"/>
      <c r="G7" s="246"/>
      <c r="H7" s="246"/>
      <c r="I7" s="49"/>
      <c r="J7" s="49"/>
    </row>
    <row r="8" spans="1:14" s="4" customFormat="1" ht="13.7" customHeight="1" x14ac:dyDescent="0.2">
      <c r="A8" s="240"/>
      <c r="B8" s="246"/>
      <c r="C8" s="246"/>
      <c r="D8" s="246"/>
      <c r="E8" s="246"/>
      <c r="F8" s="246"/>
      <c r="G8" s="246"/>
      <c r="H8" s="246"/>
    </row>
    <row r="9" spans="1:14" ht="27" customHeight="1" x14ac:dyDescent="0.25">
      <c r="A9" s="272" t="s">
        <v>13</v>
      </c>
      <c r="B9" s="272" t="s">
        <v>137</v>
      </c>
      <c r="C9" s="272" t="s">
        <v>46</v>
      </c>
      <c r="D9" s="272" t="s">
        <v>139</v>
      </c>
      <c r="E9" s="267" t="s">
        <v>280</v>
      </c>
      <c r="F9" s="281" t="s">
        <v>47</v>
      </c>
      <c r="G9" s="282"/>
      <c r="H9" s="267" t="s">
        <v>281</v>
      </c>
      <c r="I9" s="281" t="s">
        <v>282</v>
      </c>
      <c r="J9" s="282"/>
      <c r="M9" s="12"/>
      <c r="N9" s="12"/>
    </row>
    <row r="10" spans="1:14" ht="28.5" customHeight="1" x14ac:dyDescent="0.25">
      <c r="A10" s="272"/>
      <c r="B10" s="272"/>
      <c r="C10" s="272"/>
      <c r="D10" s="272"/>
      <c r="E10" s="283"/>
      <c r="F10" s="2" t="s">
        <v>283</v>
      </c>
      <c r="G10" s="2" t="s">
        <v>142</v>
      </c>
      <c r="H10" s="283"/>
      <c r="I10" s="2" t="s">
        <v>283</v>
      </c>
      <c r="J10" s="2" t="s">
        <v>142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5">
        <v>9</v>
      </c>
      <c r="J11" s="135">
        <v>10</v>
      </c>
      <c r="M11" s="12"/>
      <c r="N11" s="12"/>
    </row>
    <row r="12" spans="1:14" x14ac:dyDescent="0.25">
      <c r="A12" s="2"/>
      <c r="B12" s="260" t="s">
        <v>284</v>
      </c>
      <c r="C12" s="271"/>
      <c r="D12" s="272"/>
      <c r="E12" s="273"/>
      <c r="F12" s="274"/>
      <c r="G12" s="274"/>
      <c r="H12" s="275"/>
      <c r="I12" s="138"/>
      <c r="J12" s="138"/>
    </row>
    <row r="13" spans="1:14" ht="25.5" customHeight="1" x14ac:dyDescent="0.25">
      <c r="A13" s="2">
        <v>1</v>
      </c>
      <c r="B13" s="147" t="s">
        <v>152</v>
      </c>
      <c r="C13" s="8" t="s">
        <v>285</v>
      </c>
      <c r="D13" s="2" t="s">
        <v>286</v>
      </c>
      <c r="E13" s="139">
        <f>G13/F13</f>
        <v>93.137214137214144</v>
      </c>
      <c r="F13" s="32">
        <v>9.6199999999999992</v>
      </c>
      <c r="G13" s="32">
        <f>Прил.3!H12</f>
        <v>895.98</v>
      </c>
      <c r="H13" s="141">
        <f>G13/G14</f>
        <v>1</v>
      </c>
      <c r="I13" s="32">
        <f>ФОТр.тек.!E13</f>
        <v>444.39870291576</v>
      </c>
      <c r="J13" s="32">
        <f>ROUND(I13*E13,2)</f>
        <v>41390.06</v>
      </c>
    </row>
    <row r="14" spans="1:14" s="12" customFormat="1" ht="25.5" customHeight="1" x14ac:dyDescent="0.2">
      <c r="A14" s="2"/>
      <c r="B14" s="2"/>
      <c r="C14" s="104" t="s">
        <v>287</v>
      </c>
      <c r="D14" s="2" t="s">
        <v>286</v>
      </c>
      <c r="E14" s="139">
        <f>SUM(E13:E13)</f>
        <v>93.137214137214144</v>
      </c>
      <c r="F14" s="32"/>
      <c r="G14" s="32">
        <f>SUM(G13:G13)</f>
        <v>895.98</v>
      </c>
      <c r="H14" s="137">
        <v>1</v>
      </c>
      <c r="I14" s="138"/>
      <c r="J14" s="32">
        <f>SUM(J13:J13)</f>
        <v>41390.06</v>
      </c>
    </row>
    <row r="15" spans="1:14" s="12" customFormat="1" ht="14.25" customHeight="1" x14ac:dyDescent="0.2">
      <c r="A15" s="2"/>
      <c r="B15" s="271" t="s">
        <v>154</v>
      </c>
      <c r="C15" s="271"/>
      <c r="D15" s="272"/>
      <c r="E15" s="273"/>
      <c r="F15" s="274"/>
      <c r="G15" s="274"/>
      <c r="H15" s="275"/>
      <c r="I15" s="138"/>
      <c r="J15" s="138"/>
    </row>
    <row r="16" spans="1:14" s="12" customFormat="1" ht="14.25" customHeight="1" x14ac:dyDescent="0.2">
      <c r="A16" s="2">
        <v>2</v>
      </c>
      <c r="B16" s="2">
        <v>2</v>
      </c>
      <c r="C16" s="8" t="s">
        <v>154</v>
      </c>
      <c r="D16" s="2" t="s">
        <v>286</v>
      </c>
      <c r="E16" s="139">
        <v>6.3554000000000004</v>
      </c>
      <c r="F16" s="197">
        <f>G16/E16</f>
        <v>13.830758095477862</v>
      </c>
      <c r="G16" s="32">
        <f>Прил.3!H17</f>
        <v>87.9</v>
      </c>
      <c r="H16" s="137">
        <v>1</v>
      </c>
      <c r="I16" s="32">
        <f>ROUND(F16*Прил.10!D11,2)</f>
        <v>612.55999999999995</v>
      </c>
      <c r="J16" s="32">
        <f>ROUND(I16*E16,2)</f>
        <v>3893.06</v>
      </c>
    </row>
    <row r="17" spans="1:10" s="12" customFormat="1" ht="14.25" customHeight="1" x14ac:dyDescent="0.2">
      <c r="A17" s="2"/>
      <c r="B17" s="260" t="s">
        <v>156</v>
      </c>
      <c r="C17" s="271"/>
      <c r="D17" s="272"/>
      <c r="E17" s="273"/>
      <c r="F17" s="274"/>
      <c r="G17" s="274"/>
      <c r="H17" s="275"/>
      <c r="I17" s="138"/>
      <c r="J17" s="138"/>
    </row>
    <row r="18" spans="1:10" s="12" customFormat="1" ht="14.25" customHeight="1" x14ac:dyDescent="0.2">
      <c r="A18" s="2"/>
      <c r="B18" s="271" t="s">
        <v>288</v>
      </c>
      <c r="C18" s="271"/>
      <c r="D18" s="272"/>
      <c r="E18" s="273"/>
      <c r="F18" s="274"/>
      <c r="G18" s="274"/>
      <c r="H18" s="275"/>
      <c r="I18" s="138"/>
      <c r="J18" s="138"/>
    </row>
    <row r="19" spans="1:10" s="12" customFormat="1" ht="25.5" customHeight="1" x14ac:dyDescent="0.2">
      <c r="A19" s="2">
        <v>3</v>
      </c>
      <c r="B19" s="147" t="s">
        <v>157</v>
      </c>
      <c r="C19" s="8" t="s">
        <v>158</v>
      </c>
      <c r="D19" s="2" t="s">
        <v>159</v>
      </c>
      <c r="E19" s="145">
        <v>2.48</v>
      </c>
      <c r="F19" s="103">
        <v>197.01</v>
      </c>
      <c r="G19" s="32">
        <f>ROUND(E19*F19,2)</f>
        <v>488.58</v>
      </c>
      <c r="H19" s="141">
        <f>G19/$G$30</f>
        <v>0.38334431786084172</v>
      </c>
      <c r="I19" s="32">
        <f>ROUND(F19*Прил.10!$D$12,2)</f>
        <v>2653.72</v>
      </c>
      <c r="J19" s="32">
        <f>ROUND(I19*E19,2)</f>
        <v>6581.23</v>
      </c>
    </row>
    <row r="20" spans="1:10" s="12" customFormat="1" ht="25.5" customHeight="1" x14ac:dyDescent="0.2">
      <c r="A20" s="2">
        <v>4</v>
      </c>
      <c r="B20" s="147" t="s">
        <v>160</v>
      </c>
      <c r="C20" s="8" t="s">
        <v>161</v>
      </c>
      <c r="D20" s="2" t="s">
        <v>159</v>
      </c>
      <c r="E20" s="145">
        <v>3.8090999999999999</v>
      </c>
      <c r="F20" s="103">
        <v>111.99</v>
      </c>
      <c r="G20" s="32">
        <f>ROUND(E20*F20,2)</f>
        <v>426.58</v>
      </c>
      <c r="H20" s="141">
        <f>G20/$G$30</f>
        <v>0.33469855318080532</v>
      </c>
      <c r="I20" s="32">
        <f>ROUND(F20*Прил.10!$D$12,2)</f>
        <v>1508.51</v>
      </c>
      <c r="J20" s="32">
        <f>ROUND(I20*E20,2)</f>
        <v>5746.07</v>
      </c>
    </row>
    <row r="21" spans="1:10" s="12" customFormat="1" ht="25.5" customHeight="1" x14ac:dyDescent="0.2">
      <c r="A21" s="2">
        <v>5</v>
      </c>
      <c r="B21" s="147" t="s">
        <v>162</v>
      </c>
      <c r="C21" s="8" t="s">
        <v>163</v>
      </c>
      <c r="D21" s="2" t="s">
        <v>159</v>
      </c>
      <c r="E21" s="145">
        <v>2.8767999999999998</v>
      </c>
      <c r="F21" s="103">
        <v>65.709999999999994</v>
      </c>
      <c r="G21" s="32">
        <f>ROUND(E21*F21,2)</f>
        <v>189.03</v>
      </c>
      <c r="H21" s="141">
        <f>G21/$G$30</f>
        <v>0.14831465963656906</v>
      </c>
      <c r="I21" s="32">
        <f>ROUND(F21*Прил.10!$D$12,2)</f>
        <v>885.11</v>
      </c>
      <c r="J21" s="32">
        <f>ROUND(I21*E21,2)</f>
        <v>2546.2800000000002</v>
      </c>
    </row>
    <row r="22" spans="1:10" s="12" customFormat="1" ht="14.25" customHeight="1" x14ac:dyDescent="0.2">
      <c r="A22" s="2"/>
      <c r="B22" s="2"/>
      <c r="C22" s="8" t="s">
        <v>289</v>
      </c>
      <c r="D22" s="2"/>
      <c r="E22" s="139"/>
      <c r="F22" s="32"/>
      <c r="G22" s="32">
        <f>SUM(G19:G21)</f>
        <v>1104.19</v>
      </c>
      <c r="H22" s="137">
        <f>G22/G30</f>
        <v>0.86635753067821619</v>
      </c>
      <c r="I22" s="140"/>
      <c r="J22" s="32">
        <f>SUM(J19:J21)</f>
        <v>14873.58</v>
      </c>
    </row>
    <row r="23" spans="1:10" s="12" customFormat="1" ht="25.5" hidden="1" customHeight="1" outlineLevel="1" x14ac:dyDescent="0.2">
      <c r="A23" s="2">
        <v>6</v>
      </c>
      <c r="B23" s="147" t="s">
        <v>164</v>
      </c>
      <c r="C23" s="8" t="s">
        <v>165</v>
      </c>
      <c r="D23" s="2" t="s">
        <v>159</v>
      </c>
      <c r="E23" s="145">
        <v>17.000800000000002</v>
      </c>
      <c r="F23" s="103">
        <v>8.1</v>
      </c>
      <c r="G23" s="32">
        <f t="shared" ref="G23:G28" si="0">ROUND(E23*F23,2)</f>
        <v>137.71</v>
      </c>
      <c r="H23" s="141">
        <f t="shared" ref="H23:H28" si="1">G23/$G$30</f>
        <v>0.10804852022722281</v>
      </c>
      <c r="I23" s="32">
        <f>ROUND(F23*Прил.10!$D$12,2)</f>
        <v>109.11</v>
      </c>
      <c r="J23" s="32">
        <f t="shared" ref="J23:J28" si="2">ROUND(I23*E23,2)</f>
        <v>1854.96</v>
      </c>
    </row>
    <row r="24" spans="1:10" s="12" customFormat="1" ht="25.5" hidden="1" customHeight="1" outlineLevel="1" x14ac:dyDescent="0.2">
      <c r="A24" s="2">
        <v>7</v>
      </c>
      <c r="B24" s="147" t="s">
        <v>166</v>
      </c>
      <c r="C24" s="8" t="s">
        <v>167</v>
      </c>
      <c r="D24" s="2" t="s">
        <v>159</v>
      </c>
      <c r="E24" s="145">
        <v>4.6440000000000001</v>
      </c>
      <c r="F24" s="103">
        <v>3.28</v>
      </c>
      <c r="G24" s="32">
        <f t="shared" si="0"/>
        <v>15.23</v>
      </c>
      <c r="H24" s="141">
        <f t="shared" si="1"/>
        <v>1.1949596710918621E-2</v>
      </c>
      <c r="I24" s="32">
        <f>ROUND(F24*Прил.10!$D$12,2)</f>
        <v>44.18</v>
      </c>
      <c r="J24" s="32">
        <f t="shared" si="2"/>
        <v>205.17</v>
      </c>
    </row>
    <row r="25" spans="1:10" s="12" customFormat="1" ht="14.25" hidden="1" customHeight="1" outlineLevel="1" x14ac:dyDescent="0.2">
      <c r="A25" s="2">
        <v>8</v>
      </c>
      <c r="B25" s="147" t="s">
        <v>168</v>
      </c>
      <c r="C25" s="8" t="s">
        <v>169</v>
      </c>
      <c r="D25" s="2" t="s">
        <v>159</v>
      </c>
      <c r="E25" s="145">
        <v>3.9049999999999998</v>
      </c>
      <c r="F25" s="103">
        <v>2.08</v>
      </c>
      <c r="G25" s="32">
        <f t="shared" si="0"/>
        <v>8.1199999999999992</v>
      </c>
      <c r="H25" s="141">
        <f t="shared" si="1"/>
        <v>6.3710259548692832E-3</v>
      </c>
      <c r="I25" s="32">
        <f>ROUND(F25*Прил.10!$D$12,2)</f>
        <v>28.02</v>
      </c>
      <c r="J25" s="32">
        <f t="shared" si="2"/>
        <v>109.42</v>
      </c>
    </row>
    <row r="26" spans="1:10" s="12" customFormat="1" ht="38.25" hidden="1" customHeight="1" outlineLevel="1" x14ac:dyDescent="0.2">
      <c r="A26" s="2">
        <v>9</v>
      </c>
      <c r="B26" s="147" t="s">
        <v>170</v>
      </c>
      <c r="C26" s="8" t="s">
        <v>171</v>
      </c>
      <c r="D26" s="2" t="s">
        <v>159</v>
      </c>
      <c r="E26" s="145">
        <v>6.6299999999999998E-2</v>
      </c>
      <c r="F26" s="103">
        <v>70.010000000000005</v>
      </c>
      <c r="G26" s="32">
        <f t="shared" si="0"/>
        <v>4.6399999999999997</v>
      </c>
      <c r="H26" s="141">
        <f t="shared" si="1"/>
        <v>3.6405862599253051E-3</v>
      </c>
      <c r="I26" s="32">
        <f>ROUND(F26*Прил.10!$D$12,2)</f>
        <v>943.03</v>
      </c>
      <c r="J26" s="32">
        <f t="shared" si="2"/>
        <v>62.52</v>
      </c>
    </row>
    <row r="27" spans="1:10" s="12" customFormat="1" ht="25.5" hidden="1" customHeight="1" outlineLevel="1" x14ac:dyDescent="0.2">
      <c r="A27" s="2">
        <v>10</v>
      </c>
      <c r="B27" s="147" t="s">
        <v>172</v>
      </c>
      <c r="C27" s="8" t="s">
        <v>173</v>
      </c>
      <c r="D27" s="2" t="s">
        <v>159</v>
      </c>
      <c r="E27" s="145">
        <v>4.6440000000000001</v>
      </c>
      <c r="F27" s="103">
        <v>0.9</v>
      </c>
      <c r="G27" s="32">
        <f t="shared" si="0"/>
        <v>4.18</v>
      </c>
      <c r="H27" s="141">
        <f t="shared" si="1"/>
        <v>3.2796660703637444E-3</v>
      </c>
      <c r="I27" s="32">
        <f>ROUND(F27*Прил.10!$D$12,2)</f>
        <v>12.12</v>
      </c>
      <c r="J27" s="32">
        <f t="shared" si="2"/>
        <v>56.29</v>
      </c>
    </row>
    <row r="28" spans="1:10" s="12" customFormat="1" ht="14.25" hidden="1" customHeight="1" outlineLevel="1" x14ac:dyDescent="0.2">
      <c r="A28" s="2">
        <v>11</v>
      </c>
      <c r="B28" s="147" t="s">
        <v>174</v>
      </c>
      <c r="C28" s="8" t="s">
        <v>175</v>
      </c>
      <c r="D28" s="2" t="s">
        <v>159</v>
      </c>
      <c r="E28" s="145">
        <v>0.2379</v>
      </c>
      <c r="F28" s="103">
        <v>1.9</v>
      </c>
      <c r="G28" s="32">
        <f t="shared" si="0"/>
        <v>0.45</v>
      </c>
      <c r="H28" s="141">
        <f t="shared" si="1"/>
        <v>3.5307409848413522E-4</v>
      </c>
      <c r="I28" s="32">
        <f>ROUND(F28*Прил.10!$D$12,2)</f>
        <v>25.59</v>
      </c>
      <c r="J28" s="32">
        <f t="shared" si="2"/>
        <v>6.09</v>
      </c>
    </row>
    <row r="29" spans="1:10" s="12" customFormat="1" ht="14.25" customHeight="1" collapsed="1" x14ac:dyDescent="0.2">
      <c r="A29" s="2"/>
      <c r="B29" s="2"/>
      <c r="C29" s="8" t="s">
        <v>290</v>
      </c>
      <c r="D29" s="2"/>
      <c r="E29" s="136"/>
      <c r="F29" s="32"/>
      <c r="G29" s="140">
        <f>SUM(G23:G28)</f>
        <v>170.32999999999998</v>
      </c>
      <c r="H29" s="141">
        <f>G29/G30</f>
        <v>0.13364246932178386</v>
      </c>
      <c r="I29" s="32"/>
      <c r="J29" s="32">
        <f>SUM(J23:J28)</f>
        <v>2294.4500000000003</v>
      </c>
    </row>
    <row r="30" spans="1:10" s="12" customFormat="1" ht="25.5" customHeight="1" x14ac:dyDescent="0.2">
      <c r="A30" s="2"/>
      <c r="B30" s="2"/>
      <c r="C30" s="104" t="s">
        <v>291</v>
      </c>
      <c r="D30" s="2"/>
      <c r="E30" s="136"/>
      <c r="F30" s="32"/>
      <c r="G30" s="32">
        <f>G29+G22</f>
        <v>1274.52</v>
      </c>
      <c r="H30" s="142">
        <v>1</v>
      </c>
      <c r="I30" s="143"/>
      <c r="J30" s="144">
        <f>J29+J22</f>
        <v>17168.03</v>
      </c>
    </row>
    <row r="31" spans="1:10" s="12" customFormat="1" ht="14.25" customHeight="1" x14ac:dyDescent="0.2">
      <c r="A31" s="2"/>
      <c r="B31" s="260" t="s">
        <v>43</v>
      </c>
      <c r="C31" s="260"/>
      <c r="D31" s="276"/>
      <c r="E31" s="277"/>
      <c r="F31" s="278"/>
      <c r="G31" s="278"/>
      <c r="H31" s="279"/>
      <c r="I31" s="138"/>
      <c r="J31" s="138"/>
    </row>
    <row r="32" spans="1:10" x14ac:dyDescent="0.25">
      <c r="A32" s="2"/>
      <c r="B32" s="271" t="s">
        <v>292</v>
      </c>
      <c r="C32" s="271"/>
      <c r="D32" s="272"/>
      <c r="E32" s="273"/>
      <c r="F32" s="274"/>
      <c r="G32" s="274"/>
      <c r="H32" s="275"/>
      <c r="I32" s="138"/>
      <c r="J32" s="138"/>
    </row>
    <row r="33" spans="1:10" s="12" customFormat="1" ht="25.5" customHeight="1" x14ac:dyDescent="0.2">
      <c r="A33" s="2">
        <v>12</v>
      </c>
      <c r="B33" s="147" t="s">
        <v>293</v>
      </c>
      <c r="C33" s="183" t="s">
        <v>294</v>
      </c>
      <c r="D33" s="191" t="s">
        <v>178</v>
      </c>
      <c r="E33" s="192">
        <v>1</v>
      </c>
      <c r="F33" s="47">
        <f>ROUND(I33/Прил.10!D14,2)</f>
        <v>3642.45</v>
      </c>
      <c r="G33" s="32">
        <f>ROUND(E33*F33,2)</f>
        <v>3642.45</v>
      </c>
      <c r="H33" s="141">
        <f>G33/$G$37</f>
        <v>0.76849314201441854</v>
      </c>
      <c r="I33" s="183">
        <v>22801.75</v>
      </c>
      <c r="J33" s="32">
        <f>ROUND(I33*E33,2)</f>
        <v>22801.75</v>
      </c>
    </row>
    <row r="34" spans="1:10" s="12" customFormat="1" ht="14.25" customHeight="1" x14ac:dyDescent="0.2">
      <c r="A34" s="2">
        <v>13</v>
      </c>
      <c r="B34" s="193" t="s">
        <v>179</v>
      </c>
      <c r="C34" s="183" t="s">
        <v>180</v>
      </c>
      <c r="D34" s="191" t="s">
        <v>181</v>
      </c>
      <c r="E34" s="192">
        <v>1</v>
      </c>
      <c r="F34" s="183">
        <v>1097.28</v>
      </c>
      <c r="G34" s="32">
        <f>ROUND(E34*F34,2)</f>
        <v>1097.28</v>
      </c>
      <c r="H34" s="141">
        <f>G34/$G$37</f>
        <v>0.23150685798558146</v>
      </c>
      <c r="I34" s="183">
        <f>ROUND(F34*Прил.10!$D$14,2)</f>
        <v>6868.97</v>
      </c>
      <c r="J34" s="32">
        <f>ROUND(I34*E34,2)</f>
        <v>6868.97</v>
      </c>
    </row>
    <row r="35" spans="1:10" x14ac:dyDescent="0.25">
      <c r="A35" s="151"/>
      <c r="B35" s="2"/>
      <c r="C35" s="8" t="s">
        <v>295</v>
      </c>
      <c r="D35" s="2"/>
      <c r="E35" s="145"/>
      <c r="F35" s="103"/>
      <c r="G35" s="32">
        <f>G33+G34</f>
        <v>4739.7299999999996</v>
      </c>
      <c r="H35" s="141">
        <f>G35/$G$37</f>
        <v>1</v>
      </c>
      <c r="I35" s="140"/>
      <c r="J35" s="32">
        <f>J33+J34</f>
        <v>29670.720000000001</v>
      </c>
    </row>
    <row r="36" spans="1:10" x14ac:dyDescent="0.25">
      <c r="A36" s="151"/>
      <c r="B36" s="2"/>
      <c r="C36" s="8" t="s">
        <v>296</v>
      </c>
      <c r="D36" s="196"/>
      <c r="E36" s="145"/>
      <c r="F36" s="103"/>
      <c r="G36" s="32">
        <v>0</v>
      </c>
      <c r="H36" s="141">
        <f>G36/$G$37</f>
        <v>0</v>
      </c>
      <c r="I36" s="140"/>
      <c r="J36" s="32">
        <v>0</v>
      </c>
    </row>
    <row r="37" spans="1:10" x14ac:dyDescent="0.25">
      <c r="A37" s="2"/>
      <c r="B37" s="2"/>
      <c r="C37" s="104" t="s">
        <v>297</v>
      </c>
      <c r="D37" s="2"/>
      <c r="E37" s="136"/>
      <c r="F37" s="103"/>
      <c r="G37" s="32">
        <f>G35+G36</f>
        <v>4739.7299999999996</v>
      </c>
      <c r="H37" s="141">
        <f>G37/$G$37</f>
        <v>1</v>
      </c>
      <c r="I37" s="140"/>
      <c r="J37" s="32">
        <f>J35+J36</f>
        <v>29670.720000000001</v>
      </c>
    </row>
    <row r="38" spans="1:10" ht="25.5" customHeight="1" x14ac:dyDescent="0.25">
      <c r="A38" s="2"/>
      <c r="B38" s="2"/>
      <c r="C38" s="8" t="s">
        <v>298</v>
      </c>
      <c r="D38" s="2"/>
      <c r="E38" s="145"/>
      <c r="F38" s="103"/>
      <c r="G38" s="32">
        <f>'Прил.6 Расчет ОБ'!G14</f>
        <v>4739.7299999999996</v>
      </c>
      <c r="H38" s="137"/>
      <c r="I38" s="140"/>
      <c r="J38" s="32">
        <f>J37</f>
        <v>29670.720000000001</v>
      </c>
    </row>
    <row r="39" spans="1:10" s="12" customFormat="1" ht="14.25" customHeight="1" x14ac:dyDescent="0.2">
      <c r="A39" s="2"/>
      <c r="B39" s="260" t="s">
        <v>182</v>
      </c>
      <c r="C39" s="260"/>
      <c r="D39" s="276"/>
      <c r="E39" s="277"/>
      <c r="F39" s="278"/>
      <c r="G39" s="278"/>
      <c r="H39" s="279"/>
      <c r="I39" s="138"/>
      <c r="J39" s="138"/>
    </row>
    <row r="40" spans="1:10" s="12" customFormat="1" ht="14.25" customHeight="1" x14ac:dyDescent="0.2">
      <c r="A40" s="135"/>
      <c r="B40" s="266" t="s">
        <v>299</v>
      </c>
      <c r="C40" s="266"/>
      <c r="D40" s="267"/>
      <c r="E40" s="268"/>
      <c r="F40" s="269"/>
      <c r="G40" s="269"/>
      <c r="H40" s="270"/>
      <c r="I40" s="150"/>
      <c r="J40" s="150"/>
    </row>
    <row r="41" spans="1:10" s="12" customFormat="1" ht="51" customHeight="1" x14ac:dyDescent="0.2">
      <c r="A41" s="2">
        <v>14</v>
      </c>
      <c r="B41" s="147" t="s">
        <v>183</v>
      </c>
      <c r="C41" s="8" t="s">
        <v>184</v>
      </c>
      <c r="D41" s="2" t="s">
        <v>185</v>
      </c>
      <c r="E41" s="145">
        <v>0.61199999999999999</v>
      </c>
      <c r="F41" s="103">
        <v>8128</v>
      </c>
      <c r="G41" s="32">
        <f>ROUND(E41*F41,2)</f>
        <v>4974.34</v>
      </c>
      <c r="H41" s="141">
        <f t="shared" ref="H41:H76" si="3">G41/$G$76</f>
        <v>0.41600271629366414</v>
      </c>
      <c r="I41" s="32">
        <f>ROUND(F41*Прил.10!$D$13,2)</f>
        <v>65349.120000000003</v>
      </c>
      <c r="J41" s="32">
        <f>ROUND(I41*E41,2)</f>
        <v>39993.660000000003</v>
      </c>
    </row>
    <row r="42" spans="1:10" s="12" customFormat="1" ht="38.25" customHeight="1" x14ac:dyDescent="0.2">
      <c r="A42" s="2">
        <v>15</v>
      </c>
      <c r="B42" s="147" t="s">
        <v>186</v>
      </c>
      <c r="C42" s="8" t="s">
        <v>187</v>
      </c>
      <c r="D42" s="2" t="s">
        <v>185</v>
      </c>
      <c r="E42" s="145">
        <v>0.58799999999999997</v>
      </c>
      <c r="F42" s="103">
        <v>5999.99</v>
      </c>
      <c r="G42" s="32">
        <f>ROUND(E42*F42,2)</f>
        <v>3527.99</v>
      </c>
      <c r="H42" s="141">
        <f t="shared" si="3"/>
        <v>0.29504485480624243</v>
      </c>
      <c r="I42" s="32">
        <f>ROUND(F42*Прил.10!$D$13,2)</f>
        <v>48239.92</v>
      </c>
      <c r="J42" s="32">
        <f>ROUND(I42*E42,2)</f>
        <v>28365.07</v>
      </c>
    </row>
    <row r="43" spans="1:10" s="12" customFormat="1" ht="51" customHeight="1" x14ac:dyDescent="0.2">
      <c r="A43" s="2">
        <v>16</v>
      </c>
      <c r="B43" s="147" t="s">
        <v>188</v>
      </c>
      <c r="C43" s="8" t="s">
        <v>189</v>
      </c>
      <c r="D43" s="2" t="s">
        <v>190</v>
      </c>
      <c r="E43" s="145">
        <v>110</v>
      </c>
      <c r="F43" s="103">
        <v>8.2799999999999994</v>
      </c>
      <c r="G43" s="32">
        <f>ROUND(E43*F43,2)</f>
        <v>910.8</v>
      </c>
      <c r="H43" s="141">
        <f t="shared" si="3"/>
        <v>7.6169959029794759E-2</v>
      </c>
      <c r="I43" s="32">
        <f>ROUND(F43*Прил.10!$D$13,2)</f>
        <v>66.569999999999993</v>
      </c>
      <c r="J43" s="32">
        <f>ROUND(I43*E43,2)</f>
        <v>7322.7</v>
      </c>
    </row>
    <row r="44" spans="1:10" s="12" customFormat="1" ht="14.25" customHeight="1" x14ac:dyDescent="0.2">
      <c r="A44" s="2">
        <v>17</v>
      </c>
      <c r="B44" s="147" t="s">
        <v>191</v>
      </c>
      <c r="C44" s="8" t="s">
        <v>192</v>
      </c>
      <c r="D44" s="2" t="s">
        <v>193</v>
      </c>
      <c r="E44" s="145">
        <v>1</v>
      </c>
      <c r="F44" s="103">
        <v>682</v>
      </c>
      <c r="G44" s="32">
        <f>ROUND(E44*F44,2)</f>
        <v>682</v>
      </c>
      <c r="H44" s="141">
        <f t="shared" si="3"/>
        <v>5.7035476568203812E-2</v>
      </c>
      <c r="I44" s="32">
        <f>ROUND(F44*Прил.10!$D$13,2)</f>
        <v>5483.28</v>
      </c>
      <c r="J44" s="32">
        <f>ROUND(I44*E44,2)</f>
        <v>5483.28</v>
      </c>
    </row>
    <row r="45" spans="1:10" s="12" customFormat="1" ht="25.5" customHeight="1" x14ac:dyDescent="0.2">
      <c r="A45" s="2">
        <v>18</v>
      </c>
      <c r="B45" s="147" t="s">
        <v>194</v>
      </c>
      <c r="C45" s="8" t="s">
        <v>195</v>
      </c>
      <c r="D45" s="2" t="s">
        <v>196</v>
      </c>
      <c r="E45" s="145">
        <v>0.03</v>
      </c>
      <c r="F45" s="103">
        <v>17230.189999999999</v>
      </c>
      <c r="G45" s="32">
        <f>ROUND(E45*F45,2)</f>
        <v>516.91</v>
      </c>
      <c r="H45" s="141">
        <f t="shared" si="3"/>
        <v>4.3229044271070723E-2</v>
      </c>
      <c r="I45" s="32">
        <f>ROUND(F45*Прил.10!$D$13,2)</f>
        <v>138530.73000000001</v>
      </c>
      <c r="J45" s="32">
        <f>ROUND(I45*E45,2)</f>
        <v>4155.92</v>
      </c>
    </row>
    <row r="46" spans="1:10" s="12" customFormat="1" ht="14.25" customHeight="1" x14ac:dyDescent="0.2">
      <c r="A46" s="151"/>
      <c r="B46" s="152"/>
      <c r="C46" s="153" t="s">
        <v>300</v>
      </c>
      <c r="D46" s="151"/>
      <c r="E46" s="175"/>
      <c r="F46" s="144"/>
      <c r="G46" s="144">
        <f>SUM(G41:G45)</f>
        <v>10612.039999999999</v>
      </c>
      <c r="H46" s="141">
        <f t="shared" si="3"/>
        <v>0.88748205096897581</v>
      </c>
      <c r="I46" s="32"/>
      <c r="J46" s="144">
        <f>SUM(J41:J45)</f>
        <v>85320.63</v>
      </c>
    </row>
    <row r="47" spans="1:10" s="12" customFormat="1" ht="14.25" hidden="1" customHeight="1" outlineLevel="1" x14ac:dyDescent="0.2">
      <c r="A47" s="2">
        <v>19</v>
      </c>
      <c r="B47" s="147" t="s">
        <v>197</v>
      </c>
      <c r="C47" s="8" t="s">
        <v>198</v>
      </c>
      <c r="D47" s="2" t="s">
        <v>199</v>
      </c>
      <c r="E47" s="145">
        <v>1.1000000000000001</v>
      </c>
      <c r="F47" s="103">
        <v>277.5</v>
      </c>
      <c r="G47" s="32">
        <f t="shared" ref="G47:G74" si="4">ROUND(E47*F47,2)</f>
        <v>305.25</v>
      </c>
      <c r="H47" s="141">
        <f t="shared" si="3"/>
        <v>2.552797539947832E-2</v>
      </c>
      <c r="I47" s="32">
        <f>ROUND(F47*Прил.10!$D$13,2)</f>
        <v>2231.1</v>
      </c>
      <c r="J47" s="32">
        <f t="shared" ref="J47:J74" si="5">ROUND(I47*E47,2)</f>
        <v>2454.21</v>
      </c>
    </row>
    <row r="48" spans="1:10" s="12" customFormat="1" ht="38.25" hidden="1" customHeight="1" outlineLevel="1" x14ac:dyDescent="0.2">
      <c r="A48" s="2">
        <v>20</v>
      </c>
      <c r="B48" s="147" t="s">
        <v>200</v>
      </c>
      <c r="C48" s="8" t="s">
        <v>201</v>
      </c>
      <c r="D48" s="2" t="s">
        <v>185</v>
      </c>
      <c r="E48" s="145">
        <v>5.6649999999999999E-2</v>
      </c>
      <c r="F48" s="103">
        <v>5000</v>
      </c>
      <c r="G48" s="32">
        <f t="shared" si="4"/>
        <v>283.25</v>
      </c>
      <c r="H48" s="141">
        <f t="shared" si="3"/>
        <v>2.3688121316633035E-2</v>
      </c>
      <c r="I48" s="32">
        <f>ROUND(F48*Прил.10!$D$13,2)</f>
        <v>40200</v>
      </c>
      <c r="J48" s="32">
        <f t="shared" si="5"/>
        <v>2277.33</v>
      </c>
    </row>
    <row r="49" spans="1:10" s="12" customFormat="1" ht="25.5" hidden="1" customHeight="1" outlineLevel="1" x14ac:dyDescent="0.2">
      <c r="A49" s="2">
        <v>21</v>
      </c>
      <c r="B49" s="147" t="s">
        <v>202</v>
      </c>
      <c r="C49" s="8" t="s">
        <v>203</v>
      </c>
      <c r="D49" s="2" t="s">
        <v>185</v>
      </c>
      <c r="E49" s="145">
        <v>0.02</v>
      </c>
      <c r="F49" s="103">
        <v>11500</v>
      </c>
      <c r="G49" s="32">
        <f t="shared" si="4"/>
        <v>230</v>
      </c>
      <c r="H49" s="141">
        <f t="shared" si="3"/>
        <v>1.9234838138837064E-2</v>
      </c>
      <c r="I49" s="32">
        <f>ROUND(F49*Прил.10!$D$13,2)</f>
        <v>92460</v>
      </c>
      <c r="J49" s="32">
        <f t="shared" si="5"/>
        <v>1849.2</v>
      </c>
    </row>
    <row r="50" spans="1:10" s="12" customFormat="1" ht="38.25" hidden="1" customHeight="1" outlineLevel="1" x14ac:dyDescent="0.2">
      <c r="A50" s="2">
        <v>22</v>
      </c>
      <c r="B50" s="147" t="s">
        <v>204</v>
      </c>
      <c r="C50" s="8" t="s">
        <v>205</v>
      </c>
      <c r="D50" s="2" t="s">
        <v>193</v>
      </c>
      <c r="E50" s="145">
        <v>0.29099999999999998</v>
      </c>
      <c r="F50" s="103">
        <v>600</v>
      </c>
      <c r="G50" s="32">
        <f t="shared" si="4"/>
        <v>174.6</v>
      </c>
      <c r="H50" s="141">
        <f t="shared" si="3"/>
        <v>1.4601751039308483E-2</v>
      </c>
      <c r="I50" s="32">
        <f>ROUND(F50*Прил.10!$D$13,2)</f>
        <v>4824</v>
      </c>
      <c r="J50" s="32">
        <f t="shared" si="5"/>
        <v>1403.78</v>
      </c>
    </row>
    <row r="51" spans="1:10" s="12" customFormat="1" ht="25.5" hidden="1" customHeight="1" outlineLevel="1" x14ac:dyDescent="0.2">
      <c r="A51" s="2">
        <v>23</v>
      </c>
      <c r="B51" s="147" t="s">
        <v>206</v>
      </c>
      <c r="C51" s="8" t="s">
        <v>207</v>
      </c>
      <c r="D51" s="2" t="s">
        <v>196</v>
      </c>
      <c r="E51" s="145">
        <v>0.1</v>
      </c>
      <c r="F51" s="103">
        <v>887.03</v>
      </c>
      <c r="G51" s="32">
        <f t="shared" si="4"/>
        <v>88.7</v>
      </c>
      <c r="H51" s="141">
        <f t="shared" si="3"/>
        <v>7.4179571431080326E-3</v>
      </c>
      <c r="I51" s="32">
        <f>ROUND(F51*Прил.10!$D$13,2)</f>
        <v>7131.72</v>
      </c>
      <c r="J51" s="32">
        <f t="shared" si="5"/>
        <v>713.17</v>
      </c>
    </row>
    <row r="52" spans="1:10" s="12" customFormat="1" ht="25.5" hidden="1" customHeight="1" outlineLevel="1" x14ac:dyDescent="0.2">
      <c r="A52" s="2">
        <v>24</v>
      </c>
      <c r="B52" s="147" t="s">
        <v>208</v>
      </c>
      <c r="C52" s="8" t="s">
        <v>209</v>
      </c>
      <c r="D52" s="2" t="s">
        <v>185</v>
      </c>
      <c r="E52" s="145">
        <v>6.9999999999999999E-4</v>
      </c>
      <c r="F52" s="103">
        <v>86162.5</v>
      </c>
      <c r="G52" s="32">
        <f t="shared" si="4"/>
        <v>60.31</v>
      </c>
      <c r="H52" s="141">
        <f t="shared" si="3"/>
        <v>5.0437090789272315E-3</v>
      </c>
      <c r="I52" s="32">
        <f>ROUND(F52*Прил.10!$D$13,2)</f>
        <v>692746.5</v>
      </c>
      <c r="J52" s="32">
        <f t="shared" si="5"/>
        <v>484.92</v>
      </c>
    </row>
    <row r="53" spans="1:10" s="12" customFormat="1" ht="25.5" hidden="1" customHeight="1" outlineLevel="1" x14ac:dyDescent="0.2">
      <c r="A53" s="2">
        <v>25</v>
      </c>
      <c r="B53" s="147" t="s">
        <v>210</v>
      </c>
      <c r="C53" s="8" t="s">
        <v>211</v>
      </c>
      <c r="D53" s="2" t="s">
        <v>196</v>
      </c>
      <c r="E53" s="145">
        <v>0.03</v>
      </c>
      <c r="F53" s="103">
        <v>1335.52</v>
      </c>
      <c r="G53" s="32">
        <f t="shared" si="4"/>
        <v>40.07</v>
      </c>
      <c r="H53" s="141">
        <f t="shared" si="3"/>
        <v>3.3510433227095702E-3</v>
      </c>
      <c r="I53" s="32">
        <f>ROUND(F53*Прил.10!$D$13,2)</f>
        <v>10737.58</v>
      </c>
      <c r="J53" s="32">
        <f t="shared" si="5"/>
        <v>322.13</v>
      </c>
    </row>
    <row r="54" spans="1:10" s="12" customFormat="1" ht="25.5" hidden="1" customHeight="1" outlineLevel="1" x14ac:dyDescent="0.2">
      <c r="A54" s="2">
        <v>26</v>
      </c>
      <c r="B54" s="147" t="s">
        <v>212</v>
      </c>
      <c r="C54" s="8" t="s">
        <v>213</v>
      </c>
      <c r="D54" s="2" t="s">
        <v>185</v>
      </c>
      <c r="E54" s="145">
        <v>2.398E-3</v>
      </c>
      <c r="F54" s="103">
        <v>12430</v>
      </c>
      <c r="G54" s="32">
        <f t="shared" si="4"/>
        <v>29.81</v>
      </c>
      <c r="H54" s="141">
        <f t="shared" si="3"/>
        <v>2.4930022822553599E-3</v>
      </c>
      <c r="I54" s="32">
        <f>ROUND(F54*Прил.10!$D$13,2)</f>
        <v>99937.2</v>
      </c>
      <c r="J54" s="32">
        <f t="shared" si="5"/>
        <v>239.65</v>
      </c>
    </row>
    <row r="55" spans="1:10" s="12" customFormat="1" ht="14.25" hidden="1" customHeight="1" outlineLevel="1" x14ac:dyDescent="0.2">
      <c r="A55" s="2">
        <v>27</v>
      </c>
      <c r="B55" s="147" t="s">
        <v>214</v>
      </c>
      <c r="C55" s="8" t="s">
        <v>215</v>
      </c>
      <c r="D55" s="2" t="s">
        <v>199</v>
      </c>
      <c r="E55" s="145">
        <v>0.55000000000000004</v>
      </c>
      <c r="F55" s="103">
        <v>39</v>
      </c>
      <c r="G55" s="32">
        <f t="shared" si="4"/>
        <v>21.45</v>
      </c>
      <c r="H55" s="141">
        <f t="shared" si="3"/>
        <v>1.7938577307741522E-3</v>
      </c>
      <c r="I55" s="32">
        <f>ROUND(F55*Прил.10!$D$13,2)</f>
        <v>313.56</v>
      </c>
      <c r="J55" s="32">
        <f t="shared" si="5"/>
        <v>172.46</v>
      </c>
    </row>
    <row r="56" spans="1:10" s="12" customFormat="1" ht="38.25" hidden="1" customHeight="1" outlineLevel="1" x14ac:dyDescent="0.2">
      <c r="A56" s="2">
        <v>28</v>
      </c>
      <c r="B56" s="147" t="s">
        <v>216</v>
      </c>
      <c r="C56" s="8" t="s">
        <v>217</v>
      </c>
      <c r="D56" s="2" t="s">
        <v>193</v>
      </c>
      <c r="E56" s="145">
        <v>3.1E-2</v>
      </c>
      <c r="F56" s="103">
        <v>684</v>
      </c>
      <c r="G56" s="32">
        <f t="shared" si="4"/>
        <v>21.2</v>
      </c>
      <c r="H56" s="141">
        <f t="shared" si="3"/>
        <v>1.7729502980145466E-3</v>
      </c>
      <c r="I56" s="32">
        <f>ROUND(F56*Прил.10!$D$13,2)</f>
        <v>5499.36</v>
      </c>
      <c r="J56" s="32">
        <f t="shared" si="5"/>
        <v>170.48</v>
      </c>
    </row>
    <row r="57" spans="1:10" s="12" customFormat="1" ht="14.25" hidden="1" customHeight="1" outlineLevel="1" x14ac:dyDescent="0.2">
      <c r="A57" s="2">
        <v>29</v>
      </c>
      <c r="B57" s="147" t="s">
        <v>218</v>
      </c>
      <c r="C57" s="8" t="s">
        <v>219</v>
      </c>
      <c r="D57" s="2" t="s">
        <v>220</v>
      </c>
      <c r="E57" s="145">
        <v>1.905</v>
      </c>
      <c r="F57" s="103">
        <v>9.0399999999999991</v>
      </c>
      <c r="G57" s="32">
        <f t="shared" si="4"/>
        <v>17.22</v>
      </c>
      <c r="H57" s="141">
        <f t="shared" si="3"/>
        <v>1.440103968481627E-3</v>
      </c>
      <c r="I57" s="32">
        <f>ROUND(F57*Прил.10!$D$13,2)</f>
        <v>72.680000000000007</v>
      </c>
      <c r="J57" s="32">
        <f t="shared" si="5"/>
        <v>138.46</v>
      </c>
    </row>
    <row r="58" spans="1:10" s="12" customFormat="1" ht="25.5" hidden="1" customHeight="1" outlineLevel="1" x14ac:dyDescent="0.2">
      <c r="A58" s="2">
        <v>30</v>
      </c>
      <c r="B58" s="147" t="s">
        <v>221</v>
      </c>
      <c r="C58" s="8" t="s">
        <v>222</v>
      </c>
      <c r="D58" s="2" t="s">
        <v>223</v>
      </c>
      <c r="E58" s="145">
        <v>14.13885</v>
      </c>
      <c r="F58" s="103">
        <v>1</v>
      </c>
      <c r="G58" s="32">
        <f t="shared" si="4"/>
        <v>14.14</v>
      </c>
      <c r="H58" s="141">
        <f t="shared" si="3"/>
        <v>1.1825243968832872E-3</v>
      </c>
      <c r="I58" s="32">
        <f>ROUND(F58*Прил.10!$D$13,2)</f>
        <v>8.0399999999999991</v>
      </c>
      <c r="J58" s="32">
        <f t="shared" si="5"/>
        <v>113.68</v>
      </c>
    </row>
    <row r="59" spans="1:10" s="12" customFormat="1" ht="25.5" hidden="1" customHeight="1" outlineLevel="1" x14ac:dyDescent="0.2">
      <c r="A59" s="2">
        <v>31</v>
      </c>
      <c r="B59" s="147" t="s">
        <v>224</v>
      </c>
      <c r="C59" s="8" t="s">
        <v>225</v>
      </c>
      <c r="D59" s="2" t="s">
        <v>220</v>
      </c>
      <c r="E59" s="145">
        <v>1.3260000000000001</v>
      </c>
      <c r="F59" s="103">
        <v>10.57</v>
      </c>
      <c r="G59" s="32">
        <f t="shared" si="4"/>
        <v>14.02</v>
      </c>
      <c r="H59" s="141">
        <f t="shared" si="3"/>
        <v>1.1724888291586766E-3</v>
      </c>
      <c r="I59" s="32">
        <f>ROUND(F59*Прил.10!$D$13,2)</f>
        <v>84.98</v>
      </c>
      <c r="J59" s="32">
        <f t="shared" si="5"/>
        <v>112.68</v>
      </c>
    </row>
    <row r="60" spans="1:10" s="12" customFormat="1" ht="25.5" hidden="1" customHeight="1" outlineLevel="1" x14ac:dyDescent="0.2">
      <c r="A60" s="2">
        <v>32</v>
      </c>
      <c r="B60" s="147" t="s">
        <v>226</v>
      </c>
      <c r="C60" s="8" t="s">
        <v>227</v>
      </c>
      <c r="D60" s="2" t="s">
        <v>178</v>
      </c>
      <c r="E60" s="145">
        <v>0.05</v>
      </c>
      <c r="F60" s="103">
        <v>266.67</v>
      </c>
      <c r="G60" s="32">
        <f t="shared" si="4"/>
        <v>13.33</v>
      </c>
      <c r="H60" s="141">
        <f t="shared" si="3"/>
        <v>1.1147843147421654E-3</v>
      </c>
      <c r="I60" s="32">
        <f>ROUND(F60*Прил.10!$D$13,2)</f>
        <v>2144.0300000000002</v>
      </c>
      <c r="J60" s="32">
        <f t="shared" si="5"/>
        <v>107.2</v>
      </c>
    </row>
    <row r="61" spans="1:10" s="12" customFormat="1" ht="14.25" hidden="1" customHeight="1" outlineLevel="1" x14ac:dyDescent="0.2">
      <c r="A61" s="2">
        <v>33</v>
      </c>
      <c r="B61" s="147" t="s">
        <v>228</v>
      </c>
      <c r="C61" s="8" t="s">
        <v>229</v>
      </c>
      <c r="D61" s="2" t="s">
        <v>178</v>
      </c>
      <c r="E61" s="145">
        <v>11</v>
      </c>
      <c r="F61" s="103">
        <v>0.71</v>
      </c>
      <c r="G61" s="32">
        <f t="shared" si="4"/>
        <v>7.81</v>
      </c>
      <c r="H61" s="141">
        <f t="shared" si="3"/>
        <v>6.531481994100759E-4</v>
      </c>
      <c r="I61" s="32">
        <f>ROUND(F61*Прил.10!$D$13,2)</f>
        <v>5.71</v>
      </c>
      <c r="J61" s="32">
        <f t="shared" si="5"/>
        <v>62.81</v>
      </c>
    </row>
    <row r="62" spans="1:10" s="12" customFormat="1" ht="14.25" hidden="1" customHeight="1" outlineLevel="1" x14ac:dyDescent="0.2">
      <c r="A62" s="2">
        <v>34</v>
      </c>
      <c r="B62" s="147" t="s">
        <v>230</v>
      </c>
      <c r="C62" s="8" t="s">
        <v>231</v>
      </c>
      <c r="D62" s="2" t="s">
        <v>185</v>
      </c>
      <c r="E62" s="145">
        <v>3.7199999999999999E-4</v>
      </c>
      <c r="F62" s="103">
        <v>12430</v>
      </c>
      <c r="G62" s="32">
        <f t="shared" si="4"/>
        <v>4.62</v>
      </c>
      <c r="H62" s="141">
        <f t="shared" si="3"/>
        <v>3.8636935739750971E-4</v>
      </c>
      <c r="I62" s="32">
        <f>ROUND(F62*Прил.10!$D$13,2)</f>
        <v>99937.2</v>
      </c>
      <c r="J62" s="32">
        <f t="shared" si="5"/>
        <v>37.18</v>
      </c>
    </row>
    <row r="63" spans="1:10" s="12" customFormat="1" ht="14.25" hidden="1" customHeight="1" outlineLevel="1" x14ac:dyDescent="0.2">
      <c r="A63" s="2">
        <v>35</v>
      </c>
      <c r="B63" s="147" t="s">
        <v>232</v>
      </c>
      <c r="C63" s="8" t="s">
        <v>233</v>
      </c>
      <c r="D63" s="2" t="s">
        <v>185</v>
      </c>
      <c r="E63" s="145">
        <v>4.9799999999999996E-4</v>
      </c>
      <c r="F63" s="103">
        <v>7826.9</v>
      </c>
      <c r="G63" s="32">
        <f t="shared" si="4"/>
        <v>3.9</v>
      </c>
      <c r="H63" s="141">
        <f t="shared" si="3"/>
        <v>3.2615595104984582E-4</v>
      </c>
      <c r="I63" s="32">
        <f>ROUND(F63*Прил.10!$D$13,2)</f>
        <v>62928.28</v>
      </c>
      <c r="J63" s="32">
        <f t="shared" si="5"/>
        <v>31.34</v>
      </c>
    </row>
    <row r="64" spans="1:10" s="12" customFormat="1" ht="14.25" hidden="1" customHeight="1" outlineLevel="1" x14ac:dyDescent="0.2">
      <c r="A64" s="2">
        <v>36</v>
      </c>
      <c r="B64" s="147" t="s">
        <v>234</v>
      </c>
      <c r="C64" s="8" t="s">
        <v>235</v>
      </c>
      <c r="D64" s="2" t="s">
        <v>236</v>
      </c>
      <c r="E64" s="145">
        <v>2.5260000000000001E-2</v>
      </c>
      <c r="F64" s="103">
        <v>120</v>
      </c>
      <c r="G64" s="32">
        <f t="shared" si="4"/>
        <v>3.03</v>
      </c>
      <c r="H64" s="141">
        <f t="shared" si="3"/>
        <v>2.5339808504641869E-4</v>
      </c>
      <c r="I64" s="32">
        <f>ROUND(F64*Прил.10!$D$13,2)</f>
        <v>964.8</v>
      </c>
      <c r="J64" s="32">
        <f t="shared" si="5"/>
        <v>24.37</v>
      </c>
    </row>
    <row r="65" spans="1:10" s="12" customFormat="1" ht="14.25" hidden="1" customHeight="1" outlineLevel="1" x14ac:dyDescent="0.2">
      <c r="A65" s="2">
        <v>37</v>
      </c>
      <c r="B65" s="147" t="s">
        <v>237</v>
      </c>
      <c r="C65" s="8" t="s">
        <v>238</v>
      </c>
      <c r="D65" s="2" t="s">
        <v>239</v>
      </c>
      <c r="E65" s="145">
        <v>1.0999999999999999E-2</v>
      </c>
      <c r="F65" s="103">
        <v>270</v>
      </c>
      <c r="G65" s="32">
        <f t="shared" si="4"/>
        <v>2.97</v>
      </c>
      <c r="H65" s="141">
        <f t="shared" si="3"/>
        <v>2.4838030118411338E-4</v>
      </c>
      <c r="I65" s="32">
        <f>ROUND(F65*Прил.10!$D$13,2)</f>
        <v>2170.8000000000002</v>
      </c>
      <c r="J65" s="32">
        <f t="shared" si="5"/>
        <v>23.88</v>
      </c>
    </row>
    <row r="66" spans="1:10" s="12" customFormat="1" ht="14.25" hidden="1" customHeight="1" outlineLevel="1" x14ac:dyDescent="0.2">
      <c r="A66" s="2">
        <v>38</v>
      </c>
      <c r="B66" s="147" t="s">
        <v>240</v>
      </c>
      <c r="C66" s="8" t="s">
        <v>241</v>
      </c>
      <c r="D66" s="2" t="s">
        <v>185</v>
      </c>
      <c r="E66" s="145">
        <v>2.9999999999999997E-4</v>
      </c>
      <c r="F66" s="103">
        <v>9424</v>
      </c>
      <c r="G66" s="32">
        <f t="shared" si="4"/>
        <v>2.83</v>
      </c>
      <c r="H66" s="141">
        <f t="shared" si="3"/>
        <v>2.3667213883873429E-4</v>
      </c>
      <c r="I66" s="32">
        <f>ROUND(F66*Прил.10!$D$13,2)</f>
        <v>75768.960000000006</v>
      </c>
      <c r="J66" s="32">
        <f t="shared" si="5"/>
        <v>22.73</v>
      </c>
    </row>
    <row r="67" spans="1:10" s="12" customFormat="1" ht="38.25" hidden="1" customHeight="1" outlineLevel="1" x14ac:dyDescent="0.2">
      <c r="A67" s="2">
        <v>39</v>
      </c>
      <c r="B67" s="147" t="s">
        <v>242</v>
      </c>
      <c r="C67" s="8" t="s">
        <v>243</v>
      </c>
      <c r="D67" s="2" t="s">
        <v>193</v>
      </c>
      <c r="E67" s="145">
        <v>5.0000000000000001E-3</v>
      </c>
      <c r="F67" s="103">
        <v>558.33000000000004</v>
      </c>
      <c r="G67" s="32">
        <f t="shared" si="4"/>
        <v>2.79</v>
      </c>
      <c r="H67" s="141">
        <f t="shared" si="3"/>
        <v>2.3332694959719741E-4</v>
      </c>
      <c r="I67" s="32">
        <f>ROUND(F67*Прил.10!$D$13,2)</f>
        <v>4488.97</v>
      </c>
      <c r="J67" s="32">
        <f t="shared" si="5"/>
        <v>22.44</v>
      </c>
    </row>
    <row r="68" spans="1:10" s="12" customFormat="1" ht="25.5" hidden="1" customHeight="1" outlineLevel="1" x14ac:dyDescent="0.2">
      <c r="A68" s="2">
        <v>40</v>
      </c>
      <c r="B68" s="147" t="s">
        <v>244</v>
      </c>
      <c r="C68" s="8" t="s">
        <v>245</v>
      </c>
      <c r="D68" s="2" t="s">
        <v>239</v>
      </c>
      <c r="E68" s="145">
        <v>1.06E-3</v>
      </c>
      <c r="F68" s="103">
        <v>1740.2</v>
      </c>
      <c r="G68" s="32">
        <f t="shared" si="4"/>
        <v>1.84</v>
      </c>
      <c r="H68" s="141">
        <f t="shared" si="3"/>
        <v>1.5387870511069651E-4</v>
      </c>
      <c r="I68" s="32">
        <f>ROUND(F68*Прил.10!$D$13,2)</f>
        <v>13991.21</v>
      </c>
      <c r="J68" s="32">
        <f t="shared" si="5"/>
        <v>14.83</v>
      </c>
    </row>
    <row r="69" spans="1:10" s="12" customFormat="1" ht="14.25" hidden="1" customHeight="1" outlineLevel="1" x14ac:dyDescent="0.2">
      <c r="A69" s="2">
        <v>41</v>
      </c>
      <c r="B69" s="147" t="s">
        <v>246</v>
      </c>
      <c r="C69" s="8" t="s">
        <v>247</v>
      </c>
      <c r="D69" s="2" t="s">
        <v>220</v>
      </c>
      <c r="E69" s="145">
        <v>0.03</v>
      </c>
      <c r="F69" s="103">
        <v>28.6</v>
      </c>
      <c r="G69" s="32">
        <f t="shared" si="4"/>
        <v>0.86</v>
      </c>
      <c r="H69" s="141">
        <f t="shared" si="3"/>
        <v>7.1921568693042925E-5</v>
      </c>
      <c r="I69" s="32">
        <f>ROUND(F69*Прил.10!$D$13,2)</f>
        <v>229.94</v>
      </c>
      <c r="J69" s="32">
        <f t="shared" si="5"/>
        <v>6.9</v>
      </c>
    </row>
    <row r="70" spans="1:10" s="12" customFormat="1" ht="14.25" hidden="1" customHeight="1" outlineLevel="1" x14ac:dyDescent="0.2">
      <c r="A70" s="2">
        <v>42</v>
      </c>
      <c r="B70" s="147" t="s">
        <v>248</v>
      </c>
      <c r="C70" s="8" t="s">
        <v>249</v>
      </c>
      <c r="D70" s="2" t="s">
        <v>250</v>
      </c>
      <c r="E70" s="145">
        <v>4.0000000000000001E-3</v>
      </c>
      <c r="F70" s="103">
        <v>110</v>
      </c>
      <c r="G70" s="32">
        <f t="shared" si="4"/>
        <v>0.44</v>
      </c>
      <c r="H70" s="141">
        <f t="shared" si="3"/>
        <v>3.6797081656905684E-5</v>
      </c>
      <c r="I70" s="32">
        <f>ROUND(F70*Прил.10!$D$13,2)</f>
        <v>884.4</v>
      </c>
      <c r="J70" s="32">
        <f t="shared" si="5"/>
        <v>3.54</v>
      </c>
    </row>
    <row r="71" spans="1:10" s="12" customFormat="1" ht="38.25" hidden="1" customHeight="1" outlineLevel="1" x14ac:dyDescent="0.2">
      <c r="A71" s="2">
        <v>43</v>
      </c>
      <c r="B71" s="147" t="s">
        <v>251</v>
      </c>
      <c r="C71" s="8" t="s">
        <v>252</v>
      </c>
      <c r="D71" s="2" t="s">
        <v>185</v>
      </c>
      <c r="E71" s="145">
        <v>8.9999999999999998E-4</v>
      </c>
      <c r="F71" s="103">
        <v>480</v>
      </c>
      <c r="G71" s="32">
        <f t="shared" si="4"/>
        <v>0.43</v>
      </c>
      <c r="H71" s="141">
        <f t="shared" si="3"/>
        <v>3.5960784346521463E-5</v>
      </c>
      <c r="I71" s="32">
        <f>ROUND(F71*Прил.10!$D$13,2)</f>
        <v>3859.2</v>
      </c>
      <c r="J71" s="32">
        <f t="shared" si="5"/>
        <v>3.47</v>
      </c>
    </row>
    <row r="72" spans="1:10" s="12" customFormat="1" ht="14.25" hidden="1" customHeight="1" outlineLevel="1" x14ac:dyDescent="0.2">
      <c r="A72" s="2">
        <v>44</v>
      </c>
      <c r="B72" s="147" t="s">
        <v>253</v>
      </c>
      <c r="C72" s="8" t="s">
        <v>254</v>
      </c>
      <c r="D72" s="2" t="s">
        <v>220</v>
      </c>
      <c r="E72" s="145">
        <v>0.06</v>
      </c>
      <c r="F72" s="103">
        <v>6.4</v>
      </c>
      <c r="G72" s="32">
        <f t="shared" si="4"/>
        <v>0.38</v>
      </c>
      <c r="H72" s="141">
        <f t="shared" si="3"/>
        <v>3.1779297794600362E-5</v>
      </c>
      <c r="I72" s="32">
        <f>ROUND(F72*Прил.10!$D$13,2)</f>
        <v>51.46</v>
      </c>
      <c r="J72" s="32">
        <f t="shared" si="5"/>
        <v>3.09</v>
      </c>
    </row>
    <row r="73" spans="1:10" s="12" customFormat="1" ht="25.5" hidden="1" customHeight="1" outlineLevel="1" x14ac:dyDescent="0.2">
      <c r="A73" s="2">
        <v>45</v>
      </c>
      <c r="B73" s="147" t="s">
        <v>255</v>
      </c>
      <c r="C73" s="8" t="s">
        <v>256</v>
      </c>
      <c r="D73" s="2" t="s">
        <v>193</v>
      </c>
      <c r="E73" s="145">
        <v>3.1E-4</v>
      </c>
      <c r="F73" s="103">
        <v>463.3</v>
      </c>
      <c r="G73" s="32">
        <f t="shared" si="4"/>
        <v>0.14000000000000001</v>
      </c>
      <c r="H73" s="141">
        <f t="shared" si="3"/>
        <v>1.1708162345379082E-5</v>
      </c>
      <c r="I73" s="32">
        <f>ROUND(F73*Прил.10!$D$13,2)</f>
        <v>3724.93</v>
      </c>
      <c r="J73" s="32">
        <f t="shared" si="5"/>
        <v>1.1499999999999999</v>
      </c>
    </row>
    <row r="74" spans="1:10" s="12" customFormat="1" ht="38.25" hidden="1" customHeight="1" outlineLevel="1" x14ac:dyDescent="0.2">
      <c r="A74" s="2">
        <v>46</v>
      </c>
      <c r="B74" s="147" t="s">
        <v>257</v>
      </c>
      <c r="C74" s="8" t="s">
        <v>258</v>
      </c>
      <c r="D74" s="2" t="s">
        <v>193</v>
      </c>
      <c r="E74" s="145">
        <v>7.5000000000000002E-4</v>
      </c>
      <c r="F74" s="103">
        <v>55.26</v>
      </c>
      <c r="G74" s="32">
        <f t="shared" si="4"/>
        <v>0.04</v>
      </c>
      <c r="H74" s="141">
        <f t="shared" si="3"/>
        <v>3.3451892415368804E-6</v>
      </c>
      <c r="I74" s="32">
        <f>ROUND(F74*Прил.10!$D$13,2)</f>
        <v>444.29</v>
      </c>
      <c r="J74" s="32">
        <f t="shared" si="5"/>
        <v>0.33</v>
      </c>
    </row>
    <row r="75" spans="1:10" s="12" customFormat="1" ht="14.25" customHeight="1" collapsed="1" x14ac:dyDescent="0.2">
      <c r="A75" s="2"/>
      <c r="B75" s="2"/>
      <c r="C75" s="8" t="s">
        <v>301</v>
      </c>
      <c r="D75" s="2"/>
      <c r="E75" s="145"/>
      <c r="F75" s="103"/>
      <c r="G75" s="32">
        <f>SUM(G47:G74)</f>
        <v>1345.4299999999998</v>
      </c>
      <c r="H75" s="141">
        <f t="shared" si="3"/>
        <v>0.11251794903102412</v>
      </c>
      <c r="I75" s="32"/>
      <c r="J75" s="32">
        <f>SUM(J47:J74)</f>
        <v>10817.409999999996</v>
      </c>
    </row>
    <row r="76" spans="1:10" s="12" customFormat="1" ht="14.25" customHeight="1" x14ac:dyDescent="0.2">
      <c r="A76" s="2"/>
      <c r="B76" s="2"/>
      <c r="C76" s="104" t="s">
        <v>302</v>
      </c>
      <c r="D76" s="2"/>
      <c r="E76" s="136"/>
      <c r="F76" s="103"/>
      <c r="G76" s="32">
        <f>G46+G75</f>
        <v>11957.47</v>
      </c>
      <c r="H76" s="137">
        <f t="shared" si="3"/>
        <v>1</v>
      </c>
      <c r="I76" s="32"/>
      <c r="J76" s="32">
        <f>J46+J75</f>
        <v>96138.040000000008</v>
      </c>
    </row>
    <row r="77" spans="1:10" s="12" customFormat="1" ht="14.25" customHeight="1" x14ac:dyDescent="0.2">
      <c r="A77" s="2"/>
      <c r="B77" s="2"/>
      <c r="C77" s="8" t="s">
        <v>303</v>
      </c>
      <c r="D77" s="2"/>
      <c r="E77" s="136"/>
      <c r="F77" s="103"/>
      <c r="G77" s="32">
        <f>G14+G30+G76</f>
        <v>14127.97</v>
      </c>
      <c r="H77" s="137"/>
      <c r="I77" s="32"/>
      <c r="J77" s="32">
        <f>J14+J30+J76</f>
        <v>154696.13</v>
      </c>
    </row>
    <row r="78" spans="1:10" s="12" customFormat="1" ht="14.25" customHeight="1" x14ac:dyDescent="0.2">
      <c r="A78" s="2"/>
      <c r="B78" s="2"/>
      <c r="C78" s="8" t="s">
        <v>304</v>
      </c>
      <c r="D78" s="190">
        <f>ROUND(G78/(G$16+$G$14),2)</f>
        <v>1.02</v>
      </c>
      <c r="E78" s="136"/>
      <c r="F78" s="103"/>
      <c r="G78" s="32">
        <v>1007</v>
      </c>
      <c r="H78" s="137"/>
      <c r="I78" s="32"/>
      <c r="J78" s="32">
        <f>ROUND(D78*(J14+J16),2)</f>
        <v>46188.78</v>
      </c>
    </row>
    <row r="79" spans="1:10" s="12" customFormat="1" ht="14.25" customHeight="1" x14ac:dyDescent="0.2">
      <c r="A79" s="2"/>
      <c r="B79" s="2"/>
      <c r="C79" s="8" t="s">
        <v>305</v>
      </c>
      <c r="D79" s="190">
        <f>ROUND(G79/(G$14+G$16),2)</f>
        <v>0.69</v>
      </c>
      <c r="E79" s="136"/>
      <c r="F79" s="103"/>
      <c r="G79" s="32">
        <v>680.4</v>
      </c>
      <c r="H79" s="137"/>
      <c r="I79" s="32"/>
      <c r="J79" s="32">
        <f>ROUND(D79*(J14+J16),2)</f>
        <v>31245.35</v>
      </c>
    </row>
    <row r="80" spans="1:10" s="12" customFormat="1" ht="14.25" customHeight="1" x14ac:dyDescent="0.2">
      <c r="A80" s="2"/>
      <c r="B80" s="2"/>
      <c r="C80" s="8" t="s">
        <v>306</v>
      </c>
      <c r="D80" s="2"/>
      <c r="E80" s="136"/>
      <c r="F80" s="103"/>
      <c r="G80" s="32">
        <f>G14+G30+G76+G78+G79</f>
        <v>15815.369999999999</v>
      </c>
      <c r="H80" s="137"/>
      <c r="I80" s="32"/>
      <c r="J80" s="32">
        <f>J14+J30+J76+J78+J79</f>
        <v>232130.26</v>
      </c>
    </row>
    <row r="81" spans="1:10" s="12" customFormat="1" ht="14.25" customHeight="1" x14ac:dyDescent="0.2">
      <c r="A81" s="2"/>
      <c r="B81" s="2"/>
      <c r="C81" s="8" t="s">
        <v>307</v>
      </c>
      <c r="D81" s="2"/>
      <c r="E81" s="136"/>
      <c r="F81" s="103"/>
      <c r="G81" s="32">
        <f>G80+G37</f>
        <v>20555.099999999999</v>
      </c>
      <c r="H81" s="137"/>
      <c r="I81" s="32"/>
      <c r="J81" s="32">
        <f>J80+J37</f>
        <v>261800.98</v>
      </c>
    </row>
    <row r="82" spans="1:10" s="12" customFormat="1" ht="34.5" customHeight="1" x14ac:dyDescent="0.2">
      <c r="A82" s="2"/>
      <c r="B82" s="2"/>
      <c r="C82" s="8" t="s">
        <v>76</v>
      </c>
      <c r="D82" s="224" t="s">
        <v>308</v>
      </c>
      <c r="E82" s="136">
        <v>1</v>
      </c>
      <c r="F82" s="103"/>
      <c r="G82" s="32">
        <f>G81/E82</f>
        <v>20555.099999999999</v>
      </c>
      <c r="H82" s="137"/>
      <c r="I82" s="32"/>
      <c r="J82" s="32">
        <f>J81/E82</f>
        <v>261800.98</v>
      </c>
    </row>
    <row r="84" spans="1:10" s="12" customFormat="1" ht="14.25" customHeight="1" x14ac:dyDescent="0.2">
      <c r="A84" s="4" t="s">
        <v>309</v>
      </c>
      <c r="D84" s="189"/>
    </row>
    <row r="85" spans="1:10" s="12" customFormat="1" ht="14.25" customHeight="1" x14ac:dyDescent="0.2">
      <c r="A85" s="33" t="s">
        <v>112</v>
      </c>
      <c r="D85" s="189"/>
    </row>
    <row r="86" spans="1:10" s="12" customFormat="1" ht="14.25" customHeight="1" x14ac:dyDescent="0.2">
      <c r="A86" s="4"/>
      <c r="D86" s="189"/>
    </row>
    <row r="87" spans="1:10" s="12" customFormat="1" ht="14.25" customHeight="1" x14ac:dyDescent="0.2">
      <c r="A87" s="4" t="s">
        <v>113</v>
      </c>
      <c r="D87" s="189"/>
    </row>
    <row r="88" spans="1:10" s="12" customFormat="1" ht="14.25" customHeight="1" x14ac:dyDescent="0.2">
      <c r="A88" s="33" t="s">
        <v>114</v>
      </c>
      <c r="D88" s="189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2:H32"/>
    <mergeCell ref="B31:H31"/>
    <mergeCell ref="B39:H39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4.5 РМ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2023-11-26T07:00:33Z</cp:lastPrinted>
  <dcterms:created xsi:type="dcterms:W3CDTF">2020-09-30T08:50:27Z</dcterms:created>
  <dcterms:modified xsi:type="dcterms:W3CDTF">2023-11-26T07:00:46Z</dcterms:modified>
  <cp:category/>
</cp:coreProperties>
</file>