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2\220 кВ\"/>
    </mc:Choice>
  </mc:AlternateContent>
  <xr:revisionPtr revIDLastSave="0" documentId="13_ncr:1_{C8251E76-E113-4209-ACC6-87B21079EC98}" xr6:coauthVersionLast="40" xr6:coauthVersionMax="40" xr10:uidLastSave="{00000000-0000-0000-0000-000000000000}"/>
  <bookViews>
    <workbookView xWindow="0" yWindow="0" windowWidth="28800" windowHeight="12225" tabRatio="924" firstSheet="3" activeTab="6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7">#REF!</definedName>
    <definedName name="A99999999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7">#REF!</definedName>
    <definedName name="h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7">#REF!</definedName>
    <definedName name="q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7">#REF!</definedName>
    <definedName name="rf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7">#REF!</definedName>
    <definedName name="rtyrty">#REF!</definedName>
    <definedName name="rybuf" localSheetId="4">#REF!</definedName>
    <definedName name="rybuf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4">#REF!</definedName>
    <definedName name="аморт">#REF!</definedName>
    <definedName name="Амортизация" localSheetId="4">#REF!</definedName>
    <definedName name="Амортизация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7">#REF!</definedName>
    <definedName name="др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7">#REF!</definedName>
    <definedName name="ер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4">#REF!</definedName>
    <definedName name="ЗаданиеГС_КМ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7">#REF!</definedName>
    <definedName name="ивпт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4">#REF!</definedName>
    <definedName name="ИИМбал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7">#REF!</definedName>
    <definedName name="иолд">#REF!</definedName>
    <definedName name="ИОСост" localSheetId="4">#REF!</definedName>
    <definedName name="ИОСост">#REF!</definedName>
    <definedName name="ИОСпс" localSheetId="4">#REF!</definedName>
    <definedName name="ИОСпс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7">#REF!</definedName>
    <definedName name="ип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7">#REF!</definedName>
    <definedName name="ИПусто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7">#REF!</definedName>
    <definedName name="итьоиьб">#REF!</definedName>
    <definedName name="Иуе" localSheetId="4">#REF!</definedName>
    <definedName name="Иуе">#REF!</definedName>
    <definedName name="ИуеРЭО" localSheetId="4">#REF!</definedName>
    <definedName name="ИуеРЭО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7">#REF!</definedName>
    <definedName name="керл">#REF!</definedName>
    <definedName name="КЗ_Имущество" localSheetId="4">#REF!</definedName>
    <definedName name="КЗ_Имущество">#REF!</definedName>
    <definedName name="КЗ_ИП" localSheetId="4">#REF!</definedName>
    <definedName name="КЗ_ИП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4">#REF!</definedName>
    <definedName name="Компания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4">#REF!</definedName>
    <definedName name="матер">#REF!</definedName>
    <definedName name="матер." localSheetId="4">#REF!</definedName>
    <definedName name="матер.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7">#REF!</definedName>
    <definedName name="НДС">#REF!</definedName>
    <definedName name="НДСИмущество" localSheetId="4">#REF!</definedName>
    <definedName name="НДСИмущество">#REF!</definedName>
    <definedName name="НДСИП" localSheetId="4">#REF!</definedName>
    <definedName name="НДСИП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Прил.3!$A$1:$H$75</definedName>
    <definedName name="_xlnm.Print_Area" localSheetId="6">'Прил.4 РМ'!$A$1:$E$48</definedName>
    <definedName name="_xlnm.Print_Area" localSheetId="7">'Прил.5 Расчет СМР и ОБ'!$A$1:$J$90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4">#REF!</definedName>
    <definedName name="Прибыль_RAB">#REF!</definedName>
    <definedName name="Прибыль_Масса" localSheetId="4">#REF!</definedName>
    <definedName name="Прибыль_Масса">#REF!</definedName>
    <definedName name="Прибыль_Метод" localSheetId="4">#REF!</definedName>
    <definedName name="Прибыль_Метод">#REF!</definedName>
    <definedName name="Прибыль_ПроцентОС" localSheetId="4">#REF!</definedName>
    <definedName name="Прибыль_ПроцентОС">#REF!</definedName>
    <definedName name="Прибыль_ПроцентСС" localSheetId="4">#REF!</definedName>
    <definedName name="Прибыль_ПроцентСС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4">#REF!</definedName>
    <definedName name="приоб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4">#REF!</definedName>
    <definedName name="СтавкаДКЗ">#REF!</definedName>
    <definedName name="СтавкаЕСН" localSheetId="4">#REF!</definedName>
    <definedName name="СтавкаЕСН">#REF!</definedName>
    <definedName name="СтавкаНДС" localSheetId="4">#REF!</definedName>
    <definedName name="СтавкаНДС">#REF!</definedName>
    <definedName name="СтавкаНП" localSheetId="4">#REF!</definedName>
    <definedName name="СтавкаНП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4">#REF!</definedName>
    <definedName name="электроэнер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G13" i="9"/>
  <c r="F13" i="9"/>
  <c r="E13" i="9"/>
  <c r="D13" i="9"/>
  <c r="C13" i="9"/>
  <c r="B13" i="9"/>
  <c r="G12" i="9"/>
  <c r="G14" i="9" s="1"/>
  <c r="F12" i="9"/>
  <c r="E12" i="9"/>
  <c r="D12" i="9"/>
  <c r="C12" i="9"/>
  <c r="B12" i="9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J75" i="8" s="1"/>
  <c r="G47" i="8"/>
  <c r="G75" i="8" s="1"/>
  <c r="J45" i="8"/>
  <c r="I45" i="8"/>
  <c r="G45" i="8"/>
  <c r="J44" i="8"/>
  <c r="I44" i="8"/>
  <c r="G44" i="8"/>
  <c r="J43" i="8"/>
  <c r="I43" i="8"/>
  <c r="G43" i="8"/>
  <c r="J42" i="8"/>
  <c r="I42" i="8"/>
  <c r="G42" i="8"/>
  <c r="J41" i="8"/>
  <c r="I41" i="8"/>
  <c r="G41" i="8"/>
  <c r="J34" i="8"/>
  <c r="J35" i="8" s="1"/>
  <c r="J37" i="8" s="1"/>
  <c r="I34" i="8"/>
  <c r="G34" i="8"/>
  <c r="J33" i="8"/>
  <c r="G33" i="8"/>
  <c r="G35" i="8" s="1"/>
  <c r="F33" i="8"/>
  <c r="J29" i="8"/>
  <c r="J30" i="8" s="1"/>
  <c r="G29" i="8"/>
  <c r="J28" i="8"/>
  <c r="I28" i="8"/>
  <c r="G28" i="8"/>
  <c r="J27" i="8"/>
  <c r="I27" i="8"/>
  <c r="G27" i="8"/>
  <c r="J26" i="8"/>
  <c r="I26" i="8"/>
  <c r="G26" i="8"/>
  <c r="J25" i="8"/>
  <c r="I25" i="8"/>
  <c r="G25" i="8"/>
  <c r="J24" i="8"/>
  <c r="I24" i="8"/>
  <c r="G24" i="8"/>
  <c r="J23" i="8"/>
  <c r="I23" i="8"/>
  <c r="G23" i="8"/>
  <c r="J22" i="8"/>
  <c r="C12" i="7" s="1"/>
  <c r="G22" i="8"/>
  <c r="J21" i="8"/>
  <c r="I21" i="8"/>
  <c r="G21" i="8"/>
  <c r="J20" i="8"/>
  <c r="I20" i="8"/>
  <c r="G20" i="8"/>
  <c r="J19" i="8"/>
  <c r="I19" i="8"/>
  <c r="G19" i="8"/>
  <c r="G16" i="8"/>
  <c r="I13" i="8"/>
  <c r="G13" i="8"/>
  <c r="G14" i="8" s="1"/>
  <c r="C33" i="7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7" i="6"/>
  <c r="H16" i="6"/>
  <c r="H15" i="6"/>
  <c r="H14" i="6"/>
  <c r="H13" i="6"/>
  <c r="H12" i="6"/>
  <c r="F12" i="6"/>
  <c r="H12" i="5"/>
  <c r="H14" i="5" s="1"/>
  <c r="D19" i="4" s="1"/>
  <c r="F12" i="5"/>
  <c r="F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46" i="8" l="1"/>
  <c r="J46" i="8"/>
  <c r="C16" i="7" s="1"/>
  <c r="C13" i="7"/>
  <c r="C14" i="7"/>
  <c r="H29" i="8"/>
  <c r="J38" i="8"/>
  <c r="C26" i="7" s="1"/>
  <c r="C25" i="7"/>
  <c r="H35" i="8"/>
  <c r="G37" i="8"/>
  <c r="C17" i="7"/>
  <c r="C18" i="7" s="1"/>
  <c r="G15" i="9"/>
  <c r="G38" i="8"/>
  <c r="G30" i="8"/>
  <c r="G76" i="8"/>
  <c r="H46" i="8" s="1"/>
  <c r="H33" i="8"/>
  <c r="D79" i="8"/>
  <c r="D78" i="8"/>
  <c r="D18" i="4"/>
  <c r="D17" i="4" s="1"/>
  <c r="D23" i="4" s="1"/>
  <c r="D24" i="4" s="1"/>
  <c r="J12" i="5"/>
  <c r="J14" i="5" s="1"/>
  <c r="H13" i="8"/>
  <c r="F16" i="8"/>
  <c r="I16" i="8" s="1"/>
  <c r="J16" i="8" s="1"/>
  <c r="C15" i="7" s="1"/>
  <c r="E13" i="8"/>
  <c r="J76" i="8" l="1"/>
  <c r="G77" i="8"/>
  <c r="G80" i="8"/>
  <c r="G81" i="8" s="1"/>
  <c r="G82" i="8" s="1"/>
  <c r="H75" i="8"/>
  <c r="H72" i="8"/>
  <c r="H69" i="8"/>
  <c r="H66" i="8"/>
  <c r="H63" i="8"/>
  <c r="H60" i="8"/>
  <c r="H57" i="8"/>
  <c r="H54" i="8"/>
  <c r="H51" i="8"/>
  <c r="H48" i="8"/>
  <c r="H43" i="8"/>
  <c r="H70" i="8"/>
  <c r="H64" i="8"/>
  <c r="H58" i="8"/>
  <c r="H52" i="8"/>
  <c r="H73" i="8"/>
  <c r="H76" i="8"/>
  <c r="H44" i="8"/>
  <c r="H41" i="8"/>
  <c r="H74" i="8"/>
  <c r="H71" i="8"/>
  <c r="H68" i="8"/>
  <c r="H65" i="8"/>
  <c r="H62" i="8"/>
  <c r="H59" i="8"/>
  <c r="H56" i="8"/>
  <c r="H53" i="8"/>
  <c r="H50" i="8"/>
  <c r="H47" i="8"/>
  <c r="H45" i="8"/>
  <c r="H42" i="8"/>
  <c r="H67" i="8"/>
  <c r="H61" i="8"/>
  <c r="H55" i="8"/>
  <c r="H49" i="8"/>
  <c r="H20" i="8"/>
  <c r="H26" i="8"/>
  <c r="H23" i="8"/>
  <c r="H21" i="8"/>
  <c r="H27" i="8"/>
  <c r="H24" i="8"/>
  <c r="H19" i="8"/>
  <c r="H28" i="8"/>
  <c r="H25" i="8"/>
  <c r="H37" i="8"/>
  <c r="H36" i="8"/>
  <c r="H34" i="8"/>
  <c r="H22" i="8"/>
  <c r="C23" i="7"/>
  <c r="E14" i="8"/>
  <c r="J13" i="8"/>
  <c r="J14" i="8" s="1"/>
  <c r="C21" i="7"/>
  <c r="J79" i="8"/>
  <c r="C11" i="7" l="1"/>
  <c r="J77" i="8"/>
  <c r="J78" i="8"/>
  <c r="J80" i="8" s="1"/>
  <c r="J81" i="8" s="1"/>
  <c r="J82" i="8" s="1"/>
  <c r="C22" i="7"/>
  <c r="C19" i="7" l="1"/>
  <c r="C20" i="7"/>
  <c r="C24" i="7" l="1"/>
  <c r="D17" i="7" s="1"/>
  <c r="C29" i="7"/>
  <c r="D11" i="7" l="1"/>
  <c r="D14" i="7"/>
  <c r="D16" i="7"/>
  <c r="D22" i="7"/>
  <c r="D18" i="7"/>
  <c r="D12" i="7"/>
  <c r="D13" i="7"/>
  <c r="D20" i="7"/>
  <c r="D24" i="7"/>
  <c r="D15" i="7"/>
  <c r="C27" i="7"/>
  <c r="C32" i="7" s="1"/>
  <c r="C34" i="7"/>
  <c r="C30" i="7"/>
  <c r="C35" i="7" l="1"/>
  <c r="C36" i="7" s="1"/>
  <c r="C37" i="7"/>
  <c r="C38" i="7" l="1"/>
  <c r="C39" i="7" l="1"/>
  <c r="C40" i="7" l="1"/>
  <c r="C41" i="7" s="1"/>
  <c r="E39" i="7"/>
  <c r="D11" i="10" l="1"/>
  <c r="E18" i="7"/>
  <c r="E16" i="7"/>
  <c r="E14" i="7"/>
  <c r="E12" i="7"/>
  <c r="E40" i="7"/>
  <c r="E31" i="7"/>
  <c r="E26" i="7"/>
  <c r="E25" i="7"/>
  <c r="E33" i="7"/>
  <c r="E17" i="7"/>
  <c r="E13" i="7"/>
  <c r="E15" i="7"/>
  <c r="E11" i="7"/>
  <c r="E22" i="7"/>
  <c r="E24" i="7"/>
  <c r="E20" i="7"/>
  <c r="E27" i="7"/>
  <c r="E29" i="7"/>
  <c r="E30" i="7"/>
  <c r="E32" i="7"/>
  <c r="E34" i="7"/>
  <c r="E36" i="7"/>
  <c r="E35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<sst xmlns="http://schemas.openxmlformats.org/spreadsheetml/2006/main" count="769" uniqueCount="468">
  <si>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</si>
  <si>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</si>
  <si>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</si>
  <si>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</si>
  <si>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</si>
  <si>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</si>
  <si>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</si>
  <si>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</si>
  <si>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</si>
  <si>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</si>
  <si>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</si>
  <si>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</si>
  <si>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</si>
  <si>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</si>
  <si>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</si>
  <si>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</si>
  <si>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</si>
  <si>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</si>
  <si>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</si>
  <si>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</si>
  <si>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</si>
  <si>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</si>
  <si>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</si>
  <si>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</si>
  <si>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</si>
  <si>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</si>
  <si>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</si>
  <si>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</si>
  <si>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</si>
  <si>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</si>
  <si>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</si>
  <si>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</si>
  <si>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</si>
  <si>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</si>
  <si>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</si>
  <si>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</si>
  <si>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</si>
  <si>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</si>
  <si>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</si>
  <si>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</si>
  <si>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</si>
  <si>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</si>
  <si>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</si>
  <si>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</si>
  <si>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</si>
  <si>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</si>
  <si>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</si>
  <si>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</si>
  <si>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откатные (раздвижные, автоматические, противопожарные) ворота ЗПС 220 кВ</t>
  </si>
  <si>
    <t>Сопоставимый уровень цен: - 3 кв. 2016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</si>
  <si>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</si>
  <si>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</si>
  <si>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</si>
  <si>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</si>
  <si>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220 кВ Порт</t>
  </si>
  <si>
    <t>Наименование субъекта Российской Федерации</t>
  </si>
  <si>
    <t>Краснодарский край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</si>
  <si>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</si>
  <si>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</si>
  <si>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</si>
  <si>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</si>
  <si>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Мотор-редуктор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</si>
  <si>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</si>
  <si>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</si>
  <si>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</si>
  <si>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</si>
  <si>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</si>
  <si>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</si>
  <si>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</si>
  <si>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</si>
  <si>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</si>
  <si>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</si>
  <si>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</si>
  <si>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</si>
  <si>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</si>
  <si>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</si>
  <si>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</si>
  <si>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</si>
  <si>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</si>
  <si>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</si>
  <si>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</si>
  <si>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</si>
  <si>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</si>
  <si>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</si>
  <si>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</si>
  <si>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</si>
  <si>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</si>
  <si>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</si>
  <si>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</si>
  <si>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</si>
  <si>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Откатные (раздвижные, автоматические, противопожарные) ворота ЗПС 220 кВ ЗПС 220 кВ</t>
  </si>
  <si>
    <t>Всего по объекту:</t>
  </si>
  <si>
    <t>Всего по объекту в сопоставимом уровне цен 3 кв. 2016 г.: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</si>
  <si>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</si>
  <si>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</si>
  <si>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</si>
  <si>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</si>
  <si>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</si>
  <si>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Постоянная часть ПС, откатные (раздвижные, автоматические, противопожарные) ворота ЗПС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</si>
  <si>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</si>
  <si>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</si>
  <si>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</si>
  <si>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</si>
  <si>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</si>
  <si>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</si>
  <si>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</si>
  <si>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</si>
  <si>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</si>
  <si>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</si>
  <si>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</si>
  <si>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</si>
  <si>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</si>
  <si>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чел.-ч</t>
  </si>
  <si>
    <t>1-4-2</t>
  </si>
  <si>
    <t>Затраты труда рабочих (средний разряд работы 4,2)</t>
  </si>
  <si>
    <t>1-4-1</t>
  </si>
  <si>
    <t>Затраты труда рабочих (средний разряд работы 4,1)</t>
  </si>
  <si>
    <t>1-4-0</t>
  </si>
  <si>
    <t>Затраты труда рабочих (средний разряд работы 4,0)</t>
  </si>
  <si>
    <t>Затраты труда машинистов</t>
  </si>
  <si>
    <t>Затраты труда машинистов(справочно)</t>
  </si>
  <si>
    <t>Машины и механизмы</t>
  </si>
  <si>
    <t>91.05.04-010</t>
  </si>
  <si>
    <t>Краны мостовые электрические, грузоподъемность 50 т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</si>
  <si>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</si>
  <si>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</si>
  <si>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</si>
  <si>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</si>
  <si>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</si>
  <si>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</si>
  <si>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</si>
  <si>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</si>
  <si>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</si>
  <si>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331-451</t>
  </si>
  <si>
    <t>Перфораторы: электрические</t>
  </si>
  <si>
    <t>91.01.05-106</t>
  </si>
  <si>
    <t>Экскаваторы одноковшовые дизельные на пневмоколесном ходу, емкость ковша 0,25 м3</t>
  </si>
  <si>
    <t>91.06.01-003</t>
  </si>
  <si>
    <t>Домкраты гидравлические, грузоподъемность 63-100 т</t>
  </si>
  <si>
    <t>91.07.04-001</t>
  </si>
  <si>
    <t>Вибраторы глубинные</t>
  </si>
  <si>
    <t>Прайс из СД ОП</t>
  </si>
  <si>
    <t>Мотор-редуктор МЦ2С-63-45-0,55-РG110ЦУЗ</t>
  </si>
  <si>
    <t>шт</t>
  </si>
  <si>
    <t>62.1.02.14-0069</t>
  </si>
  <si>
    <t>Ящик управления РУСМ 5410-2274 У2</t>
  </si>
  <si>
    <t>шт.</t>
  </si>
  <si>
    <t>Материалы</t>
  </si>
  <si>
    <t>07.2.07.12-0018</t>
  </si>
  <si>
    <t>Элементы конструктивные зданий и сооружений с преобладанием гнутых профилей, средняя масса сборочной единицы свыше 0,1 до 0,5 т</t>
  </si>
  <si>
    <t>т</t>
  </si>
  <si>
    <t>08.1.06.01-0002</t>
  </si>
  <si>
    <t>Ворота различных типов рамы, каркасы, панели с заполнением из тонколистовой стали без механизма открывания</t>
  </si>
  <si>
    <t>08.1.02.13-0005</t>
  </si>
  <si>
    <t>Рукава металлические из стальной оцинкованной ленты, негерметичные, простого профиля, РЗ-ЦХ, условный диаметр 15 мм</t>
  </si>
  <si>
    <t>м</t>
  </si>
  <si>
    <t>05.1.08.01-0088</t>
  </si>
  <si>
    <t>Блоки железобетонные фундаментные</t>
  </si>
  <si>
    <t>м3</t>
  </si>
  <si>
    <t>21.1.05.02-0001</t>
  </si>
  <si>
    <t>Кабель силовой повышенной гибкости с медными жилами КПГ 2х2,5-660</t>
  </si>
  <si>
    <t>1000 м</t>
  </si>
  <si>
    <t>18.5.08.09-0001</t>
  </si>
  <si>
    <t>Патрубки</t>
  </si>
  <si>
    <t>10 шт</t>
  </si>
  <si>
    <t>08.3.07.01-0076</t>
  </si>
  <si>
    <t>Прокат полосовой, горячекатаный, марка стали Ст3сп, ширина 50-200 мм, толщина 4-5 мм</t>
  </si>
  <si>
    <t>07.2.07.04-0007</t>
  </si>
  <si>
    <t>Конструкции стальные индивидуальные решетчатые сварные, масса до 0,1 т</t>
  </si>
  <si>
    <t>04.1.02.05-0023</t>
  </si>
  <si>
    <t>Смеси бетонные тяжелого бетона (БСТ), крупность заполнителя 10 мм, класс В7,5 (М100)</t>
  </si>
  <si>
    <t>21.2.03.05-0002</t>
  </si>
  <si>
    <t>Провод силовой установочный АПВ 2,5-450</t>
  </si>
  <si>
    <t>10.3.02.03-0002</t>
  </si>
  <si>
    <t>Припои оловянно-свинцовые бессурьмянистые в чушках, марка ПОС30</t>
  </si>
  <si>
    <t>21.2.03.05-0045</t>
  </si>
  <si>
    <t>Провод силовой установочный с медными жилами ПВ1 1,5-450</t>
  </si>
  <si>
    <t>01.7.15.04-0011</t>
  </si>
  <si>
    <t>Винты с полукруглой головкой, длина 50 мм</t>
  </si>
  <si>
    <t>20.1.02.23-0082</t>
  </si>
  <si>
    <t>Перемычки гибкие, тип ПГС-50</t>
  </si>
  <si>
    <t>11.1.03.05-0085</t>
  </si>
  <si>
    <t>Доска необрезная, хвойных пород, длина 4-6,5 м, все ширины, толщина 44 мм и более, сорт III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</si>
  <si>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</si>
  <si>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</si>
  <si>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</si>
  <si>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</si>
  <si>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</si>
  <si>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</si>
  <si>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01.7.11.07-0034</t>
  </si>
  <si>
    <t>Электроды сварочные Э42А, диаметр 4 мм</t>
  </si>
  <si>
    <t>25.1.01.04-0031</t>
  </si>
  <si>
    <t>Шпалы непропитанные для железных дорог, тип I</t>
  </si>
  <si>
    <t>20.2.09.05-0012</t>
  </si>
  <si>
    <t>Муфты соединительные</t>
  </si>
  <si>
    <t>01.7.15.14-0165</t>
  </si>
  <si>
    <t>Шурупы с полукруглой головкой 4х40 мм</t>
  </si>
  <si>
    <t>14.4.03.03-0002</t>
  </si>
  <si>
    <t>Лак битумный БТ-123</t>
  </si>
  <si>
    <t>01.7.06.07-0001</t>
  </si>
  <si>
    <t>Лента К226</t>
  </si>
  <si>
    <t>100 м</t>
  </si>
  <si>
    <t>20.2.02.01-0019</t>
  </si>
  <si>
    <t>Втулки изолирующие</t>
  </si>
  <si>
    <t>1000 шт</t>
  </si>
  <si>
    <t>01.7.11.07-0054</t>
  </si>
  <si>
    <t>Электроды сварочные Э42, диаметр 6 мм</t>
  </si>
  <si>
    <t>11.1.02.04-0031</t>
  </si>
  <si>
    <t>Лесоматериалы круглые, хвойных пород, для строительства, диаметр 14-24 см, длина 3-6,5 м</t>
  </si>
  <si>
    <t>06.1.01.05-0015</t>
  </si>
  <si>
    <t>Кирпич керамический лицевой, размер 250х120х65 мм, марка 100</t>
  </si>
  <si>
    <t>14.4.02.09-0001</t>
  </si>
  <si>
    <t>Краска</t>
  </si>
  <si>
    <t>01.7.15.07-0031</t>
  </si>
  <si>
    <t>Дюбели распорные с гайкой</t>
  </si>
  <si>
    <t>100 шт</t>
  </si>
  <si>
    <t>03.2.01.01-0003</t>
  </si>
  <si>
    <t>Портландцемент общестроительного назначения бездобавочный М500 Д0 (ЦЕМ I 42,5Н)</t>
  </si>
  <si>
    <t>01.7.15.10-0053</t>
  </si>
  <si>
    <t>Скобы металлические</t>
  </si>
  <si>
    <t>04.3.01.09-0011</t>
  </si>
  <si>
    <t>Раствор готовый кладочный, цементный, М25</t>
  </si>
  <si>
    <t>02.3.01.02-0016</t>
  </si>
  <si>
    <t>Песок природный для строительных: работ средний с крупностью зерен размером свыше 5 мм-до 5% по массе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</si>
  <si>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</si>
  <si>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</si>
  <si>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</si>
  <si>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</si>
  <si>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</si>
  <si>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</si>
  <si>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</si>
  <si>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</si>
  <si>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</si>
  <si>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</si>
  <si>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</si>
  <si>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</si>
  <si>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</si>
  <si>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</si>
  <si>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</si>
  <si>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</si>
  <si>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</si>
  <si>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</si>
  <si>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</si>
  <si>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</si>
  <si>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</si>
  <si>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</si>
  <si>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</si>
  <si>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</si>
  <si>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</si>
  <si>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</si>
  <si>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</si>
  <si>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</si>
  <si>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</si>
  <si>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</si>
  <si>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</si>
  <si>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</si>
  <si>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</si>
  <si>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</si>
  <si>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</si>
  <si>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</si>
  <si>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</si>
  <si>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</si>
  <si>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</si>
  <si>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</si>
  <si>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</si>
  <si>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</si>
  <si>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</si>
  <si>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</si>
  <si>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откатные (раздвижные, автоматические, противопожарные) ворота ЗПС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</si>
  <si>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</si>
  <si>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</si>
  <si>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</si>
  <si>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</si>
  <si>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</si>
  <si>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</si>
  <si>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</si>
  <si>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</si>
  <si>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</si>
  <si>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</si>
  <si>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</si>
  <si>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</si>
  <si>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</si>
  <si>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БЦ.92_4.11</t>
  </si>
  <si>
    <t>Мотор-редуктор для откатных ворот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</si>
  <si>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</si>
  <si>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</si>
  <si>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</si>
  <si>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</si>
  <si>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</si>
  <si>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</si>
  <si>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</si>
  <si>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</si>
  <si>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</si>
  <si>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</si>
  <si>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</si>
  <si>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</si>
  <si>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</si>
  <si>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</si>
  <si>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</si>
  <si>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</si>
  <si>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</si>
  <si>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</si>
  <si>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</si>
  <si>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</si>
  <si>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</si>
  <si>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</si>
  <si>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</si>
  <si>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</si>
  <si>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</si>
  <si>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</si>
  <si>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</si>
  <si>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З2-03</t>
  </si>
  <si>
    <t>УНЦ постоянной части ЗПС 220 кВ</t>
  </si>
  <si>
    <t>З2_ЗПС_ворота_220_кВ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</si>
  <si>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</si>
  <si>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</si>
  <si>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</si>
  <si>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</si>
  <si>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</si>
  <si>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</si>
  <si>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</si>
  <si>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</si>
  <si>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</si>
  <si>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</si>
  <si>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</si>
  <si>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</si>
  <si>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</si>
  <si>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</si>
  <si>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</si>
  <si>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</si>
  <si>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</si>
  <si>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</si>
  <si>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</si>
  <si>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</si>
  <si>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</si>
  <si>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</si>
  <si>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</si>
  <si>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</si>
  <si>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</si>
  <si>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</si>
  <si>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</si>
  <si>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</si>
  <si>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</si>
  <si>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</si>
  <si>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</si>
  <si>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</si>
  <si>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</si>
  <si>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</si>
  <si>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</si>
  <si>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</si>
  <si>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</si>
  <si>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</si>
  <si>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</si>
  <si>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</si>
  <si>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</si>
  <si>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</si>
  <si>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</si>
  <si>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</si>
  <si>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</si>
  <si>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</si>
  <si>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</si>
  <si>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</si>
  <si>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</si>
  <si>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</si>
  <si>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</si>
  <si>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</si>
  <si>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</si>
  <si>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</si>
  <si>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</si>
  <si>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</si>
  <si>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</si>
  <si>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</si>
  <si>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</si>
  <si>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</si>
  <si>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</si>
  <si>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</si>
  <si>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</si>
  <si>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</si>
  <si>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</si>
  <si>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</si>
  <si>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</si>
  <si>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</si>
  <si>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</si>
  <si>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</si>
  <si>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</si>
  <si>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</si>
  <si>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</si>
  <si>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</si>
  <si>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</si>
  <si>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</si>
  <si>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</si>
  <si>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</si>
  <si>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</si>
  <si>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</si>
  <si>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</si>
  <si>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</si>
  <si>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</si>
  <si>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</si>
  <si>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</si>
  <si>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</si>
  <si>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</si>
  <si>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</si>
  <si>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</si>
  <si>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</si>
  <si>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</si>
  <si>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</si>
  <si>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</si>
  <si>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</si>
  <si>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</si>
  <si>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</si>
  <si>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</si>
  <si>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</si>
  <si>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</si>
  <si>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</si>
  <si>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</si>
  <si>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</si>
  <si>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</si>
  <si>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</si>
  <si>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</si>
  <si>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</si>
  <si>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</si>
  <si>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</si>
  <si>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</si>
  <si>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</si>
  <si>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</si>
  <si>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</si>
  <si>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</si>
  <si>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</si>
  <si>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</si>
  <si>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</si>
  <si>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</si>
  <si>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</si>
  <si>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</si>
  <si>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</si>
  <si>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</si>
  <si>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</si>
  <si>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</si>
  <si>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</si>
  <si>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</si>
  <si>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</si>
  <si>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</si>
  <si>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</si>
  <si>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</si>
  <si>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</si>
  <si>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</si>
  <si>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</si>
  <si>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</si>
  <si>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</si>
  <si>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</si>
  <si>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</si>
  <si>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</si>
  <si>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</si>
  <si>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</si>
  <si>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</si>
  <si>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</si>
  <si>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</si>
  <si>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</si>
  <si>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</si>
  <si>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</si>
  <si>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</si>
  <si>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</si>
  <si>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</si>
  <si>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</si>
  <si>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</si>
  <si>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</si>
  <si>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</si>
  <si>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</si>
  <si>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А.Р. Маркова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</si>
</sst>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1" fillId="0" borderId="1" xfId="0" applyNumberFormat="1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top" wrapText="1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vertical="center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174625</xdr:colOff>
      <xdr:row>26</xdr:row>
      <xdr:rowOff>165099</xdr:rowOff>
    </xdr:from>
    <xdr:to>
      <xdr:col>2</xdr:col>
      <xdr:colOff>1119427</xdr:colOff>
      <xdr:row>29</xdr:row>
      <xdr:rowOff>124162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32611AE-70E5-4D58-A444-EB7031738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10737849"/>
          <a:ext cx="944802" cy="530563"/>
        </a:xfrm>
        <a:prstGeom prst="rect">
          <a:avLst/>
        </a:prstGeom>
      </xdr:spPr>
    </xdr:pic>
    <xdr:clientData/>
  </xdr:twoCellAnchor>
  <xdr:oneCellAnchor>
    <xdr:from>
      <xdr:col>2</xdr:col>
      <xdr:colOff>336550</xdr:colOff>
      <xdr:row>24</xdr:row>
      <xdr:rowOff>63500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B11566C4-86EC-40D4-8E13-CED39E448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0239375"/>
          <a:ext cx="704850" cy="4457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864054</xdr:colOff>
      <xdr:row>18</xdr:row>
      <xdr:rowOff>112485</xdr:rowOff>
    </xdr:from>
    <xdr:to>
      <xdr:col>2</xdr:col>
      <xdr:colOff>1808856</xdr:colOff>
      <xdr:row>21</xdr:row>
      <xdr:rowOff>65198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08E6BA8-4464-4FE1-AD81-F7A5641DD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768" y="4684485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1025979</xdr:colOff>
      <xdr:row>15</xdr:row>
      <xdr:rowOff>179161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7EE70000-E8C3-496F-956F-D4A3F4EC6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693" y="4179661"/>
          <a:ext cx="704850" cy="4457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68</xdr:row>
      <xdr:rowOff>157161</xdr:rowOff>
    </xdr:from>
    <xdr:to>
      <xdr:col>2</xdr:col>
      <xdr:colOff>1211502</xdr:colOff>
      <xdr:row>71</xdr:row>
      <xdr:rowOff>81299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735D2F-5908-42BF-927B-23287C05D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263" y="17111661"/>
          <a:ext cx="944802" cy="495638"/>
        </a:xfrm>
        <a:prstGeom prst="rect">
          <a:avLst/>
        </a:prstGeom>
      </xdr:spPr>
    </xdr:pic>
    <xdr:clientData/>
  </xdr:twoCellAnchor>
  <xdr:oneCellAnchor>
    <xdr:from>
      <xdr:col>2</xdr:col>
      <xdr:colOff>500062</xdr:colOff>
      <xdr:row>66</xdr:row>
      <xdr:rowOff>28575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D604D326-A111-472B-BE37-6F7EC593D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16602075"/>
          <a:ext cx="704850" cy="4457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57149</xdr:rowOff>
    </xdr:from>
    <xdr:to>
      <xdr:col>1</xdr:col>
      <xdr:colOff>1725852</xdr:colOff>
      <xdr:row>46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8220F4C-96B5-4515-8750-2F9E37F01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942975</xdr:colOff>
      <xdr:row>40</xdr:row>
      <xdr:rowOff>123825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DFCB0683-BD02-463B-BC29-54C260C9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04850" cy="4457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735106</xdr:colOff>
      <xdr:row>83</xdr:row>
      <xdr:rowOff>184336</xdr:rowOff>
    </xdr:from>
    <xdr:to>
      <xdr:col>2</xdr:col>
      <xdr:colOff>174958</xdr:colOff>
      <xdr:row>86</xdr:row>
      <xdr:rowOff>137050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A8B9B0-088C-412B-9ACC-08358FEC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06" y="23158636"/>
          <a:ext cx="963852" cy="524213"/>
        </a:xfrm>
        <a:prstGeom prst="rect">
          <a:avLst/>
        </a:prstGeom>
      </xdr:spPr>
    </xdr:pic>
    <xdr:clientData/>
  </xdr:twoCellAnchor>
  <xdr:oneCellAnchor>
    <xdr:from>
      <xdr:col>1</xdr:col>
      <xdr:colOff>897031</xdr:colOff>
      <xdr:row>81</xdr:row>
      <xdr:rowOff>327212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08135ACF-063E-4AA6-9994-7113A2ADB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031" y="22653812"/>
          <a:ext cx="704850" cy="44571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17</xdr:row>
      <xdr:rowOff>104774</xdr:rowOff>
    </xdr:from>
    <xdr:to>
      <xdr:col>2</xdr:col>
      <xdr:colOff>154227</xdr:colOff>
      <xdr:row>20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6751D5-29A8-439A-9FE6-2D907BC56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5529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542925</xdr:colOff>
      <xdr:row>14</xdr:row>
      <xdr:rowOff>228600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9F3B3F77-5216-4687-B74B-DAE2C65CC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4048125"/>
          <a:ext cx="704850" cy="4457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104774</xdr:rowOff>
    </xdr:from>
    <xdr:to>
      <xdr:col>1</xdr:col>
      <xdr:colOff>801927</xdr:colOff>
      <xdr:row>16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BF9D9F1-4A90-40B9-A9EB-86BA82B84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514724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10</xdr:row>
      <xdr:rowOff>504825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4EBA48F5-186B-44E8-AAAE-AA691B7A0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3009900"/>
          <a:ext cx="704850" cy="4457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12699</xdr:rowOff>
    </xdr:from>
    <xdr:to>
      <xdr:col>1</xdr:col>
      <xdr:colOff>1754427</xdr:colOff>
      <xdr:row>28</xdr:row>
      <xdr:rowOff>155912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F0AEABC-96BD-423B-9DB8-035AA7B8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971550</xdr:colOff>
      <xdr:row>23</xdr:row>
      <xdr:rowOff>79375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C0CBB645-D05B-4AB5-B6CE-097CB26D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04850" cy="44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5" t="s">
        <v>0</v>
      </c>
      <c r="B2" s="235"/>
      <c r="C2" s="235"/>
    </row>
    <row r="3" spans="1:3" x14ac:dyDescent="0.25">
      <c r="A3" s="1"/>
      <c r="B3" s="1"/>
      <c r="C3" s="1"/>
    </row>
    <row r="4" spans="1:3" x14ac:dyDescent="0.25">
      <c r="A4" s="236" t="s">
        <v>1</v>
      </c>
      <c r="B4" s="236"/>
      <c r="C4" s="23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8" t="s">
        <v>2</v>
      </c>
      <c r="B6" s="237" t="s">
        <v>3</v>
      </c>
      <c r="C6" s="237"/>
    </row>
    <row r="7" spans="1:3" x14ac:dyDescent="0.25">
      <c r="A7" s="109" t="s">
        <v>4</v>
      </c>
      <c r="B7" s="1"/>
      <c r="C7" s="1"/>
    </row>
    <row r="8" spans="1:3" x14ac:dyDescent="0.25">
      <c r="A8" s="109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0" t="s">
        <v>8</v>
      </c>
      <c r="B10" s="111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9" sqref="D19"/>
    </sheetView>
  </sheetViews>
  <sheetFormatPr defaultColWidth="8.85546875" defaultRowHeight="15" x14ac:dyDescent="0.25"/>
  <cols>
    <col min="1" max="1" width="14.42578125" style="210" customWidth="1"/>
    <col min="2" max="2" width="29.5703125" style="210" customWidth="1"/>
    <col min="3" max="3" width="39.140625" style="210" customWidth="1"/>
    <col min="4" max="4" width="48.140625" style="210" customWidth="1"/>
    <col min="5" max="5" width="8.85546875" style="210"/>
  </cols>
  <sheetData>
    <row r="1" spans="1:5" x14ac:dyDescent="0.25">
      <c r="B1" s="211"/>
      <c r="C1" s="211"/>
      <c r="D1" s="212" t="s">
        <v>306</v>
      </c>
    </row>
    <row r="2" spans="1:5" x14ac:dyDescent="0.25">
      <c r="A2" s="212"/>
      <c r="B2" s="212"/>
      <c r="C2" s="212"/>
      <c r="D2" s="212"/>
    </row>
    <row r="3" spans="1:5" ht="24.75" customHeight="1" x14ac:dyDescent="0.25">
      <c r="A3" s="235" t="s">
        <v>307</v>
      </c>
      <c r="B3" s="235"/>
      <c r="C3" s="235"/>
      <c r="D3" s="235"/>
    </row>
    <row r="4" spans="1:5" ht="24.75" customHeight="1" x14ac:dyDescent="0.25">
      <c r="A4" s="213"/>
      <c r="B4" s="213"/>
      <c r="C4" s="213"/>
      <c r="D4" s="213"/>
    </row>
    <row r="5" spans="1:5" ht="39" customHeight="1" x14ac:dyDescent="0.25">
      <c r="A5" s="238" t="s">
        <v>308</v>
      </c>
      <c r="B5" s="238"/>
      <c r="C5" s="238"/>
      <c r="D5" s="214" t="str">
        <f>'Прил.5 Расчет СМР и ОБ'!D6:J6</f>
        <v>Постоянная часть ПС, откатные (раздвижные, автоматические, противопожарные) ворота ЗПС 220 кВ</v>
      </c>
    </row>
    <row r="6" spans="1:5" ht="19.899999999999999" customHeight="1" x14ac:dyDescent="0.25">
      <c r="A6" s="238" t="s">
        <v>50</v>
      </c>
      <c r="B6" s="238"/>
      <c r="C6" s="238"/>
      <c r="D6" s="214"/>
    </row>
    <row r="7" spans="1:5" x14ac:dyDescent="0.25">
      <c r="A7" s="211"/>
      <c r="B7" s="211"/>
      <c r="C7" s="211"/>
      <c r="D7" s="211"/>
    </row>
    <row r="8" spans="1:5" ht="14.45" customHeight="1" x14ac:dyDescent="0.25">
      <c r="A8" s="249" t="s">
        <v>5</v>
      </c>
      <c r="B8" s="249" t="s">
        <v>6</v>
      </c>
      <c r="C8" s="249" t="s">
        <v>309</v>
      </c>
      <c r="D8" s="249" t="s">
        <v>310</v>
      </c>
    </row>
    <row r="9" spans="1:5" ht="15" customHeight="1" x14ac:dyDescent="0.25">
      <c r="A9" s="249"/>
      <c r="B9" s="249"/>
      <c r="C9" s="249"/>
      <c r="D9" s="249"/>
    </row>
    <row r="10" spans="1:5" x14ac:dyDescent="0.25">
      <c r="A10" s="215">
        <v>1</v>
      </c>
      <c r="B10" s="215">
        <v>2</v>
      </c>
      <c r="C10" s="215">
        <v>3</v>
      </c>
      <c r="D10" s="215">
        <v>4</v>
      </c>
    </row>
    <row r="11" spans="1:5" ht="41.45" customHeight="1" x14ac:dyDescent="0.25">
      <c r="A11" s="223" t="s">
        <v>311</v>
      </c>
      <c r="B11" s="224" t="s">
        <v>312</v>
      </c>
      <c r="C11" s="225" t="s">
        <v>313</v>
      </c>
      <c r="D11" s="216">
        <f>'Прил.4 РМ'!C41/1000</f>
        <v>291.10209000000003</v>
      </c>
      <c r="E11" s="217"/>
    </row>
    <row r="12" spans="1:5" x14ac:dyDescent="0.25">
      <c r="A12" s="218"/>
      <c r="B12" s="219"/>
      <c r="C12" s="218"/>
      <c r="D12" s="218"/>
    </row>
    <row r="13" spans="1:5" x14ac:dyDescent="0.25">
      <c r="A13" s="211" t="s">
        <v>314</v>
      </c>
      <c r="B13" s="220"/>
      <c r="C13" s="220"/>
      <c r="D13" s="218"/>
    </row>
    <row r="14" spans="1:5" x14ac:dyDescent="0.25">
      <c r="A14" s="221" t="s">
        <v>76</v>
      </c>
      <c r="B14" s="220"/>
      <c r="C14" s="220"/>
      <c r="D14" s="218"/>
    </row>
    <row r="15" spans="1:5" x14ac:dyDescent="0.25">
      <c r="A15" s="211"/>
      <c r="B15" s="220"/>
      <c r="C15" s="220"/>
      <c r="D15" s="218"/>
    </row>
    <row r="16" spans="1:5" x14ac:dyDescent="0.25">
      <c r="A16" s="211" t="s">
        <v>94</v>
      </c>
      <c r="B16" s="220"/>
      <c r="C16" s="220"/>
      <c r="D16" s="218"/>
    </row>
    <row r="17" spans="1:4" x14ac:dyDescent="0.25">
      <c r="A17" s="221" t="s">
        <v>78</v>
      </c>
      <c r="B17" s="220"/>
      <c r="C17" s="220"/>
      <c r="D17" s="21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D58" sqref="D57:D58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43" t="s">
        <v>315</v>
      </c>
      <c r="C4" s="243"/>
      <c r="D4" s="243"/>
    </row>
    <row r="5" spans="2:5" ht="18.75" customHeight="1" x14ac:dyDescent="0.25">
      <c r="B5" s="129"/>
    </row>
    <row r="6" spans="2:5" ht="15.75" customHeight="1" x14ac:dyDescent="0.25">
      <c r="B6" s="248" t="s">
        <v>316</v>
      </c>
      <c r="C6" s="248"/>
      <c r="D6" s="248"/>
    </row>
    <row r="7" spans="2:5" x14ac:dyDescent="0.25">
      <c r="B7" s="287"/>
      <c r="C7" s="287"/>
      <c r="D7" s="287"/>
      <c r="E7" s="287"/>
    </row>
    <row r="8" spans="2:5" x14ac:dyDescent="0.25">
      <c r="B8" s="144"/>
      <c r="C8" s="144"/>
      <c r="D8" s="144"/>
      <c r="E8" s="144"/>
    </row>
    <row r="9" spans="2:5" ht="47.25" customHeight="1" x14ac:dyDescent="0.25">
      <c r="B9" s="120" t="s">
        <v>317</v>
      </c>
      <c r="C9" s="120" t="s">
        <v>318</v>
      </c>
      <c r="D9" s="120" t="s">
        <v>319</v>
      </c>
    </row>
    <row r="10" spans="2:5" ht="15.75" customHeight="1" x14ac:dyDescent="0.25">
      <c r="B10" s="120">
        <v>1</v>
      </c>
      <c r="C10" s="120">
        <v>2</v>
      </c>
      <c r="D10" s="120">
        <v>3</v>
      </c>
    </row>
    <row r="11" spans="2:5" ht="45" customHeight="1" x14ac:dyDescent="0.25">
      <c r="B11" s="120" t="s">
        <v>320</v>
      </c>
      <c r="C11" s="120" t="s">
        <v>321</v>
      </c>
      <c r="D11" s="120">
        <v>44.29</v>
      </c>
    </row>
    <row r="12" spans="2:5" ht="29.25" customHeight="1" x14ac:dyDescent="0.25">
      <c r="B12" s="120" t="s">
        <v>322</v>
      </c>
      <c r="C12" s="120" t="s">
        <v>321</v>
      </c>
      <c r="D12" s="120">
        <v>13.47</v>
      </c>
    </row>
    <row r="13" spans="2:5" ht="29.25" customHeight="1" x14ac:dyDescent="0.25">
      <c r="B13" s="120" t="s">
        <v>323</v>
      </c>
      <c r="C13" s="120" t="s">
        <v>321</v>
      </c>
      <c r="D13" s="120">
        <v>8.0399999999999991</v>
      </c>
    </row>
    <row r="14" spans="2:5" ht="30.75" customHeight="1" x14ac:dyDescent="0.25">
      <c r="B14" s="120" t="s">
        <v>324</v>
      </c>
      <c r="C14" s="114" t="s">
        <v>325</v>
      </c>
      <c r="D14" s="120">
        <v>6.26</v>
      </c>
    </row>
    <row r="15" spans="2:5" ht="89.45" customHeight="1" x14ac:dyDescent="0.25">
      <c r="B15" s="120" t="s">
        <v>326</v>
      </c>
      <c r="C15" s="120" t="s">
        <v>327</v>
      </c>
      <c r="D15" s="131">
        <v>3.9E-2</v>
      </c>
    </row>
    <row r="16" spans="2:5" ht="78.75" customHeight="1" x14ac:dyDescent="0.25">
      <c r="B16" s="120" t="s">
        <v>328</v>
      </c>
      <c r="C16" s="120" t="s">
        <v>329</v>
      </c>
      <c r="D16" s="131">
        <v>2.1000000000000001E-2</v>
      </c>
    </row>
    <row r="17" spans="2:4" ht="31.7" customHeight="1" x14ac:dyDescent="0.25">
      <c r="B17" s="120" t="s">
        <v>330</v>
      </c>
      <c r="C17" s="120" t="s">
        <v>331</v>
      </c>
      <c r="D17" s="131">
        <v>2.1399999999999999E-2</v>
      </c>
    </row>
    <row r="18" spans="2:4" ht="31.7" customHeight="1" x14ac:dyDescent="0.25">
      <c r="B18" s="120" t="s">
        <v>256</v>
      </c>
      <c r="C18" s="120" t="s">
        <v>332</v>
      </c>
      <c r="D18" s="131">
        <v>2E-3</v>
      </c>
    </row>
    <row r="19" spans="2:4" ht="24" customHeight="1" x14ac:dyDescent="0.25">
      <c r="B19" s="120" t="s">
        <v>258</v>
      </c>
      <c r="C19" s="120" t="s">
        <v>333</v>
      </c>
      <c r="D19" s="131">
        <v>0.03</v>
      </c>
    </row>
    <row r="20" spans="2:4" ht="18.75" customHeight="1" x14ac:dyDescent="0.25">
      <c r="B20" s="130"/>
    </row>
    <row r="21" spans="2:4" ht="18.75" customHeight="1" x14ac:dyDescent="0.25">
      <c r="B21" s="130"/>
    </row>
    <row r="22" spans="2:4" ht="18.75" customHeight="1" x14ac:dyDescent="0.25">
      <c r="B22" s="130"/>
    </row>
    <row r="23" spans="2:4" ht="18.75" customHeight="1" x14ac:dyDescent="0.25">
      <c r="B23" s="130"/>
    </row>
    <row r="26" spans="2:4" x14ac:dyDescent="0.25">
      <c r="B26" s="4" t="s">
        <v>75</v>
      </c>
      <c r="C26" s="12"/>
    </row>
    <row r="27" spans="2:4" x14ac:dyDescent="0.25">
      <c r="B27" s="31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31" t="s">
        <v>78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48" t="s">
        <v>334</v>
      </c>
      <c r="B2" s="248"/>
      <c r="C2" s="248"/>
      <c r="D2" s="248"/>
      <c r="E2" s="248"/>
      <c r="F2" s="248"/>
    </row>
    <row r="4" spans="1:7" ht="18" customHeight="1" x14ac:dyDescent="0.25">
      <c r="A4" s="115" t="s">
        <v>335</v>
      </c>
      <c r="B4" s="116"/>
      <c r="C4" s="116"/>
      <c r="D4" s="116"/>
      <c r="E4" s="116"/>
      <c r="F4" s="116"/>
      <c r="G4" s="116"/>
    </row>
    <row r="5" spans="1:7" ht="15.75" customHeight="1" x14ac:dyDescent="0.25">
      <c r="A5" s="117" t="s">
        <v>13</v>
      </c>
      <c r="B5" s="117" t="s">
        <v>336</v>
      </c>
      <c r="C5" s="117" t="s">
        <v>337</v>
      </c>
      <c r="D5" s="117" t="s">
        <v>338</v>
      </c>
      <c r="E5" s="117" t="s">
        <v>339</v>
      </c>
      <c r="F5" s="117" t="s">
        <v>340</v>
      </c>
      <c r="G5" s="116"/>
    </row>
    <row r="6" spans="1:7" ht="15.75" customHeight="1" x14ac:dyDescent="0.25">
      <c r="A6" s="117">
        <v>1</v>
      </c>
      <c r="B6" s="117">
        <v>2</v>
      </c>
      <c r="C6" s="117">
        <v>3</v>
      </c>
      <c r="D6" s="117">
        <v>4</v>
      </c>
      <c r="E6" s="117">
        <v>5</v>
      </c>
      <c r="F6" s="117">
        <v>6</v>
      </c>
      <c r="G6" s="116"/>
    </row>
    <row r="7" spans="1:7" ht="110.25" customHeight="1" x14ac:dyDescent="0.25">
      <c r="A7" s="118" t="s">
        <v>341</v>
      </c>
      <c r="B7" s="119" t="s">
        <v>342</v>
      </c>
      <c r="C7" s="120" t="s">
        <v>343</v>
      </c>
      <c r="D7" s="120" t="s">
        <v>344</v>
      </c>
      <c r="E7" s="121">
        <v>47872.94</v>
      </c>
      <c r="F7" s="119" t="s">
        <v>345</v>
      </c>
      <c r="G7" s="116"/>
    </row>
    <row r="8" spans="1:7" ht="31.7" customHeight="1" x14ac:dyDescent="0.25">
      <c r="A8" s="118" t="s">
        <v>346</v>
      </c>
      <c r="B8" s="119" t="s">
        <v>347</v>
      </c>
      <c r="C8" s="120" t="s">
        <v>348</v>
      </c>
      <c r="D8" s="120" t="s">
        <v>349</v>
      </c>
      <c r="E8" s="121">
        <f>1973/12</f>
        <v>164.41666666667001</v>
      </c>
      <c r="F8" s="119" t="s">
        <v>350</v>
      </c>
      <c r="G8" s="122"/>
    </row>
    <row r="9" spans="1:7" ht="15.75" customHeight="1" x14ac:dyDescent="0.25">
      <c r="A9" s="118" t="s">
        <v>351</v>
      </c>
      <c r="B9" s="119" t="s">
        <v>352</v>
      </c>
      <c r="C9" s="120" t="s">
        <v>353</v>
      </c>
      <c r="D9" s="120" t="s">
        <v>344</v>
      </c>
      <c r="E9" s="121">
        <v>1</v>
      </c>
      <c r="F9" s="119"/>
      <c r="G9" s="122"/>
    </row>
    <row r="10" spans="1:7" ht="15.75" customHeight="1" x14ac:dyDescent="0.25">
      <c r="A10" s="118" t="s">
        <v>354</v>
      </c>
      <c r="B10" s="119" t="s">
        <v>355</v>
      </c>
      <c r="C10" s="120"/>
      <c r="D10" s="120"/>
      <c r="E10" s="123">
        <v>4</v>
      </c>
      <c r="F10" s="119" t="s">
        <v>356</v>
      </c>
      <c r="G10" s="122"/>
    </row>
    <row r="11" spans="1:7" ht="78.75" customHeight="1" x14ac:dyDescent="0.25">
      <c r="A11" s="118" t="s">
        <v>357</v>
      </c>
      <c r="B11" s="119" t="s">
        <v>358</v>
      </c>
      <c r="C11" s="120" t="s">
        <v>359</v>
      </c>
      <c r="D11" s="120" t="s">
        <v>344</v>
      </c>
      <c r="E11" s="165">
        <v>1.34</v>
      </c>
      <c r="F11" s="119" t="s">
        <v>360</v>
      </c>
      <c r="G11" s="116"/>
    </row>
    <row r="12" spans="1:7" ht="78.75" customHeight="1" x14ac:dyDescent="0.25">
      <c r="A12" s="118" t="s">
        <v>361</v>
      </c>
      <c r="B12" s="124" t="s">
        <v>362</v>
      </c>
      <c r="C12" s="120" t="s">
        <v>363</v>
      </c>
      <c r="D12" s="120" t="s">
        <v>344</v>
      </c>
      <c r="E12" s="125">
        <v>1.139</v>
      </c>
      <c r="F12" s="126" t="s">
        <v>364</v>
      </c>
      <c r="G12" s="122"/>
    </row>
    <row r="13" spans="1:7" ht="63" customHeight="1" x14ac:dyDescent="0.25">
      <c r="A13" s="118" t="s">
        <v>365</v>
      </c>
      <c r="B13" s="127" t="s">
        <v>366</v>
      </c>
      <c r="C13" s="120" t="s">
        <v>367</v>
      </c>
      <c r="D13" s="120" t="s">
        <v>368</v>
      </c>
      <c r="E13" s="128">
        <v>444.39870291576</v>
      </c>
      <c r="F13" s="119" t="s">
        <v>369</v>
      </c>
      <c r="G13" s="116"/>
    </row>
  </sheetData>
  <mergeCells count="1">
    <mergeCell ref="A2:F2"/>
  </mergeCells>
  <pageMargins left="0.7" right="0.7" top="0.75" bottom="0.75" header="0.3" footer="0.3"/>
  <pageSetup paperSize="9" scale="57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2" customFormat="1" ht="29.45" customHeight="1" x14ac:dyDescent="0.2">
      <c r="A1" s="288" t="s">
        <v>370</v>
      </c>
      <c r="B1" s="288"/>
      <c r="C1" s="288"/>
      <c r="D1" s="288"/>
      <c r="E1" s="288"/>
      <c r="F1" s="288"/>
      <c r="G1" s="288"/>
      <c r="H1" s="288"/>
      <c r="I1" s="288"/>
    </row>
    <row r="2" spans="1:13" s="32" customFormat="1" ht="13.7" customHeight="1" x14ac:dyDescent="0.2">
      <c r="A2" s="33"/>
      <c r="B2" s="33"/>
      <c r="C2" s="33"/>
      <c r="D2" s="33"/>
      <c r="E2" s="33"/>
      <c r="F2" s="33"/>
      <c r="G2" s="33"/>
      <c r="H2" s="33"/>
      <c r="I2" s="33"/>
    </row>
    <row r="3" spans="1:13" s="32" customFormat="1" ht="34.5" customHeight="1" x14ac:dyDescent="0.2">
      <c r="A3" s="238" t="e">
        <f>#REF!</f>
        <v>#REF!</v>
      </c>
      <c r="B3" s="238"/>
      <c r="C3" s="238"/>
      <c r="D3" s="238"/>
      <c r="E3" s="238"/>
      <c r="F3" s="238"/>
      <c r="G3" s="238"/>
      <c r="H3" s="238"/>
      <c r="I3" s="238"/>
    </row>
    <row r="4" spans="1:13" s="4" customFormat="1" ht="15.75" customHeight="1" x14ac:dyDescent="0.2">
      <c r="A4" s="289"/>
      <c r="B4" s="289"/>
      <c r="C4" s="289"/>
      <c r="D4" s="289"/>
      <c r="E4" s="289"/>
      <c r="F4" s="289"/>
      <c r="G4" s="289"/>
      <c r="H4" s="289"/>
      <c r="I4" s="289"/>
    </row>
    <row r="5" spans="1:13" s="34" customFormat="1" ht="36.75" customHeight="1" x14ac:dyDescent="0.35">
      <c r="A5" s="290" t="s">
        <v>13</v>
      </c>
      <c r="B5" s="290" t="s">
        <v>371</v>
      </c>
      <c r="C5" s="290" t="s">
        <v>372</v>
      </c>
      <c r="D5" s="290" t="s">
        <v>373</v>
      </c>
      <c r="E5" s="286" t="s">
        <v>374</v>
      </c>
      <c r="F5" s="286"/>
      <c r="G5" s="286"/>
      <c r="H5" s="286"/>
      <c r="I5" s="286"/>
    </row>
    <row r="6" spans="1:13" s="28" customFormat="1" ht="31.7" customHeight="1" x14ac:dyDescent="0.2">
      <c r="A6" s="290"/>
      <c r="B6" s="290"/>
      <c r="C6" s="290"/>
      <c r="D6" s="290"/>
      <c r="E6" s="35" t="s">
        <v>86</v>
      </c>
      <c r="F6" s="35" t="s">
        <v>87</v>
      </c>
      <c r="G6" s="35" t="s">
        <v>43</v>
      </c>
      <c r="H6" s="35" t="s">
        <v>375</v>
      </c>
      <c r="I6" s="35" t="s">
        <v>376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6">
        <v>1</v>
      </c>
      <c r="B8" s="37"/>
      <c r="C8" s="8" t="s">
        <v>246</v>
      </c>
      <c r="D8" s="38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9"/>
      <c r="L8" s="39"/>
      <c r="M8" s="39"/>
    </row>
    <row r="9" spans="1:13" s="28" customFormat="1" ht="38.25" customHeight="1" x14ac:dyDescent="0.2">
      <c r="A9" s="36">
        <v>2</v>
      </c>
      <c r="B9" s="8" t="s">
        <v>377</v>
      </c>
      <c r="C9" s="8" t="s">
        <v>378</v>
      </c>
      <c r="D9" s="113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6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6">
        <v>3</v>
      </c>
      <c r="B11" s="8" t="s">
        <v>379</v>
      </c>
      <c r="C11" s="8" t="s">
        <v>328</v>
      </c>
      <c r="D11" s="113">
        <v>2.1000000000000001E-2</v>
      </c>
      <c r="E11" s="30">
        <f>(E8+E9)*D11</f>
        <v>8.6950678710000007E-2</v>
      </c>
      <c r="F11" s="30"/>
      <c r="G11" s="30"/>
      <c r="H11" s="30" t="s">
        <v>380</v>
      </c>
      <c r="I11" s="30">
        <f>E11</f>
        <v>8.6950678710000007E-2</v>
      </c>
    </row>
    <row r="12" spans="1:13" s="28" customFormat="1" ht="45" customHeight="1" x14ac:dyDescent="0.2">
      <c r="A12" s="36">
        <v>4</v>
      </c>
      <c r="B12" s="8" t="s">
        <v>381</v>
      </c>
      <c r="C12" s="8" t="s">
        <v>382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40" t="s">
        <v>383</v>
      </c>
    </row>
    <row r="13" spans="1:13" s="28" customFormat="1" ht="13.15" customHeight="1" x14ac:dyDescent="0.2">
      <c r="A13" s="36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6">
        <v>5</v>
      </c>
      <c r="B14" s="8" t="s">
        <v>331</v>
      </c>
      <c r="C14" s="8" t="s">
        <v>384</v>
      </c>
      <c r="D14" s="11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1">
        <f>(I8+I9+I11+I12)/1000</f>
        <v>0.10750662387871</v>
      </c>
    </row>
    <row r="15" spans="1:13" s="28" customFormat="1" ht="13.15" customHeight="1" x14ac:dyDescent="0.2">
      <c r="A15" s="36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6">
        <v>6</v>
      </c>
      <c r="B16" s="8" t="s">
        <v>385</v>
      </c>
      <c r="C16" s="8" t="s">
        <v>386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40" t="s">
        <v>387</v>
      </c>
    </row>
    <row r="17" spans="1:10" s="28" customFormat="1" ht="81.75" customHeight="1" x14ac:dyDescent="0.2">
      <c r="A17" s="36">
        <v>7</v>
      </c>
      <c r="B17" s="8" t="s">
        <v>385</v>
      </c>
      <c r="C17" s="8" t="s">
        <v>388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40"/>
    </row>
    <row r="18" spans="1:10" s="28" customFormat="1" ht="13.15" customHeight="1" x14ac:dyDescent="0.2">
      <c r="A18" s="36"/>
      <c r="B18" s="8"/>
      <c r="C18" s="8"/>
      <c r="D18" s="16"/>
      <c r="E18" s="30"/>
      <c r="F18" s="30"/>
      <c r="G18" s="30"/>
      <c r="H18" s="30"/>
      <c r="I18" s="30"/>
    </row>
    <row r="19" spans="1:10" s="43" customFormat="1" ht="13.15" customHeight="1" x14ac:dyDescent="0.2">
      <c r="A19" s="36">
        <v>8</v>
      </c>
      <c r="B19" s="8"/>
      <c r="C19" s="8" t="s">
        <v>389</v>
      </c>
      <c r="D19" s="42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6">
        <v>9</v>
      </c>
      <c r="B20" s="8" t="s">
        <v>390</v>
      </c>
      <c r="C20" s="8" t="s">
        <v>258</v>
      </c>
      <c r="D20" s="44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2" customFormat="1" ht="13.15" customHeight="1" x14ac:dyDescent="0.2">
      <c r="A21" s="36">
        <v>10</v>
      </c>
      <c r="B21" s="8"/>
      <c r="C21" s="8" t="s">
        <v>391</v>
      </c>
      <c r="D21" s="45"/>
      <c r="E21" s="30"/>
      <c r="F21" s="30"/>
      <c r="G21" s="30"/>
      <c r="H21" s="30"/>
      <c r="I21" s="30">
        <f>I19+I20</f>
        <v>113.10148359861</v>
      </c>
    </row>
    <row r="22" spans="1:10" s="32" customFormat="1" ht="13.15" customHeight="1" x14ac:dyDescent="0.2">
      <c r="A22" s="46"/>
      <c r="B22" s="47"/>
      <c r="C22" s="47"/>
      <c r="D22" s="48"/>
      <c r="E22" s="49"/>
      <c r="F22" s="49"/>
      <c r="G22" s="49"/>
      <c r="H22" s="49"/>
      <c r="I22" s="49"/>
    </row>
    <row r="23" spans="1:10" x14ac:dyDescent="0.25">
      <c r="A23" s="4" t="s">
        <v>392</v>
      </c>
      <c r="B23" s="50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393</v>
      </c>
      <c r="B24" s="50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50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394</v>
      </c>
      <c r="B26" s="50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395</v>
      </c>
      <c r="B27" s="50"/>
      <c r="C27" s="4"/>
      <c r="D27" s="28"/>
      <c r="E27" s="28"/>
      <c r="F27" s="28"/>
      <c r="G27" s="28"/>
      <c r="H27" s="28"/>
      <c r="I27" s="28"/>
    </row>
    <row r="28" spans="1:10" x14ac:dyDescent="0.25">
      <c r="B28" s="51"/>
    </row>
    <row r="29" spans="1:10" x14ac:dyDescent="0.25">
      <c r="B29" s="51"/>
    </row>
    <row r="30" spans="1:10" x14ac:dyDescent="0.25">
      <c r="B30" s="51"/>
    </row>
    <row r="31" spans="1:10" x14ac:dyDescent="0.25">
      <c r="B31" s="51"/>
    </row>
    <row r="32" spans="1:10" x14ac:dyDescent="0.25">
      <c r="B32" s="51"/>
    </row>
    <row r="33" spans="2:2" x14ac:dyDescent="0.25">
      <c r="B33" s="51"/>
    </row>
    <row r="34" spans="2:2" x14ac:dyDescent="0.25">
      <c r="B34" s="51"/>
    </row>
    <row r="35" spans="2:2" x14ac:dyDescent="0.25">
      <c r="B35" s="51"/>
    </row>
    <row r="36" spans="2:2" x14ac:dyDescent="0.25">
      <c r="B36" s="51"/>
    </row>
    <row r="37" spans="2:2" x14ac:dyDescent="0.25">
      <c r="B37" s="51"/>
    </row>
    <row r="38" spans="2:2" x14ac:dyDescent="0.25">
      <c r="B38" s="51"/>
    </row>
    <row r="39" spans="2:2" x14ac:dyDescent="0.25">
      <c r="B39" s="51"/>
    </row>
    <row r="40" spans="2:2" x14ac:dyDescent="0.25">
      <c r="B40" s="51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2" t="s">
        <v>396</v>
      </c>
      <c r="O2" s="292"/>
    </row>
    <row r="3" spans="1:16" x14ac:dyDescent="0.25">
      <c r="A3" s="293" t="s">
        <v>397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</row>
    <row r="5" spans="1:16" ht="37.5" customHeight="1" x14ac:dyDescent="0.25">
      <c r="A5" s="294" t="s">
        <v>398</v>
      </c>
      <c r="B5" s="297" t="s">
        <v>399</v>
      </c>
      <c r="C5" s="300" t="s">
        <v>400</v>
      </c>
      <c r="D5" s="303" t="s">
        <v>401</v>
      </c>
      <c r="E5" s="304"/>
      <c r="F5" s="304"/>
      <c r="G5" s="304"/>
      <c r="H5" s="304"/>
      <c r="I5" s="303" t="s">
        <v>402</v>
      </c>
      <c r="J5" s="304"/>
      <c r="K5" s="304"/>
      <c r="L5" s="304"/>
      <c r="M5" s="304"/>
      <c r="N5" s="304"/>
      <c r="O5" s="52" t="s">
        <v>403</v>
      </c>
    </row>
    <row r="6" spans="1:16" s="55" customFormat="1" ht="150" customHeight="1" x14ac:dyDescent="0.25">
      <c r="A6" s="295"/>
      <c r="B6" s="298"/>
      <c r="C6" s="301"/>
      <c r="D6" s="300" t="s">
        <v>404</v>
      </c>
      <c r="E6" s="305" t="s">
        <v>405</v>
      </c>
      <c r="F6" s="306"/>
      <c r="G6" s="307"/>
      <c r="H6" s="53" t="s">
        <v>406</v>
      </c>
      <c r="I6" s="308" t="s">
        <v>407</v>
      </c>
      <c r="J6" s="308" t="s">
        <v>404</v>
      </c>
      <c r="K6" s="309" t="s">
        <v>405</v>
      </c>
      <c r="L6" s="309"/>
      <c r="M6" s="309"/>
      <c r="N6" s="53" t="s">
        <v>406</v>
      </c>
      <c r="O6" s="54" t="s">
        <v>408</v>
      </c>
    </row>
    <row r="7" spans="1:16" s="55" customFormat="1" ht="30.75" customHeight="1" x14ac:dyDescent="0.25">
      <c r="A7" s="296"/>
      <c r="B7" s="299"/>
      <c r="C7" s="302"/>
      <c r="D7" s="302"/>
      <c r="E7" s="52" t="s">
        <v>86</v>
      </c>
      <c r="F7" s="52" t="s">
        <v>87</v>
      </c>
      <c r="G7" s="52" t="s">
        <v>43</v>
      </c>
      <c r="H7" s="56" t="s">
        <v>409</v>
      </c>
      <c r="I7" s="308"/>
      <c r="J7" s="308"/>
      <c r="K7" s="52" t="s">
        <v>86</v>
      </c>
      <c r="L7" s="52" t="s">
        <v>87</v>
      </c>
      <c r="M7" s="52" t="s">
        <v>43</v>
      </c>
      <c r="N7" s="56" t="s">
        <v>409</v>
      </c>
      <c r="O7" s="52" t="s">
        <v>410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294" t="s">
        <v>411</v>
      </c>
      <c r="C9" s="58" t="s">
        <v>412</v>
      </c>
      <c r="D9" s="59">
        <f t="shared" ref="D9:D15" si="0">SUM(E9:G9)</f>
        <v>583.41863000000001</v>
      </c>
      <c r="E9" s="59">
        <f>340656.93/1000</f>
        <v>340.65692999999999</v>
      </c>
      <c r="F9" s="59">
        <f>242761.7/1000</f>
        <v>242.76169999999999</v>
      </c>
      <c r="G9" s="59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59">
        <f>E9*H22</f>
        <v>2074.6007036999999</v>
      </c>
      <c r="L9" s="59">
        <f>F9*H22</f>
        <v>1478.4187529999999</v>
      </c>
      <c r="M9" s="59">
        <f>G9*H24</f>
        <v>0</v>
      </c>
      <c r="N9" s="59">
        <f>H9*H25</f>
        <v>6.48990504</v>
      </c>
      <c r="O9" s="60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296"/>
      <c r="C10" s="61" t="s">
        <v>413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59">
        <f>E10*I22</f>
        <v>2773.7080000000001</v>
      </c>
      <c r="L10" s="59">
        <f>F10*I22</f>
        <v>11578.20552</v>
      </c>
      <c r="M10" s="59">
        <f>G10*I24</f>
        <v>0</v>
      </c>
      <c r="N10" s="59">
        <f>H10*I25</f>
        <v>14.1877</v>
      </c>
      <c r="O10" s="60">
        <f t="shared" si="2"/>
        <v>1.2253798721652001E-3</v>
      </c>
      <c r="P10" s="62"/>
    </row>
    <row r="11" spans="1:16" s="55" customFormat="1" ht="24.6" customHeight="1" x14ac:dyDescent="0.25">
      <c r="A11" s="57">
        <v>3</v>
      </c>
      <c r="B11" s="294" t="s">
        <v>414</v>
      </c>
      <c r="C11" s="61" t="s">
        <v>415</v>
      </c>
      <c r="D11" s="59">
        <f t="shared" si="0"/>
        <v>22378.080000000002</v>
      </c>
      <c r="E11" s="59">
        <v>15858.44</v>
      </c>
      <c r="F11" s="59">
        <v>6519.64</v>
      </c>
      <c r="G11" s="59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0">
        <f t="shared" si="2"/>
        <v>4.1066716562919003E-3</v>
      </c>
    </row>
    <row r="12" spans="1:16" s="55" customFormat="1" ht="31.9" customHeight="1" x14ac:dyDescent="0.25">
      <c r="A12" s="56">
        <v>4</v>
      </c>
      <c r="B12" s="296"/>
      <c r="C12" s="61" t="s">
        <v>416</v>
      </c>
      <c r="D12" s="59">
        <f t="shared" si="0"/>
        <v>93405.18</v>
      </c>
      <c r="E12" s="59">
        <v>53163.12</v>
      </c>
      <c r="F12" s="59">
        <v>40153.81</v>
      </c>
      <c r="G12" s="59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0">
        <f t="shared" si="2"/>
        <v>2.3140164284093001E-3</v>
      </c>
    </row>
    <row r="13" spans="1:16" s="55" customFormat="1" ht="60" customHeight="1" x14ac:dyDescent="0.25">
      <c r="A13" s="57">
        <v>5</v>
      </c>
      <c r="B13" s="294" t="s">
        <v>417</v>
      </c>
      <c r="C13" s="58" t="s">
        <v>418</v>
      </c>
      <c r="D13" s="59">
        <f t="shared" si="0"/>
        <v>52119.83</v>
      </c>
      <c r="E13" s="59">
        <v>15198.48</v>
      </c>
      <c r="F13" s="59">
        <v>31977.3</v>
      </c>
      <c r="G13" s="59">
        <v>4944.05</v>
      </c>
      <c r="H13" s="59">
        <v>16.13</v>
      </c>
      <c r="I13" s="59">
        <v>2024759.04</v>
      </c>
      <c r="J13" s="59">
        <f t="shared" si="1"/>
        <v>267889.86339999997</v>
      </c>
      <c r="K13" s="59">
        <f>E13*L22</f>
        <v>79488.050399999993</v>
      </c>
      <c r="L13" s="59">
        <f>F13*L22</f>
        <v>167241.27900000001</v>
      </c>
      <c r="M13" s="59">
        <f>G13*L24</f>
        <v>21160.534</v>
      </c>
      <c r="N13" s="59">
        <f>H13*L25</f>
        <v>231.46549999999999</v>
      </c>
      <c r="O13" s="60">
        <f t="shared" si="2"/>
        <v>1.2285736337367E-3</v>
      </c>
    </row>
    <row r="14" spans="1:16" s="55" customFormat="1" ht="39.6" customHeight="1" x14ac:dyDescent="0.25">
      <c r="A14" s="56">
        <v>6</v>
      </c>
      <c r="B14" s="296"/>
      <c r="C14" s="61" t="s">
        <v>419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59">
        <f>E14*M22</f>
        <v>257334.6721</v>
      </c>
      <c r="L14" s="59">
        <f>F14*M22</f>
        <v>230898.09</v>
      </c>
      <c r="M14" s="59">
        <f>G14*M24</f>
        <v>23240.095499999999</v>
      </c>
      <c r="N14" s="59">
        <f>H14*M25</f>
        <v>1423.7859000000001</v>
      </c>
      <c r="O14" s="60">
        <f t="shared" si="2"/>
        <v>5.6024083795152002E-3</v>
      </c>
    </row>
    <row r="15" spans="1:16" s="55" customFormat="1" ht="46.15" customHeight="1" x14ac:dyDescent="0.25">
      <c r="A15" s="57">
        <v>7</v>
      </c>
      <c r="B15" s="63" t="s">
        <v>420</v>
      </c>
      <c r="C15" s="61" t="s">
        <v>421</v>
      </c>
      <c r="D15" s="59">
        <f t="shared" si="0"/>
        <v>981651.63</v>
      </c>
      <c r="E15" s="59">
        <v>448398.51</v>
      </c>
      <c r="F15" s="59">
        <v>486091.33</v>
      </c>
      <c r="G15" s="59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0">
        <f t="shared" si="2"/>
        <v>3.5280316227560002E-4</v>
      </c>
    </row>
    <row r="16" spans="1:16" s="55" customFormat="1" ht="24" customHeight="1" x14ac:dyDescent="0.25">
      <c r="A16" s="64"/>
      <c r="B16" s="64"/>
      <c r="C16" s="65" t="s">
        <v>422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>
        <f>(O9+O10+O11+O12+O13+O14+O15)/7</f>
        <v>2.7456591672216E-3</v>
      </c>
    </row>
    <row r="17" spans="1:15" s="55" customFormat="1" ht="18.75" customHeight="1" x14ac:dyDescent="0.25">
      <c r="A17" s="68"/>
      <c r="B17" s="68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  <row r="18" spans="1:15" ht="21.2" customHeight="1" x14ac:dyDescent="0.25">
      <c r="C18" s="72" t="s">
        <v>423</v>
      </c>
    </row>
    <row r="19" spans="1:15" ht="30.75" customHeight="1" x14ac:dyDescent="0.25">
      <c r="L19" s="73"/>
    </row>
    <row r="20" spans="1:15" ht="15" customHeight="1" outlineLevel="1" x14ac:dyDescent="0.25">
      <c r="G20" s="291" t="s">
        <v>424</v>
      </c>
      <c r="H20" s="291"/>
      <c r="I20" s="291"/>
      <c r="J20" s="291"/>
      <c r="K20" s="291"/>
      <c r="L20" s="291"/>
      <c r="M20" s="291"/>
      <c r="N20" s="291"/>
    </row>
    <row r="21" spans="1:15" ht="15.75" customHeight="1" outlineLevel="1" x14ac:dyDescent="0.25">
      <c r="G21" s="74"/>
      <c r="H21" s="74" t="s">
        <v>425</v>
      </c>
      <c r="I21" s="74" t="s">
        <v>426</v>
      </c>
      <c r="J21" s="74" t="s">
        <v>427</v>
      </c>
      <c r="K21" s="75" t="s">
        <v>428</v>
      </c>
      <c r="L21" s="74" t="s">
        <v>429</v>
      </c>
      <c r="M21" s="74" t="s">
        <v>430</v>
      </c>
      <c r="N21" s="74" t="s">
        <v>431</v>
      </c>
      <c r="O21" s="68"/>
    </row>
    <row r="22" spans="1:15" ht="15.75" customHeight="1" outlineLevel="1" x14ac:dyDescent="0.25">
      <c r="G22" s="311" t="s">
        <v>432</v>
      </c>
      <c r="H22" s="310">
        <v>6.09</v>
      </c>
      <c r="I22" s="312">
        <v>6.44</v>
      </c>
      <c r="J22" s="310">
        <v>5.77</v>
      </c>
      <c r="K22" s="312">
        <v>5.77</v>
      </c>
      <c r="L22" s="310">
        <v>5.23</v>
      </c>
      <c r="M22" s="310">
        <v>5.77</v>
      </c>
      <c r="N22" s="76">
        <v>6.29</v>
      </c>
      <c r="O22" t="s">
        <v>433</v>
      </c>
    </row>
    <row r="23" spans="1:15" ht="15.75" customHeight="1" outlineLevel="1" x14ac:dyDescent="0.25">
      <c r="G23" s="311"/>
      <c r="H23" s="310"/>
      <c r="I23" s="312"/>
      <c r="J23" s="310"/>
      <c r="K23" s="312"/>
      <c r="L23" s="310"/>
      <c r="M23" s="310"/>
      <c r="N23" s="76">
        <v>6.56</v>
      </c>
      <c r="O23" t="s">
        <v>434</v>
      </c>
    </row>
    <row r="24" spans="1:15" ht="15.75" customHeight="1" outlineLevel="1" x14ac:dyDescent="0.25">
      <c r="G24" s="77" t="s">
        <v>435</v>
      </c>
      <c r="H24" s="76">
        <v>4.46</v>
      </c>
      <c r="I24" s="75">
        <v>4.28</v>
      </c>
      <c r="J24" s="76">
        <v>4.6500000000000004</v>
      </c>
      <c r="K24" s="75">
        <v>4.6100000000000003</v>
      </c>
      <c r="L24" s="76">
        <v>4.28</v>
      </c>
      <c r="M24" s="76">
        <v>4.6500000000000004</v>
      </c>
      <c r="N24" s="76">
        <v>4.28</v>
      </c>
      <c r="O24" s="68"/>
    </row>
    <row r="25" spans="1:15" ht="15.75" customHeight="1" outlineLevel="1" x14ac:dyDescent="0.25">
      <c r="G25" s="77" t="s">
        <v>409</v>
      </c>
      <c r="H25" s="76">
        <v>11.37</v>
      </c>
      <c r="I25" s="76">
        <v>8.42</v>
      </c>
      <c r="J25" s="76">
        <v>15.91</v>
      </c>
      <c r="K25" s="75">
        <v>15.91</v>
      </c>
      <c r="L25" s="76">
        <v>14.35</v>
      </c>
      <c r="M25" s="76">
        <v>15.91</v>
      </c>
      <c r="N25" s="76">
        <v>8.2899999999999991</v>
      </c>
      <c r="O25" s="68"/>
    </row>
    <row r="26" spans="1:15" ht="31.7" customHeight="1" outlineLevel="1" x14ac:dyDescent="0.25">
      <c r="G26" s="77" t="s">
        <v>436</v>
      </c>
      <c r="H26" s="76">
        <v>3.83</v>
      </c>
      <c r="I26" s="75">
        <v>3.95</v>
      </c>
      <c r="J26" s="76">
        <v>4.1500000000000004</v>
      </c>
      <c r="K26" s="75">
        <v>3.83</v>
      </c>
      <c r="L26" s="75">
        <v>3.95</v>
      </c>
      <c r="M26" s="76">
        <v>4.09</v>
      </c>
      <c r="N26" s="76">
        <v>3.95</v>
      </c>
      <c r="O26" s="68"/>
    </row>
    <row r="27" spans="1:15" ht="31.7" customHeight="1" outlineLevel="1" x14ac:dyDescent="0.25">
      <c r="G27" s="77" t="s">
        <v>437</v>
      </c>
      <c r="H27" s="76">
        <v>3.91</v>
      </c>
      <c r="I27" s="75">
        <v>3.99</v>
      </c>
      <c r="J27" s="76">
        <v>4.2300000000000004</v>
      </c>
      <c r="K27" s="75">
        <v>3.91</v>
      </c>
      <c r="L27" s="75">
        <v>3.99</v>
      </c>
      <c r="M27" s="76">
        <v>4.17</v>
      </c>
      <c r="N27" s="76">
        <v>3.99</v>
      </c>
      <c r="O27" s="68"/>
    </row>
    <row r="28" spans="1:15" ht="15.75" customHeight="1" outlineLevel="1" x14ac:dyDescent="0.25">
      <c r="G28" s="77" t="s">
        <v>375</v>
      </c>
      <c r="H28" s="76">
        <v>8.7899999999999991</v>
      </c>
      <c r="I28" s="76">
        <v>8.7899999999999991</v>
      </c>
      <c r="J28" s="76">
        <v>9.19</v>
      </c>
      <c r="K28" s="75">
        <v>9.1</v>
      </c>
      <c r="L28" s="76">
        <v>8.42</v>
      </c>
      <c r="M28" s="76">
        <v>9.19</v>
      </c>
      <c r="N28" s="76">
        <v>8.42</v>
      </c>
      <c r="O28" s="68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8" customWidth="1"/>
  </cols>
  <sheetData>
    <row r="2" spans="1:18" ht="18.75" customHeight="1" x14ac:dyDescent="0.25">
      <c r="A2" s="328" t="s">
        <v>438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</row>
    <row r="4" spans="1:18" ht="36.75" customHeight="1" x14ac:dyDescent="0.25">
      <c r="A4" s="294" t="s">
        <v>398</v>
      </c>
      <c r="B4" s="297" t="s">
        <v>399</v>
      </c>
      <c r="C4" s="300" t="s">
        <v>439</v>
      </c>
      <c r="D4" s="300" t="s">
        <v>440</v>
      </c>
      <c r="E4" s="303" t="s">
        <v>441</v>
      </c>
      <c r="F4" s="304"/>
      <c r="G4" s="304"/>
      <c r="H4" s="304"/>
      <c r="I4" s="304"/>
      <c r="J4" s="304"/>
      <c r="K4" s="304"/>
      <c r="L4" s="304"/>
      <c r="M4" s="304"/>
      <c r="N4" s="329" t="s">
        <v>442</v>
      </c>
      <c r="O4" s="330"/>
      <c r="P4" s="330"/>
      <c r="Q4" s="330"/>
      <c r="R4" s="331"/>
    </row>
    <row r="5" spans="1:18" ht="60" customHeight="1" x14ac:dyDescent="0.25">
      <c r="A5" s="295"/>
      <c r="B5" s="298"/>
      <c r="C5" s="301"/>
      <c r="D5" s="301"/>
      <c r="E5" s="308" t="s">
        <v>443</v>
      </c>
      <c r="F5" s="308" t="s">
        <v>444</v>
      </c>
      <c r="G5" s="305" t="s">
        <v>405</v>
      </c>
      <c r="H5" s="306"/>
      <c r="I5" s="306"/>
      <c r="J5" s="307"/>
      <c r="K5" s="308" t="s">
        <v>445</v>
      </c>
      <c r="L5" s="308"/>
      <c r="M5" s="308"/>
      <c r="N5" s="79" t="s">
        <v>446</v>
      </c>
      <c r="O5" s="79" t="s">
        <v>447</v>
      </c>
      <c r="P5" s="79" t="s">
        <v>448</v>
      </c>
      <c r="Q5" s="80" t="s">
        <v>449</v>
      </c>
      <c r="R5" s="79" t="s">
        <v>450</v>
      </c>
    </row>
    <row r="6" spans="1:18" ht="49.7" customHeight="1" x14ac:dyDescent="0.25">
      <c r="A6" s="296"/>
      <c r="B6" s="299"/>
      <c r="C6" s="302"/>
      <c r="D6" s="302"/>
      <c r="E6" s="308"/>
      <c r="F6" s="308"/>
      <c r="G6" s="52" t="s">
        <v>86</v>
      </c>
      <c r="H6" s="52" t="s">
        <v>87</v>
      </c>
      <c r="I6" s="52" t="s">
        <v>43</v>
      </c>
      <c r="J6" s="52" t="s">
        <v>375</v>
      </c>
      <c r="K6" s="52" t="s">
        <v>446</v>
      </c>
      <c r="L6" s="52" t="s">
        <v>447</v>
      </c>
      <c r="M6" s="52" t="s">
        <v>448</v>
      </c>
      <c r="N6" s="52" t="s">
        <v>451</v>
      </c>
      <c r="O6" s="52" t="s">
        <v>452</v>
      </c>
      <c r="P6" s="52" t="s">
        <v>453</v>
      </c>
      <c r="Q6" s="53" t="s">
        <v>454</v>
      </c>
      <c r="R6" s="52" t="s">
        <v>455</v>
      </c>
    </row>
    <row r="7" spans="1:18" ht="16.5" customHeight="1" x14ac:dyDescent="0.25">
      <c r="A7" s="57"/>
      <c r="B7" s="81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53"/>
      <c r="R7" s="56"/>
    </row>
    <row r="8" spans="1:18" x14ac:dyDescent="0.25">
      <c r="A8" s="57">
        <v>1</v>
      </c>
      <c r="B8" s="57"/>
      <c r="C8" s="57">
        <v>2</v>
      </c>
      <c r="D8" s="57">
        <v>3</v>
      </c>
      <c r="E8" s="57">
        <v>4</v>
      </c>
      <c r="F8" s="57">
        <v>5</v>
      </c>
      <c r="G8" s="57">
        <v>6</v>
      </c>
      <c r="H8" s="57">
        <v>7</v>
      </c>
      <c r="I8" s="57">
        <v>8</v>
      </c>
      <c r="J8" s="57">
        <v>9</v>
      </c>
      <c r="K8" s="57">
        <v>10</v>
      </c>
      <c r="L8" s="57">
        <v>11</v>
      </c>
      <c r="M8" s="57">
        <v>12</v>
      </c>
      <c r="N8" s="57">
        <v>13</v>
      </c>
      <c r="O8" s="57">
        <v>14</v>
      </c>
      <c r="P8" s="57">
        <v>15</v>
      </c>
      <c r="Q8" s="57">
        <v>16</v>
      </c>
      <c r="R8" s="57">
        <v>17</v>
      </c>
    </row>
    <row r="9" spans="1:18" ht="102.6" customHeight="1" x14ac:dyDescent="0.25">
      <c r="A9" s="294">
        <v>1</v>
      </c>
      <c r="B9" s="294" t="s">
        <v>456</v>
      </c>
      <c r="C9" s="321" t="s">
        <v>412</v>
      </c>
      <c r="D9" s="58" t="s">
        <v>457</v>
      </c>
      <c r="E9" s="59">
        <v>11656.266250000001</v>
      </c>
      <c r="F9" s="59">
        <f t="shared" ref="F9:F14" si="0">G9+H9+I9</f>
        <v>9442.6878704999999</v>
      </c>
      <c r="G9" s="59">
        <f>G10*E28</f>
        <v>2331.6699567000001</v>
      </c>
      <c r="H9" s="59">
        <f>H10*E28</f>
        <v>1695.3600216</v>
      </c>
      <c r="I9" s="59">
        <f>I10*E30</f>
        <v>5415.6578921999999</v>
      </c>
      <c r="J9" s="59"/>
      <c r="K9" s="59">
        <f>K10*1.19*E33</f>
        <v>136.37044035299999</v>
      </c>
      <c r="L9" s="59">
        <v>0</v>
      </c>
      <c r="M9" s="59">
        <f>M10*1.266*E34</f>
        <v>66.539350027799998</v>
      </c>
      <c r="N9" s="60">
        <f t="shared" ref="N9:N22" si="1">K9/(G9+H9)</f>
        <v>3.3863775806946002E-2</v>
      </c>
      <c r="O9" s="60">
        <f t="shared" ref="O9:O22" si="2">L9/(G9+H9)</f>
        <v>0</v>
      </c>
      <c r="P9" s="60">
        <f t="shared" ref="P9:P22" si="3">M9/(G9+H9)</f>
        <v>1.652318219292E-2</v>
      </c>
      <c r="Q9" s="82">
        <v>0</v>
      </c>
      <c r="R9" s="83">
        <f>N9+O9+P9+Q9</f>
        <v>5.0386957999864999E-2</v>
      </c>
    </row>
    <row r="10" spans="1:18" ht="72.75" hidden="1" customHeight="1" x14ac:dyDescent="0.25">
      <c r="A10" s="296"/>
      <c r="B10" s="295"/>
      <c r="C10" s="322"/>
      <c r="D10" s="58" t="s">
        <v>458</v>
      </c>
      <c r="E10" s="59">
        <v>2179.8248199999998</v>
      </c>
      <c r="F10" s="59">
        <f t="shared" si="0"/>
        <v>1875.52594</v>
      </c>
      <c r="G10" s="59">
        <f>382868.63/1000</f>
        <v>382.86863</v>
      </c>
      <c r="H10" s="59">
        <f>278384.24/1000</f>
        <v>278.38423999999998</v>
      </c>
      <c r="I10" s="59">
        <f>1214273.07/1000</f>
        <v>1214.27307</v>
      </c>
      <c r="J10" s="59"/>
      <c r="K10" s="59">
        <f>29920.89/1000</f>
        <v>29.92089</v>
      </c>
      <c r="L10" s="59">
        <v>0</v>
      </c>
      <c r="M10" s="59">
        <f>13442.13/1000</f>
        <v>13.442130000000001</v>
      </c>
      <c r="N10" s="60">
        <f t="shared" si="1"/>
        <v>4.5248786595059001E-2</v>
      </c>
      <c r="O10" s="60">
        <f t="shared" si="2"/>
        <v>0</v>
      </c>
      <c r="P10" s="60">
        <f t="shared" si="3"/>
        <v>2.0328274718868E-2</v>
      </c>
      <c r="Q10" s="82">
        <v>0</v>
      </c>
      <c r="R10" s="83"/>
    </row>
    <row r="11" spans="1:18" ht="192.75" customHeight="1" x14ac:dyDescent="0.25">
      <c r="A11" s="294">
        <v>2</v>
      </c>
      <c r="B11" s="295"/>
      <c r="C11" s="321" t="s">
        <v>459</v>
      </c>
      <c r="D11" s="58" t="s">
        <v>457</v>
      </c>
      <c r="E11" s="59">
        <v>688044.21</v>
      </c>
      <c r="F11" s="59">
        <f t="shared" si="0"/>
        <v>521424.06839999999</v>
      </c>
      <c r="G11" s="59">
        <f>G12*F28</f>
        <v>99804.705000000002</v>
      </c>
      <c r="H11" s="59">
        <f>H12*F28</f>
        <v>246917.90760000001</v>
      </c>
      <c r="I11" s="59">
        <f>I12*F30</f>
        <v>174701.4558</v>
      </c>
      <c r="J11" s="59"/>
      <c r="K11" s="59">
        <f>K12*1.19*F33</f>
        <v>8486.4829769999997</v>
      </c>
      <c r="L11" s="59">
        <f>L12*1.19*F33</f>
        <v>11572.501646999999</v>
      </c>
      <c r="M11" s="59">
        <f>M12*1.266*F34</f>
        <v>3883.6190735999999</v>
      </c>
      <c r="N11" s="60">
        <f t="shared" si="1"/>
        <v>2.4476289311970999E-2</v>
      </c>
      <c r="O11" s="60">
        <f t="shared" si="2"/>
        <v>3.3376829853179003E-2</v>
      </c>
      <c r="P11" s="60">
        <f t="shared" si="3"/>
        <v>1.1200939692042E-2</v>
      </c>
      <c r="Q11" s="82">
        <v>0</v>
      </c>
      <c r="R11" s="83">
        <f>N11+O11+P11+Q11</f>
        <v>6.9054058857192999E-2</v>
      </c>
    </row>
    <row r="12" spans="1:18" ht="100.9" hidden="1" customHeight="1" x14ac:dyDescent="0.25">
      <c r="A12" s="296"/>
      <c r="B12" s="296"/>
      <c r="C12" s="322"/>
      <c r="D12" s="58" t="s">
        <v>458</v>
      </c>
      <c r="E12" s="59">
        <v>116471.93</v>
      </c>
      <c r="F12" s="59">
        <f t="shared" si="0"/>
        <v>91466.75</v>
      </c>
      <c r="G12" s="59">
        <v>15053.5</v>
      </c>
      <c r="H12" s="59">
        <v>37242.519999999997</v>
      </c>
      <c r="I12" s="59">
        <v>39170.730000000003</v>
      </c>
      <c r="J12" s="59"/>
      <c r="K12" s="59">
        <v>1862.01</v>
      </c>
      <c r="L12" s="59">
        <v>2539.11</v>
      </c>
      <c r="M12" s="59">
        <v>784.56</v>
      </c>
      <c r="N12" s="60">
        <f t="shared" si="1"/>
        <v>3.5605195194586998E-2</v>
      </c>
      <c r="O12" s="60">
        <f t="shared" si="2"/>
        <v>4.8552643203058E-2</v>
      </c>
      <c r="P12" s="60">
        <f t="shared" si="3"/>
        <v>1.5002288893112999E-2</v>
      </c>
      <c r="Q12" s="82">
        <v>0</v>
      </c>
      <c r="R12" s="83"/>
    </row>
    <row r="13" spans="1:18" ht="49.15" customHeight="1" x14ac:dyDescent="0.25">
      <c r="A13" s="294">
        <v>3</v>
      </c>
      <c r="B13" s="294" t="s">
        <v>414</v>
      </c>
      <c r="C13" s="324" t="s">
        <v>415</v>
      </c>
      <c r="D13" s="58" t="s">
        <v>460</v>
      </c>
      <c r="E13" s="59">
        <v>170961.79</v>
      </c>
      <c r="F13" s="59">
        <f t="shared" si="0"/>
        <v>129121.52159999999</v>
      </c>
      <c r="G13" s="59">
        <f>G14*G28</f>
        <v>91503.198799999998</v>
      </c>
      <c r="H13" s="59">
        <f>H14*G28</f>
        <v>37618.322800000002</v>
      </c>
      <c r="I13" s="59">
        <f>I14*G30</f>
        <v>0</v>
      </c>
      <c r="J13" s="5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60">
        <f t="shared" si="1"/>
        <v>1.5462031915832E-2</v>
      </c>
      <c r="O13" s="60">
        <f t="shared" si="2"/>
        <v>1.9367254017862E-2</v>
      </c>
      <c r="P13" s="60">
        <f t="shared" si="3"/>
        <v>1.5530966140659E-3</v>
      </c>
      <c r="Q13" s="82">
        <v>4.5614105389631997E-3</v>
      </c>
      <c r="R13" s="83">
        <f>N13+O13+P13+Q13</f>
        <v>4.0943793086723003E-2</v>
      </c>
    </row>
    <row r="14" spans="1:18" ht="57.2" hidden="1" customHeight="1" x14ac:dyDescent="0.25">
      <c r="A14" s="296"/>
      <c r="B14" s="295"/>
      <c r="C14" s="325"/>
      <c r="D14" s="58" t="s">
        <v>458</v>
      </c>
      <c r="E14" s="59">
        <v>29033.31</v>
      </c>
      <c r="F14" s="59">
        <f t="shared" si="0"/>
        <v>22378.080000000002</v>
      </c>
      <c r="G14" s="59">
        <v>15858.44</v>
      </c>
      <c r="H14" s="59">
        <v>6519.64</v>
      </c>
      <c r="I14" s="59">
        <v>0</v>
      </c>
      <c r="J14" s="59"/>
      <c r="K14" s="59">
        <v>420.48</v>
      </c>
      <c r="L14" s="59">
        <v>526.67999999999995</v>
      </c>
      <c r="M14" s="59">
        <v>39.700000000000003</v>
      </c>
      <c r="N14" s="60">
        <f t="shared" si="1"/>
        <v>1.8789815748268001E-2</v>
      </c>
      <c r="O14" s="60">
        <f t="shared" si="2"/>
        <v>2.3535531198387E-2</v>
      </c>
      <c r="P14" s="60">
        <f t="shared" si="3"/>
        <v>1.7740574705247E-3</v>
      </c>
      <c r="Q14" s="82">
        <v>4.9753003421204997E-3</v>
      </c>
      <c r="R14" s="83"/>
    </row>
    <row r="15" spans="1:18" ht="67.900000000000006" customHeight="1" x14ac:dyDescent="0.25">
      <c r="A15" s="294">
        <v>4</v>
      </c>
      <c r="B15" s="295"/>
      <c r="C15" s="326" t="s">
        <v>416</v>
      </c>
      <c r="D15" s="61" t="s">
        <v>460</v>
      </c>
      <c r="E15" s="59">
        <v>725870.83</v>
      </c>
      <c r="F15" s="59">
        <v>551588.679</v>
      </c>
      <c r="G15" s="59">
        <v>319494.33</v>
      </c>
      <c r="H15" s="59">
        <v>231687.44</v>
      </c>
      <c r="I15" s="59">
        <v>406.85</v>
      </c>
      <c r="J15" s="59"/>
      <c r="K15" s="59">
        <v>12415.71</v>
      </c>
      <c r="L15" s="59">
        <v>14808.286339</v>
      </c>
      <c r="M15" s="59">
        <v>3822.96</v>
      </c>
      <c r="N15" s="60">
        <f t="shared" si="1"/>
        <v>2.2525618000755001E-2</v>
      </c>
      <c r="O15" s="60">
        <f t="shared" si="2"/>
        <v>2.6866429814977E-2</v>
      </c>
      <c r="P15" s="60">
        <f t="shared" si="3"/>
        <v>6.9359333128888E-3</v>
      </c>
      <c r="Q15" s="82">
        <v>3.5515340532281999E-3</v>
      </c>
      <c r="R15" s="83">
        <f>N15+O15+P15+Q15</f>
        <v>5.9879515181849002E-2</v>
      </c>
    </row>
    <row r="16" spans="1:18" ht="67.900000000000006" hidden="1" customHeight="1" x14ac:dyDescent="0.25">
      <c r="A16" s="296"/>
      <c r="B16" s="296"/>
      <c r="C16" s="327"/>
      <c r="D16" s="61" t="s">
        <v>458</v>
      </c>
      <c r="E16" s="59">
        <v>125177.97</v>
      </c>
      <c r="F16" s="59">
        <v>95613.7</v>
      </c>
      <c r="G16" s="59">
        <v>55371.64</v>
      </c>
      <c r="H16" s="59">
        <v>40153.81</v>
      </c>
      <c r="I16" s="59">
        <v>88.25</v>
      </c>
      <c r="J16" s="59"/>
      <c r="K16" s="59">
        <v>2724.12</v>
      </c>
      <c r="L16" s="59">
        <v>3249.07</v>
      </c>
      <c r="M16" s="59">
        <v>772.31</v>
      </c>
      <c r="N16" s="60">
        <f t="shared" si="1"/>
        <v>2.8517217139516E-2</v>
      </c>
      <c r="O16" s="60">
        <f t="shared" si="2"/>
        <v>3.4012611298874E-2</v>
      </c>
      <c r="P16" s="60">
        <f t="shared" si="3"/>
        <v>8.0848611548021993E-3</v>
      </c>
      <c r="Q16" s="82">
        <v>3.8737899135989E-3</v>
      </c>
      <c r="R16" s="83"/>
    </row>
    <row r="17" spans="1:18" ht="67.900000000000006" customHeight="1" x14ac:dyDescent="0.25">
      <c r="A17" s="294">
        <v>5</v>
      </c>
      <c r="B17" s="309" t="s">
        <v>417</v>
      </c>
      <c r="C17" s="321" t="s">
        <v>461</v>
      </c>
      <c r="D17" s="58" t="s">
        <v>462</v>
      </c>
      <c r="E17" s="59">
        <v>561932.85</v>
      </c>
      <c r="F17" s="59">
        <f>G17+H17+I17</f>
        <v>399667.21620000002</v>
      </c>
      <c r="G17" s="59">
        <f>G18*I28</f>
        <v>163785.296</v>
      </c>
      <c r="H17" s="59">
        <f>H18*I28</f>
        <v>147763.611</v>
      </c>
      <c r="I17" s="59">
        <f>I18*I30</f>
        <v>88118.309200000003</v>
      </c>
      <c r="J17" s="59"/>
      <c r="K17" s="59">
        <f>K18*1.19*I33</f>
        <v>19215.596995</v>
      </c>
      <c r="L17" s="59">
        <f>L18*1.19*I33</f>
        <v>0</v>
      </c>
      <c r="M17" s="59">
        <f>M18*1.266*I34</f>
        <v>1734.8322095999999</v>
      </c>
      <c r="N17" s="60">
        <f t="shared" si="1"/>
        <v>6.1677626090981999E-2</v>
      </c>
      <c r="O17" s="60">
        <f t="shared" si="2"/>
        <v>0</v>
      </c>
      <c r="P17" s="60">
        <f t="shared" si="3"/>
        <v>5.5684105147574998E-3</v>
      </c>
      <c r="Q17" s="82">
        <v>5.5643872525604002E-3</v>
      </c>
      <c r="R17" s="83">
        <f>N17+O17+P17+Q17</f>
        <v>7.2810423858299E-2</v>
      </c>
    </row>
    <row r="18" spans="1:18" ht="67.900000000000006" hidden="1" customHeight="1" x14ac:dyDescent="0.25">
      <c r="A18" s="296"/>
      <c r="B18" s="309"/>
      <c r="C18" s="322"/>
      <c r="D18" s="58" t="s">
        <v>458</v>
      </c>
      <c r="E18" s="59">
        <v>94393.09</v>
      </c>
      <c r="F18" s="59">
        <f>G18+H18+I18</f>
        <v>69651.210000000006</v>
      </c>
      <c r="G18" s="59">
        <v>25792.959999999999</v>
      </c>
      <c r="H18" s="59">
        <v>23269.86</v>
      </c>
      <c r="I18" s="59">
        <v>20588.39</v>
      </c>
      <c r="J18" s="59"/>
      <c r="K18" s="59">
        <v>4087.99</v>
      </c>
      <c r="L18" s="59">
        <v>0</v>
      </c>
      <c r="M18" s="59">
        <v>343.44</v>
      </c>
      <c r="N18" s="60">
        <f t="shared" si="1"/>
        <v>8.3321545724441004E-2</v>
      </c>
      <c r="O18" s="60">
        <f t="shared" si="2"/>
        <v>0</v>
      </c>
      <c r="P18" s="60">
        <f t="shared" si="3"/>
        <v>7.0000052993284996E-3</v>
      </c>
      <c r="Q18" s="82">
        <v>9.4728844648146997E-3</v>
      </c>
      <c r="R18" s="83"/>
    </row>
    <row r="19" spans="1:18" ht="67.900000000000006" customHeight="1" x14ac:dyDescent="0.25">
      <c r="A19" s="294">
        <v>6</v>
      </c>
      <c r="B19" s="309"/>
      <c r="C19" s="321" t="s">
        <v>419</v>
      </c>
      <c r="D19" s="61" t="s">
        <v>460</v>
      </c>
      <c r="E19" s="59">
        <v>738823.57</v>
      </c>
      <c r="F19" s="59">
        <v>511472.86</v>
      </c>
      <c r="G19" s="59">
        <v>257334.67</v>
      </c>
      <c r="H19" s="59">
        <v>230898.09</v>
      </c>
      <c r="I19" s="59">
        <v>23240.1</v>
      </c>
      <c r="J19" s="59"/>
      <c r="K19" s="59">
        <v>19584.188309000001</v>
      </c>
      <c r="L19" s="59">
        <v>0</v>
      </c>
      <c r="M19" s="59">
        <v>2539.5687809999999</v>
      </c>
      <c r="N19" s="60">
        <f t="shared" si="1"/>
        <v>4.0112401119907999E-2</v>
      </c>
      <c r="O19" s="60">
        <f t="shared" si="2"/>
        <v>0</v>
      </c>
      <c r="P19" s="60">
        <f t="shared" si="3"/>
        <v>5.2015534168579998E-3</v>
      </c>
      <c r="Q19" s="82">
        <v>5.1286902198045999E-3</v>
      </c>
      <c r="R19" s="83">
        <f>N19+O19+P19+Q19</f>
        <v>5.0442644756571002E-2</v>
      </c>
    </row>
    <row r="20" spans="1:18" ht="67.900000000000006" hidden="1" customHeight="1" x14ac:dyDescent="0.25">
      <c r="A20" s="296"/>
      <c r="B20" s="309"/>
      <c r="C20" s="322"/>
      <c r="D20" s="61" t="s">
        <v>458</v>
      </c>
      <c r="E20" s="59">
        <v>128717.35</v>
      </c>
      <c r="F20" s="59">
        <v>89613.6</v>
      </c>
      <c r="G20" s="59">
        <v>44598.73</v>
      </c>
      <c r="H20" s="59">
        <v>40017</v>
      </c>
      <c r="I20" s="59">
        <v>4997.87</v>
      </c>
      <c r="J20" s="59"/>
      <c r="K20" s="59">
        <v>4023.79</v>
      </c>
      <c r="L20" s="59">
        <v>0</v>
      </c>
      <c r="M20" s="59">
        <v>481.05</v>
      </c>
      <c r="N20" s="60">
        <f t="shared" si="1"/>
        <v>4.7553687712675E-2</v>
      </c>
      <c r="O20" s="60">
        <f t="shared" si="2"/>
        <v>0</v>
      </c>
      <c r="P20" s="60">
        <f t="shared" si="3"/>
        <v>5.6851131580381003E-3</v>
      </c>
      <c r="Q20" s="82">
        <v>5.5940533914911996E-3</v>
      </c>
      <c r="R20" s="83"/>
    </row>
    <row r="21" spans="1:18" ht="67.900000000000006" customHeight="1" x14ac:dyDescent="0.25">
      <c r="A21" s="294">
        <v>7</v>
      </c>
      <c r="B21" s="294" t="s">
        <v>420</v>
      </c>
      <c r="C21" s="321" t="s">
        <v>421</v>
      </c>
      <c r="D21" s="61" t="s">
        <v>463</v>
      </c>
      <c r="E21" s="59">
        <v>16001185.93</v>
      </c>
      <c r="F21" s="59">
        <f>G21+H21+I21+J21</f>
        <v>6269109.2307000002</v>
      </c>
      <c r="G21" s="59">
        <f>123094.59*K28+325303.92*K29</f>
        <v>2908258.6863000002</v>
      </c>
      <c r="H21" s="59">
        <f>110226.08*K28+375865.25*K29</f>
        <v>3158998.0832000002</v>
      </c>
      <c r="I21" s="59">
        <f>I22*K30</f>
        <v>201852.46119999999</v>
      </c>
      <c r="J21" s="59">
        <f>J22*K35</f>
        <v>0</v>
      </c>
      <c r="K21" s="59">
        <f>K22*K33*1.19</f>
        <v>48825.362634999998</v>
      </c>
      <c r="L21" s="59">
        <f>L22*1.19*K33</f>
        <v>73238.020449999996</v>
      </c>
      <c r="M21" s="59">
        <f>M22*K34*1.266</f>
        <v>11514.8831238</v>
      </c>
      <c r="N21" s="60">
        <f t="shared" si="1"/>
        <v>8.0473539343916007E-3</v>
      </c>
      <c r="O21" s="60">
        <f t="shared" si="2"/>
        <v>1.2071027027926E-2</v>
      </c>
      <c r="P21" s="60">
        <f t="shared" si="3"/>
        <v>1.8978730522309999E-3</v>
      </c>
      <c r="Q21" s="82">
        <v>5.9210415358545E-4</v>
      </c>
      <c r="R21" s="83">
        <f>N21+O21+P21+Q21</f>
        <v>2.2608358168133998E-2</v>
      </c>
    </row>
    <row r="22" spans="1:18" ht="67.900000000000006" hidden="1" customHeight="1" x14ac:dyDescent="0.25">
      <c r="A22" s="296"/>
      <c r="B22" s="296"/>
      <c r="C22" s="322"/>
      <c r="D22" s="84" t="s">
        <v>458</v>
      </c>
      <c r="E22" s="85">
        <v>2195184.4700000002</v>
      </c>
      <c r="F22" s="85">
        <f>G22+H22+I22+J22</f>
        <v>981651.63</v>
      </c>
      <c r="G22" s="85">
        <f>123094.59+325303.92</f>
        <v>448398.51</v>
      </c>
      <c r="H22" s="85">
        <f>110226.08+375865.25</f>
        <v>486091.33</v>
      </c>
      <c r="I22" s="85">
        <v>47161.79</v>
      </c>
      <c r="J22" s="85">
        <v>0</v>
      </c>
      <c r="K22" s="85">
        <v>10387.27</v>
      </c>
      <c r="L22" s="85">
        <v>15580.9</v>
      </c>
      <c r="M22" s="85">
        <v>2279.5700000000002</v>
      </c>
      <c r="N22" s="86">
        <f t="shared" si="1"/>
        <v>1.1115444551008E-2</v>
      </c>
      <c r="O22" s="86">
        <f t="shared" si="2"/>
        <v>1.6673161475998E-2</v>
      </c>
      <c r="P22" s="86">
        <f t="shared" si="3"/>
        <v>2.4393737656901999E-3</v>
      </c>
      <c r="Q22" s="87">
        <v>7.7662380726578996E-4</v>
      </c>
      <c r="R22" s="88"/>
    </row>
    <row r="23" spans="1:18" ht="67.900000000000006" customHeight="1" x14ac:dyDescent="0.25">
      <c r="A23" s="64"/>
      <c r="B23" s="64"/>
      <c r="C23" s="89" t="s">
        <v>464</v>
      </c>
      <c r="D23" s="65"/>
      <c r="E23" s="90"/>
      <c r="F23" s="90"/>
      <c r="G23" s="90"/>
      <c r="H23" s="90"/>
      <c r="I23" s="90"/>
      <c r="J23" s="90"/>
      <c r="K23" s="90"/>
      <c r="L23" s="90"/>
      <c r="M23" s="90"/>
      <c r="N23" s="67">
        <f>(N9+N11+N13+N15+N17+N19+N21)/7</f>
        <v>2.9452156597254999E-2</v>
      </c>
      <c r="O23" s="67">
        <f>(O9+O11+O13+O15+O17+O19+O21)/7</f>
        <v>1.3097362959135E-2</v>
      </c>
      <c r="P23" s="67">
        <f>(P9+P11+P13+P15+P17+P19+P21)/7</f>
        <v>6.9829983993947003E-3</v>
      </c>
      <c r="Q23" s="67">
        <f>(Q9+Q11+Q13+Q15+Q17+Q19+Q21)/7</f>
        <v>2.7711608883059999E-3</v>
      </c>
      <c r="R23" s="67">
        <f>N23+O23+P23+Q23</f>
        <v>5.2303678844090998E-2</v>
      </c>
    </row>
    <row r="24" spans="1:18" ht="67.900000000000006" customHeight="1" x14ac:dyDescent="0.25">
      <c r="A24" s="68"/>
      <c r="B24" s="68"/>
      <c r="C24" s="73"/>
      <c r="D24" s="69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1"/>
      <c r="P24" s="71"/>
      <c r="Q24" s="70"/>
    </row>
    <row r="26" spans="1:18" ht="14.45" customHeight="1" outlineLevel="1" x14ac:dyDescent="0.25">
      <c r="D26" s="323" t="s">
        <v>465</v>
      </c>
      <c r="E26" s="323"/>
      <c r="F26" s="323"/>
      <c r="G26" s="323"/>
      <c r="H26" s="323"/>
      <c r="I26" s="323"/>
      <c r="J26" s="323"/>
      <c r="K26" s="323"/>
      <c r="L26" s="73"/>
      <c r="R26" s="91"/>
    </row>
    <row r="27" spans="1:18" outlineLevel="1" x14ac:dyDescent="0.25">
      <c r="D27" s="92"/>
      <c r="E27" s="92" t="s">
        <v>425</v>
      </c>
      <c r="F27" s="92" t="s">
        <v>426</v>
      </c>
      <c r="G27" s="92" t="s">
        <v>427</v>
      </c>
      <c r="H27" s="93" t="s">
        <v>428</v>
      </c>
      <c r="I27" s="93" t="s">
        <v>429</v>
      </c>
      <c r="J27" s="93" t="s">
        <v>430</v>
      </c>
      <c r="K27" s="64" t="s">
        <v>431</v>
      </c>
    </row>
    <row r="28" spans="1:18" outlineLevel="1" x14ac:dyDescent="0.25">
      <c r="D28" s="317" t="s">
        <v>432</v>
      </c>
      <c r="E28" s="315">
        <v>6.09</v>
      </c>
      <c r="F28" s="319">
        <v>6.63</v>
      </c>
      <c r="G28" s="315">
        <v>5.77</v>
      </c>
      <c r="H28" s="313">
        <v>5.77</v>
      </c>
      <c r="I28" s="313">
        <v>6.35</v>
      </c>
      <c r="J28" s="315">
        <v>5.77</v>
      </c>
      <c r="K28" s="94">
        <v>6.29</v>
      </c>
      <c r="L28" t="s">
        <v>433</v>
      </c>
    </row>
    <row r="29" spans="1:18" outlineLevel="1" x14ac:dyDescent="0.25">
      <c r="D29" s="318"/>
      <c r="E29" s="316"/>
      <c r="F29" s="320"/>
      <c r="G29" s="316"/>
      <c r="H29" s="314"/>
      <c r="I29" s="314"/>
      <c r="J29" s="316"/>
      <c r="K29" s="94">
        <v>6.56</v>
      </c>
      <c r="L29" t="s">
        <v>434</v>
      </c>
    </row>
    <row r="30" spans="1:18" outlineLevel="1" x14ac:dyDescent="0.25">
      <c r="D30" s="95" t="s">
        <v>435</v>
      </c>
      <c r="E30" s="94">
        <v>4.46</v>
      </c>
      <c r="F30" s="92">
        <v>4.46</v>
      </c>
      <c r="G30" s="94">
        <v>4.6500000000000004</v>
      </c>
      <c r="H30" s="93">
        <v>4.6100000000000003</v>
      </c>
      <c r="I30" s="93">
        <v>4.28</v>
      </c>
      <c r="J30" s="94">
        <v>4.6500000000000004</v>
      </c>
      <c r="K30" s="94">
        <v>4.28</v>
      </c>
    </row>
    <row r="31" spans="1:18" outlineLevel="1" x14ac:dyDescent="0.25">
      <c r="D31" s="317" t="s">
        <v>409</v>
      </c>
      <c r="E31" s="315">
        <v>11.37</v>
      </c>
      <c r="F31" s="319">
        <v>13.56</v>
      </c>
      <c r="G31" s="315">
        <v>15.91</v>
      </c>
      <c r="H31" s="313">
        <v>15.91</v>
      </c>
      <c r="I31" s="313">
        <v>14.03</v>
      </c>
      <c r="J31" s="315">
        <v>15.91</v>
      </c>
      <c r="K31" s="94">
        <v>8.2899999999999991</v>
      </c>
      <c r="L31" t="s">
        <v>433</v>
      </c>
    </row>
    <row r="32" spans="1:18" outlineLevel="1" x14ac:dyDescent="0.25">
      <c r="D32" s="318"/>
      <c r="E32" s="316"/>
      <c r="F32" s="320"/>
      <c r="G32" s="316"/>
      <c r="H32" s="314"/>
      <c r="I32" s="314"/>
      <c r="J32" s="316"/>
      <c r="K32" s="94">
        <v>11.84</v>
      </c>
      <c r="L32" t="s">
        <v>434</v>
      </c>
    </row>
    <row r="33" spans="4:12" ht="15" customHeight="1" outlineLevel="1" x14ac:dyDescent="0.25">
      <c r="D33" s="96" t="s">
        <v>436</v>
      </c>
      <c r="E33" s="97">
        <v>3.83</v>
      </c>
      <c r="F33" s="98">
        <v>3.83</v>
      </c>
      <c r="G33" s="97">
        <v>3.99</v>
      </c>
      <c r="H33" s="99">
        <v>3.83</v>
      </c>
      <c r="I33" s="99">
        <v>3.95</v>
      </c>
      <c r="J33" s="97">
        <v>4.09</v>
      </c>
      <c r="K33" s="94">
        <v>3.95</v>
      </c>
      <c r="L33" t="s">
        <v>466</v>
      </c>
    </row>
    <row r="34" spans="4:12" outlineLevel="1" x14ac:dyDescent="0.25">
      <c r="D34" s="96" t="s">
        <v>437</v>
      </c>
      <c r="E34" s="97">
        <v>3.91</v>
      </c>
      <c r="F34" s="98">
        <v>3.91</v>
      </c>
      <c r="G34" s="97">
        <v>3.99</v>
      </c>
      <c r="H34" s="99">
        <v>3.91</v>
      </c>
      <c r="I34" s="99">
        <v>3.99</v>
      </c>
      <c r="J34" s="97">
        <v>4.17</v>
      </c>
      <c r="K34" s="94">
        <v>3.99</v>
      </c>
      <c r="L34" t="s">
        <v>466</v>
      </c>
    </row>
    <row r="35" spans="4:12" outlineLevel="1" x14ac:dyDescent="0.25">
      <c r="D35" s="95" t="s">
        <v>375</v>
      </c>
      <c r="E35" s="94">
        <v>8.7899999999999991</v>
      </c>
      <c r="F35" s="92">
        <v>8.7899999999999991</v>
      </c>
      <c r="G35" s="94">
        <v>9.19</v>
      </c>
      <c r="H35" s="93">
        <v>9.1</v>
      </c>
      <c r="I35" s="93">
        <v>8.42</v>
      </c>
      <c r="J35" s="94">
        <v>9.19</v>
      </c>
      <c r="K35" s="94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5" t="s">
        <v>10</v>
      </c>
      <c r="B2" s="235"/>
      <c r="C2" s="235"/>
      <c r="D2" s="235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8"/>
    </row>
    <row r="5" spans="1:4" x14ac:dyDescent="0.25">
      <c r="A5" s="5"/>
      <c r="B5" s="1"/>
      <c r="C5" s="1"/>
    </row>
    <row r="6" spans="1:4" x14ac:dyDescent="0.25">
      <c r="A6" s="235" t="s">
        <v>12</v>
      </c>
      <c r="B6" s="235"/>
      <c r="C6" s="235"/>
      <c r="D6" s="23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9" t="s">
        <v>5</v>
      </c>
      <c r="B15" s="240" t="s">
        <v>15</v>
      </c>
      <c r="C15" s="240"/>
      <c r="D15" s="240"/>
    </row>
    <row r="16" spans="1:4" x14ac:dyDescent="0.25">
      <c r="A16" s="239"/>
      <c r="B16" s="239" t="s">
        <v>17</v>
      </c>
      <c r="C16" s="240" t="s">
        <v>28</v>
      </c>
      <c r="D16" s="240"/>
    </row>
    <row r="17" spans="1:4" ht="39.200000000000003" customHeight="1" x14ac:dyDescent="0.25">
      <c r="A17" s="239"/>
      <c r="B17" s="239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1" t="s">
        <v>29</v>
      </c>
      <c r="B2" s="241"/>
      <c r="C2" s="241"/>
      <c r="D2" s="241"/>
    </row>
    <row r="3" spans="1:10" x14ac:dyDescent="0.25">
      <c r="H3" s="107" t="s">
        <v>30</v>
      </c>
      <c r="I3" s="107" t="s">
        <v>31</v>
      </c>
      <c r="J3" s="107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0">
        <v>3985.09</v>
      </c>
      <c r="I4" s="100">
        <v>3153.63</v>
      </c>
      <c r="J4" s="100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5">
        <v>3</v>
      </c>
      <c r="B7" s="112" t="s">
        <v>41</v>
      </c>
      <c r="C7" s="112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6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K31"/>
  <sheetViews>
    <sheetView view="pageBreakPreview" topLeftCell="A5" zoomScale="60" zoomScaleNormal="70" workbookViewId="0">
      <selection activeCell="L12" sqref="L12"/>
    </sheetView>
  </sheetViews>
  <sheetFormatPr defaultColWidth="9.140625" defaultRowHeight="15" x14ac:dyDescent="0.25"/>
  <cols>
    <col min="1" max="2" width="9.140625" style="196"/>
    <col min="3" max="3" width="36.85546875" style="196" customWidth="1"/>
    <col min="4" max="4" width="39.42578125" style="196" customWidth="1"/>
    <col min="5" max="5" width="9.140625" style="196"/>
  </cols>
  <sheetData>
    <row r="3" spans="2:11" ht="15.75" customHeight="1" x14ac:dyDescent="0.25">
      <c r="B3" s="243" t="s">
        <v>45</v>
      </c>
      <c r="C3" s="243"/>
      <c r="D3" s="243"/>
    </row>
    <row r="4" spans="2:11" ht="18.75" customHeight="1" x14ac:dyDescent="0.25">
      <c r="B4" s="244" t="s">
        <v>46</v>
      </c>
      <c r="C4" s="244"/>
      <c r="D4" s="244"/>
    </row>
    <row r="5" spans="2:11" ht="91.5" customHeight="1" x14ac:dyDescent="0.25">
      <c r="B5" s="245" t="s">
        <v>47</v>
      </c>
      <c r="C5" s="245"/>
      <c r="D5" s="245"/>
    </row>
    <row r="6" spans="2:11" ht="18.75" customHeight="1" x14ac:dyDescent="0.25">
      <c r="B6" s="197"/>
      <c r="C6" s="197"/>
      <c r="D6" s="197"/>
    </row>
    <row r="7" spans="2:11" ht="36" customHeight="1" x14ac:dyDescent="0.25">
      <c r="B7" s="242" t="s">
        <v>48</v>
      </c>
      <c r="C7" s="242"/>
      <c r="D7" s="242"/>
    </row>
    <row r="8" spans="2:11" ht="15.75" customHeight="1" x14ac:dyDescent="0.25">
      <c r="B8" s="242" t="s">
        <v>49</v>
      </c>
      <c r="C8" s="242"/>
      <c r="D8" s="242"/>
    </row>
    <row r="9" spans="2:11" ht="15.75" customHeight="1" x14ac:dyDescent="0.25">
      <c r="B9" s="242" t="s">
        <v>50</v>
      </c>
      <c r="C9" s="242"/>
      <c r="D9" s="242"/>
    </row>
    <row r="10" spans="2:11" ht="18.75" customHeight="1" x14ac:dyDescent="0.25">
      <c r="B10" s="198"/>
    </row>
    <row r="11" spans="2:11" ht="15.75" customHeight="1" x14ac:dyDescent="0.25">
      <c r="B11" s="199" t="s">
        <v>33</v>
      </c>
      <c r="C11" s="199" t="s">
        <v>51</v>
      </c>
      <c r="D11" s="199" t="s">
        <v>52</v>
      </c>
    </row>
    <row r="12" spans="2:11" ht="31.5" customHeight="1" x14ac:dyDescent="0.25">
      <c r="B12" s="199">
        <v>1</v>
      </c>
      <c r="C12" s="200" t="s">
        <v>53</v>
      </c>
      <c r="D12" s="120" t="s">
        <v>54</v>
      </c>
      <c r="E12" s="201"/>
      <c r="F12" s="201"/>
      <c r="G12" s="201"/>
      <c r="H12" s="201"/>
      <c r="I12" s="201"/>
      <c r="J12" s="201"/>
      <c r="K12" s="201"/>
    </row>
    <row r="13" spans="2:11" ht="31.5" customHeight="1" x14ac:dyDescent="0.25">
      <c r="B13" s="199">
        <v>2</v>
      </c>
      <c r="C13" s="200" t="s">
        <v>55</v>
      </c>
      <c r="D13" s="120" t="s">
        <v>56</v>
      </c>
    </row>
    <row r="14" spans="2:11" ht="15.75" customHeight="1" x14ac:dyDescent="0.25">
      <c r="B14" s="199">
        <v>3</v>
      </c>
      <c r="C14" s="200" t="s">
        <v>57</v>
      </c>
      <c r="D14" s="120" t="s">
        <v>58</v>
      </c>
    </row>
    <row r="15" spans="2:11" ht="15.75" customHeight="1" x14ac:dyDescent="0.25">
      <c r="B15" s="199">
        <v>4</v>
      </c>
      <c r="C15" s="200" t="s">
        <v>59</v>
      </c>
      <c r="D15" s="120">
        <v>1</v>
      </c>
    </row>
    <row r="16" spans="2:11" ht="94.5" customHeight="1" x14ac:dyDescent="0.25">
      <c r="B16" s="199">
        <v>5</v>
      </c>
      <c r="C16" s="202" t="s">
        <v>60</v>
      </c>
      <c r="D16" s="203" t="s">
        <v>61</v>
      </c>
    </row>
    <row r="17" spans="2:4" ht="78.75" customHeight="1" x14ac:dyDescent="0.25">
      <c r="B17" s="199">
        <v>6</v>
      </c>
      <c r="C17" s="202" t="s">
        <v>62</v>
      </c>
      <c r="D17" s="226">
        <f>D18+D19</f>
        <v>140.9190638</v>
      </c>
    </row>
    <row r="18" spans="2:4" ht="15.75" customHeight="1" x14ac:dyDescent="0.25">
      <c r="B18" s="204" t="s">
        <v>63</v>
      </c>
      <c r="C18" s="200" t="s">
        <v>64</v>
      </c>
      <c r="D18" s="226">
        <f>'Прил.2 Расч стоим'!F12</f>
        <v>119.69762539999999</v>
      </c>
    </row>
    <row r="19" spans="2:4" ht="15.75" customHeight="1" x14ac:dyDescent="0.25">
      <c r="B19" s="204" t="s">
        <v>65</v>
      </c>
      <c r="C19" s="200" t="s">
        <v>66</v>
      </c>
      <c r="D19" s="226">
        <f>'Прил.2 Расч стоим'!H14</f>
        <v>21.2214384</v>
      </c>
    </row>
    <row r="20" spans="2:4" ht="15.75" customHeight="1" x14ac:dyDescent="0.25">
      <c r="B20" s="204" t="s">
        <v>67</v>
      </c>
      <c r="C20" s="200" t="s">
        <v>68</v>
      </c>
      <c r="D20" s="226"/>
    </row>
    <row r="21" spans="2:4" ht="31.5" customHeight="1" x14ac:dyDescent="0.25">
      <c r="B21" s="204" t="s">
        <v>69</v>
      </c>
      <c r="C21" s="200" t="s">
        <v>70</v>
      </c>
      <c r="D21" s="226"/>
    </row>
    <row r="22" spans="2:4" ht="15.75" customHeight="1" x14ac:dyDescent="0.25">
      <c r="B22" s="199">
        <v>7</v>
      </c>
      <c r="C22" s="200" t="s">
        <v>71</v>
      </c>
      <c r="D22" s="120" t="s">
        <v>72</v>
      </c>
    </row>
    <row r="23" spans="2:4" ht="110.25" customHeight="1" x14ac:dyDescent="0.25">
      <c r="B23" s="199">
        <v>8</v>
      </c>
      <c r="C23" s="202" t="s">
        <v>73</v>
      </c>
      <c r="D23" s="226">
        <f>D17</f>
        <v>140.9190638</v>
      </c>
    </row>
    <row r="24" spans="2:4" ht="47.25" customHeight="1" x14ac:dyDescent="0.25">
      <c r="B24" s="199">
        <v>9</v>
      </c>
      <c r="C24" s="202" t="s">
        <v>74</v>
      </c>
      <c r="D24" s="226">
        <f>D23/D15</f>
        <v>140.9190638</v>
      </c>
    </row>
    <row r="25" spans="2:4" ht="15.75" customHeight="1" x14ac:dyDescent="0.25">
      <c r="B25" s="205"/>
      <c r="C25" s="206"/>
      <c r="D25" s="124"/>
    </row>
    <row r="26" spans="2:4" x14ac:dyDescent="0.25">
      <c r="B26" s="207" t="s">
        <v>467</v>
      </c>
      <c r="C26" s="208"/>
    </row>
    <row r="27" spans="2:4" x14ac:dyDescent="0.25">
      <c r="B27" s="209" t="s">
        <v>76</v>
      </c>
      <c r="C27" s="208"/>
    </row>
    <row r="28" spans="2:4" x14ac:dyDescent="0.25">
      <c r="B28" s="207"/>
      <c r="C28" s="208"/>
    </row>
    <row r="29" spans="2:4" x14ac:dyDescent="0.25">
      <c r="B29" s="207" t="s">
        <v>77</v>
      </c>
      <c r="C29" s="208"/>
    </row>
    <row r="30" spans="2:4" x14ac:dyDescent="0.25">
      <c r="B30" s="209" t="s">
        <v>78</v>
      </c>
      <c r="C30" s="208"/>
    </row>
    <row r="31" spans="2:4" ht="15.75" customHeight="1" x14ac:dyDescent="0.25">
      <c r="B31" s="206"/>
      <c r="C31" s="206"/>
      <c r="D31" s="206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G22" sqref="G22"/>
    </sheetView>
  </sheetViews>
  <sheetFormatPr defaultColWidth="9.140625" defaultRowHeight="15.75" x14ac:dyDescent="0.25"/>
  <cols>
    <col min="1" max="1" width="5.5703125" style="116" customWidth="1"/>
    <col min="2" max="2" width="9.140625" style="116"/>
    <col min="3" max="3" width="35.28515625" style="116" customWidth="1"/>
    <col min="4" max="4" width="13.85546875" style="116" customWidth="1"/>
    <col min="5" max="5" width="24.85546875" style="116" customWidth="1"/>
    <col min="6" max="6" width="15.5703125" style="116" customWidth="1"/>
    <col min="7" max="7" width="14.85546875" style="116" customWidth="1"/>
    <col min="8" max="8" width="16.7109375" style="116" customWidth="1"/>
    <col min="9" max="10" width="13" style="116" customWidth="1"/>
    <col min="11" max="11" width="18" style="116" customWidth="1"/>
    <col min="12" max="12" width="9.140625" style="116"/>
  </cols>
  <sheetData>
    <row r="3" spans="2:11" x14ac:dyDescent="0.25">
      <c r="B3" s="243" t="s">
        <v>79</v>
      </c>
      <c r="C3" s="243"/>
      <c r="D3" s="243"/>
      <c r="E3" s="243"/>
      <c r="F3" s="243"/>
      <c r="G3" s="243"/>
      <c r="H3" s="243"/>
      <c r="I3" s="243"/>
      <c r="J3" s="243"/>
      <c r="K3" s="153"/>
    </row>
    <row r="4" spans="2:11" x14ac:dyDescent="0.25">
      <c r="B4" s="248" t="s">
        <v>80</v>
      </c>
      <c r="C4" s="248"/>
      <c r="D4" s="248"/>
      <c r="E4" s="248"/>
      <c r="F4" s="248"/>
      <c r="G4" s="248"/>
      <c r="H4" s="248"/>
      <c r="I4" s="248"/>
      <c r="J4" s="248"/>
      <c r="K4" s="248"/>
    </row>
    <row r="5" spans="2:11" x14ac:dyDescent="0.25">
      <c r="B5" s="154"/>
      <c r="C5" s="154"/>
      <c r="D5" s="154"/>
      <c r="E5" s="154"/>
      <c r="F5" s="154"/>
      <c r="G5" s="154"/>
      <c r="H5" s="154"/>
      <c r="I5" s="154"/>
      <c r="J5" s="154"/>
      <c r="K5" s="154"/>
    </row>
    <row r="6" spans="2:11" ht="29.25" customHeight="1" x14ac:dyDescent="0.25">
      <c r="B6" s="242" t="s">
        <v>48</v>
      </c>
      <c r="C6" s="242"/>
      <c r="D6" s="242"/>
      <c r="E6" s="242"/>
      <c r="F6" s="242"/>
      <c r="G6" s="242"/>
      <c r="H6" s="242"/>
      <c r="I6" s="242"/>
      <c r="J6" s="242"/>
      <c r="K6" s="242"/>
    </row>
    <row r="7" spans="2:11" x14ac:dyDescent="0.25">
      <c r="B7" s="242" t="s">
        <v>50</v>
      </c>
      <c r="C7" s="242"/>
      <c r="D7" s="242"/>
      <c r="E7" s="242"/>
      <c r="F7" s="242"/>
      <c r="G7" s="242"/>
      <c r="H7" s="242"/>
      <c r="I7" s="242"/>
      <c r="J7" s="242"/>
      <c r="K7" s="242"/>
    </row>
    <row r="8" spans="2:11" ht="18.75" customHeight="1" x14ac:dyDescent="0.25">
      <c r="B8" s="130"/>
    </row>
    <row r="9" spans="2:11" ht="15.75" customHeight="1" x14ac:dyDescent="0.25">
      <c r="B9" s="249" t="s">
        <v>33</v>
      </c>
      <c r="C9" s="249" t="s">
        <v>81</v>
      </c>
      <c r="D9" s="249" t="s">
        <v>82</v>
      </c>
      <c r="E9" s="249"/>
      <c r="F9" s="249"/>
      <c r="G9" s="249"/>
      <c r="H9" s="249"/>
      <c r="I9" s="249"/>
      <c r="J9" s="249"/>
    </row>
    <row r="10" spans="2:11" ht="15.75" customHeight="1" x14ac:dyDescent="0.25">
      <c r="B10" s="249"/>
      <c r="C10" s="249"/>
      <c r="D10" s="249" t="s">
        <v>83</v>
      </c>
      <c r="E10" s="249" t="s">
        <v>84</v>
      </c>
      <c r="F10" s="249" t="s">
        <v>85</v>
      </c>
      <c r="G10" s="249"/>
      <c r="H10" s="249"/>
      <c r="I10" s="249"/>
      <c r="J10" s="249"/>
    </row>
    <row r="11" spans="2:11" ht="31.7" customHeight="1" x14ac:dyDescent="0.25">
      <c r="B11" s="249"/>
      <c r="C11" s="249"/>
      <c r="D11" s="249"/>
      <c r="E11" s="249"/>
      <c r="F11" s="120" t="s">
        <v>86</v>
      </c>
      <c r="G11" s="120" t="s">
        <v>87</v>
      </c>
      <c r="H11" s="120" t="s">
        <v>43</v>
      </c>
      <c r="I11" s="120" t="s">
        <v>88</v>
      </c>
      <c r="J11" s="120" t="s">
        <v>89</v>
      </c>
    </row>
    <row r="12" spans="2:11" ht="60.75" customHeight="1" x14ac:dyDescent="0.25">
      <c r="B12" s="227"/>
      <c r="C12" s="178" t="s">
        <v>90</v>
      </c>
      <c r="D12" s="228"/>
      <c r="E12" s="120"/>
      <c r="F12" s="250">
        <f>(Прил.3!H12+Прил.3!H17+Прил.3!H19+Прил.3!H32)*8.42/1000</f>
        <v>119.69762539999999</v>
      </c>
      <c r="G12" s="251"/>
      <c r="H12" s="229">
        <f>Прил.3!H29*4.28/1000</f>
        <v>21.2214384</v>
      </c>
      <c r="I12" s="230"/>
      <c r="J12" s="231">
        <f>F12+H12</f>
        <v>140.9190638</v>
      </c>
    </row>
    <row r="13" spans="2:11" ht="15" customHeight="1" x14ac:dyDescent="0.25">
      <c r="B13" s="252" t="s">
        <v>91</v>
      </c>
      <c r="C13" s="252"/>
      <c r="D13" s="252"/>
      <c r="E13" s="252"/>
      <c r="F13" s="232"/>
      <c r="G13" s="232"/>
      <c r="H13" s="232"/>
      <c r="I13" s="233"/>
      <c r="J13" s="234"/>
    </row>
    <row r="14" spans="2:11" ht="15.75" customHeight="1" x14ac:dyDescent="0.25">
      <c r="B14" s="252" t="s">
        <v>92</v>
      </c>
      <c r="C14" s="252"/>
      <c r="D14" s="252"/>
      <c r="E14" s="252"/>
      <c r="F14" s="246">
        <f>F12</f>
        <v>119.69762539999999</v>
      </c>
      <c r="G14" s="247"/>
      <c r="H14" s="232">
        <f>H12</f>
        <v>21.2214384</v>
      </c>
      <c r="I14" s="233"/>
      <c r="J14" s="234">
        <f>J12</f>
        <v>140.9190638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31" t="s">
        <v>76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94</v>
      </c>
      <c r="D21" s="12"/>
      <c r="E21" s="12"/>
    </row>
    <row r="22" spans="3:5" ht="15" customHeight="1" x14ac:dyDescent="0.25">
      <c r="C22" s="31" t="s">
        <v>78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B14:E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O72"/>
  <sheetViews>
    <sheetView view="pageBreakPreview" zoomScale="70" zoomScaleSheetLayoutView="70" workbookViewId="0">
      <selection activeCell="D70" sqref="D70"/>
    </sheetView>
  </sheetViews>
  <sheetFormatPr defaultColWidth="9.140625" defaultRowHeight="15.75" x14ac:dyDescent="0.25"/>
  <cols>
    <col min="1" max="1" width="9.140625" style="116"/>
    <col min="2" max="2" width="12.5703125" style="116" customWidth="1"/>
    <col min="3" max="3" width="22.42578125" style="116" customWidth="1"/>
    <col min="4" max="4" width="49.7109375" style="116" customWidth="1"/>
    <col min="5" max="5" width="10.140625" style="176" customWidth="1"/>
    <col min="6" max="6" width="20.7109375" style="176" customWidth="1"/>
    <col min="7" max="7" width="20" style="116" customWidth="1"/>
    <col min="8" max="8" width="16.7109375" style="153" customWidth="1"/>
    <col min="11" max="11" width="15" customWidth="1"/>
    <col min="15" max="15" width="9.140625" style="116"/>
  </cols>
  <sheetData>
    <row r="2" spans="1:15" s="210" customFormat="1" x14ac:dyDescent="0.25">
      <c r="A2" s="116"/>
      <c r="B2" s="116"/>
      <c r="C2" s="116"/>
      <c r="D2" s="116"/>
      <c r="E2" s="176"/>
      <c r="F2" s="176"/>
      <c r="G2" s="116"/>
      <c r="H2" s="205"/>
      <c r="O2" s="116"/>
    </row>
    <row r="3" spans="1:15" x14ac:dyDescent="0.25">
      <c r="A3" s="243" t="s">
        <v>95</v>
      </c>
      <c r="B3" s="243"/>
      <c r="C3" s="243"/>
      <c r="D3" s="243"/>
      <c r="E3" s="243"/>
      <c r="F3" s="243"/>
      <c r="G3" s="243"/>
      <c r="H3" s="243"/>
    </row>
    <row r="4" spans="1:15" x14ac:dyDescent="0.25">
      <c r="A4" s="248" t="s">
        <v>96</v>
      </c>
      <c r="B4" s="248"/>
      <c r="C4" s="248"/>
      <c r="D4" s="248"/>
      <c r="E4" s="248"/>
      <c r="F4" s="248"/>
      <c r="G4" s="248"/>
      <c r="H4" s="248"/>
    </row>
    <row r="5" spans="1:15" ht="18.75" customHeight="1" x14ac:dyDescent="0.25">
      <c r="A5" s="172"/>
      <c r="B5" s="172"/>
      <c r="C5" s="254" t="s">
        <v>97</v>
      </c>
      <c r="D5" s="254"/>
      <c r="E5" s="254"/>
      <c r="F5" s="254"/>
      <c r="G5" s="254"/>
      <c r="H5" s="254"/>
    </row>
    <row r="6" spans="1:15" x14ac:dyDescent="0.25">
      <c r="A6" s="152"/>
    </row>
    <row r="7" spans="1:15" x14ac:dyDescent="0.25">
      <c r="A7" s="253" t="s">
        <v>98</v>
      </c>
      <c r="B7" s="253"/>
      <c r="C7" s="253"/>
      <c r="D7" s="253"/>
      <c r="E7" s="253"/>
      <c r="F7" s="253"/>
      <c r="G7" s="253"/>
      <c r="H7" s="253"/>
    </row>
    <row r="8" spans="1:15" x14ac:dyDescent="0.25">
      <c r="A8" s="155"/>
      <c r="B8" s="155"/>
      <c r="C8" s="155"/>
      <c r="D8" s="155"/>
      <c r="F8" s="154"/>
      <c r="G8" s="155"/>
    </row>
    <row r="9" spans="1:15" ht="38.25" customHeight="1" x14ac:dyDescent="0.25">
      <c r="A9" s="249" t="s">
        <v>99</v>
      </c>
      <c r="B9" s="249" t="s">
        <v>100</v>
      </c>
      <c r="C9" s="249" t="s">
        <v>101</v>
      </c>
      <c r="D9" s="249" t="s">
        <v>102</v>
      </c>
      <c r="E9" s="259" t="s">
        <v>103</v>
      </c>
      <c r="F9" s="249" t="s">
        <v>104</v>
      </c>
      <c r="G9" s="249" t="s">
        <v>105</v>
      </c>
      <c r="H9" s="249"/>
    </row>
    <row r="10" spans="1:15" ht="40.700000000000003" customHeight="1" x14ac:dyDescent="0.25">
      <c r="A10" s="249"/>
      <c r="B10" s="249"/>
      <c r="C10" s="249"/>
      <c r="D10" s="249"/>
      <c r="E10" s="259"/>
      <c r="F10" s="249"/>
      <c r="G10" s="120" t="s">
        <v>106</v>
      </c>
      <c r="H10" s="124" t="s">
        <v>107</v>
      </c>
    </row>
    <row r="11" spans="1:15" x14ac:dyDescent="0.25">
      <c r="A11" s="160">
        <v>1</v>
      </c>
      <c r="B11" s="160"/>
      <c r="C11" s="160">
        <v>2</v>
      </c>
      <c r="D11" s="160" t="s">
        <v>108</v>
      </c>
      <c r="E11" s="182">
        <v>4</v>
      </c>
      <c r="F11" s="160">
        <v>5</v>
      </c>
      <c r="G11" s="160">
        <v>6</v>
      </c>
      <c r="H11" s="178">
        <v>7</v>
      </c>
    </row>
    <row r="12" spans="1:15" s="157" customFormat="1" x14ac:dyDescent="0.25">
      <c r="A12" s="256" t="s">
        <v>109</v>
      </c>
      <c r="B12" s="257"/>
      <c r="C12" s="258"/>
      <c r="D12" s="258"/>
      <c r="E12" s="257"/>
      <c r="F12" s="177">
        <f>SUM(F13:F16)</f>
        <v>92.828999999999994</v>
      </c>
      <c r="G12" s="10"/>
      <c r="H12" s="170">
        <f>SUM(H13:H16)</f>
        <v>895.98</v>
      </c>
    </row>
    <row r="13" spans="1:15" x14ac:dyDescent="0.25">
      <c r="A13" s="171">
        <v>1</v>
      </c>
      <c r="B13" s="159"/>
      <c r="C13" s="145" t="s">
        <v>110</v>
      </c>
      <c r="D13" s="8" t="s">
        <v>111</v>
      </c>
      <c r="E13" s="183" t="s">
        <v>112</v>
      </c>
      <c r="F13" s="145">
        <v>30.536000000000001</v>
      </c>
      <c r="G13" s="174">
        <v>9.4</v>
      </c>
      <c r="H13" s="162">
        <f>ROUND(F13*G13,2)</f>
        <v>287.04000000000002</v>
      </c>
    </row>
    <row r="14" spans="1:15" x14ac:dyDescent="0.25">
      <c r="A14" s="171">
        <v>2</v>
      </c>
      <c r="B14" s="159"/>
      <c r="C14" s="145" t="s">
        <v>113</v>
      </c>
      <c r="D14" s="8" t="s">
        <v>114</v>
      </c>
      <c r="E14" s="183" t="s">
        <v>112</v>
      </c>
      <c r="F14" s="145">
        <v>23.22</v>
      </c>
      <c r="G14" s="174">
        <v>9.92</v>
      </c>
      <c r="H14" s="162">
        <f>ROUND(F14*G14,2)</f>
        <v>230.34</v>
      </c>
    </row>
    <row r="15" spans="1:15" x14ac:dyDescent="0.25">
      <c r="A15" s="171">
        <v>3</v>
      </c>
      <c r="B15" s="159"/>
      <c r="C15" s="145" t="s">
        <v>115</v>
      </c>
      <c r="D15" s="8" t="s">
        <v>116</v>
      </c>
      <c r="E15" s="183" t="s">
        <v>112</v>
      </c>
      <c r="F15" s="145">
        <v>19.402000000000001</v>
      </c>
      <c r="G15" s="174">
        <v>9.76</v>
      </c>
      <c r="H15" s="162">
        <f>ROUND(F15*G15,2)</f>
        <v>189.36</v>
      </c>
    </row>
    <row r="16" spans="1:15" x14ac:dyDescent="0.25">
      <c r="A16" s="171">
        <v>4</v>
      </c>
      <c r="B16" s="159"/>
      <c r="C16" s="145" t="s">
        <v>117</v>
      </c>
      <c r="D16" s="8" t="s">
        <v>118</v>
      </c>
      <c r="E16" s="183" t="s">
        <v>112</v>
      </c>
      <c r="F16" s="145">
        <v>19.670999999999999</v>
      </c>
      <c r="G16" s="174">
        <v>9.6199999999999992</v>
      </c>
      <c r="H16" s="162">
        <f>ROUND(F16*G16,2)</f>
        <v>189.24</v>
      </c>
    </row>
    <row r="17" spans="1:8" x14ac:dyDescent="0.25">
      <c r="A17" s="255" t="s">
        <v>119</v>
      </c>
      <c r="B17" s="255"/>
      <c r="C17" s="255"/>
      <c r="D17" s="255"/>
      <c r="E17" s="255"/>
      <c r="F17" s="185"/>
      <c r="G17" s="158"/>
      <c r="H17" s="170">
        <f>H18</f>
        <v>87.9</v>
      </c>
    </row>
    <row r="18" spans="1:8" x14ac:dyDescent="0.25">
      <c r="A18" s="171">
        <v>5</v>
      </c>
      <c r="B18" s="156"/>
      <c r="C18" s="168">
        <v>2</v>
      </c>
      <c r="D18" s="175" t="s">
        <v>120</v>
      </c>
      <c r="E18" s="183" t="s">
        <v>112</v>
      </c>
      <c r="F18" s="171">
        <v>6.3554000000000004</v>
      </c>
      <c r="G18" s="167"/>
      <c r="H18" s="179">
        <v>87.9</v>
      </c>
    </row>
    <row r="19" spans="1:8" s="157" customFormat="1" x14ac:dyDescent="0.25">
      <c r="A19" s="256" t="s">
        <v>121</v>
      </c>
      <c r="B19" s="257"/>
      <c r="C19" s="258"/>
      <c r="D19" s="258"/>
      <c r="E19" s="257"/>
      <c r="F19" s="185"/>
      <c r="G19" s="158"/>
      <c r="H19" s="170">
        <f>SUM(H20:H28)</f>
        <v>1274.52</v>
      </c>
    </row>
    <row r="20" spans="1:8" ht="25.5" customHeight="1" x14ac:dyDescent="0.25">
      <c r="A20" s="171">
        <v>6</v>
      </c>
      <c r="B20" s="156"/>
      <c r="C20" s="145" t="s">
        <v>122</v>
      </c>
      <c r="D20" s="8" t="s">
        <v>123</v>
      </c>
      <c r="E20" s="183" t="s">
        <v>124</v>
      </c>
      <c r="F20" s="145">
        <v>2.48</v>
      </c>
      <c r="G20" s="101">
        <v>197.01</v>
      </c>
      <c r="H20" s="162">
        <f t="shared" ref="H20:H28" si="0">ROUND(F20*G20,2)</f>
        <v>488.58</v>
      </c>
    </row>
    <row r="21" spans="1:8" s="157" customFormat="1" ht="25.5" x14ac:dyDescent="0.25">
      <c r="A21" s="171">
        <v>7</v>
      </c>
      <c r="B21" s="156"/>
      <c r="C21" s="145" t="s">
        <v>125</v>
      </c>
      <c r="D21" s="8" t="s">
        <v>126</v>
      </c>
      <c r="E21" s="183" t="s">
        <v>124</v>
      </c>
      <c r="F21" s="145">
        <v>3.8090999999999999</v>
      </c>
      <c r="G21" s="101">
        <v>111.99</v>
      </c>
      <c r="H21" s="162">
        <f t="shared" si="0"/>
        <v>426.58</v>
      </c>
    </row>
    <row r="22" spans="1:8" x14ac:dyDescent="0.25">
      <c r="A22" s="171">
        <v>8</v>
      </c>
      <c r="B22" s="156"/>
      <c r="C22" s="145" t="s">
        <v>127</v>
      </c>
      <c r="D22" s="8" t="s">
        <v>128</v>
      </c>
      <c r="E22" s="183" t="s">
        <v>124</v>
      </c>
      <c r="F22" s="145">
        <v>2.8767999999999998</v>
      </c>
      <c r="G22" s="101">
        <v>65.709999999999994</v>
      </c>
      <c r="H22" s="162">
        <f t="shared" si="0"/>
        <v>189.03</v>
      </c>
    </row>
    <row r="23" spans="1:8" ht="25.5" customHeight="1" x14ac:dyDescent="0.25">
      <c r="A23" s="171">
        <v>9</v>
      </c>
      <c r="B23" s="156"/>
      <c r="C23" s="145" t="s">
        <v>129</v>
      </c>
      <c r="D23" s="8" t="s">
        <v>130</v>
      </c>
      <c r="E23" s="183" t="s">
        <v>124</v>
      </c>
      <c r="F23" s="145">
        <v>17.000800000000002</v>
      </c>
      <c r="G23" s="101">
        <v>8.1</v>
      </c>
      <c r="H23" s="162">
        <f t="shared" si="0"/>
        <v>137.71</v>
      </c>
    </row>
    <row r="24" spans="1:8" ht="25.5" customHeight="1" x14ac:dyDescent="0.25">
      <c r="A24" s="171">
        <v>10</v>
      </c>
      <c r="B24" s="156"/>
      <c r="C24" s="145" t="s">
        <v>131</v>
      </c>
      <c r="D24" s="8" t="s">
        <v>132</v>
      </c>
      <c r="E24" s="183" t="s">
        <v>124</v>
      </c>
      <c r="F24" s="145">
        <v>4.6440000000000001</v>
      </c>
      <c r="G24" s="101">
        <v>3.28</v>
      </c>
      <c r="H24" s="162">
        <f t="shared" si="0"/>
        <v>15.23</v>
      </c>
    </row>
    <row r="25" spans="1:8" x14ac:dyDescent="0.25">
      <c r="A25" s="171">
        <v>11</v>
      </c>
      <c r="B25" s="156"/>
      <c r="C25" s="145" t="s">
        <v>133</v>
      </c>
      <c r="D25" s="8" t="s">
        <v>134</v>
      </c>
      <c r="E25" s="183" t="s">
        <v>124</v>
      </c>
      <c r="F25" s="145">
        <v>3.9049999999999998</v>
      </c>
      <c r="G25" s="101">
        <v>2.08</v>
      </c>
      <c r="H25" s="162">
        <f t="shared" si="0"/>
        <v>8.1199999999999992</v>
      </c>
    </row>
    <row r="26" spans="1:8" ht="25.5" customHeight="1" x14ac:dyDescent="0.25">
      <c r="A26" s="171">
        <v>12</v>
      </c>
      <c r="B26" s="156"/>
      <c r="C26" s="145" t="s">
        <v>135</v>
      </c>
      <c r="D26" s="8" t="s">
        <v>136</v>
      </c>
      <c r="E26" s="183" t="s">
        <v>124</v>
      </c>
      <c r="F26" s="145">
        <v>6.6299999999999998E-2</v>
      </c>
      <c r="G26" s="101">
        <v>70.010000000000005</v>
      </c>
      <c r="H26" s="162">
        <f t="shared" si="0"/>
        <v>4.6399999999999997</v>
      </c>
    </row>
    <row r="27" spans="1:8" ht="25.5" x14ac:dyDescent="0.25">
      <c r="A27" s="171">
        <v>13</v>
      </c>
      <c r="B27" s="156"/>
      <c r="C27" s="145" t="s">
        <v>137</v>
      </c>
      <c r="D27" s="8" t="s">
        <v>138</v>
      </c>
      <c r="E27" s="183" t="s">
        <v>124</v>
      </c>
      <c r="F27" s="145">
        <v>4.6440000000000001</v>
      </c>
      <c r="G27" s="101">
        <v>0.9</v>
      </c>
      <c r="H27" s="162">
        <f t="shared" si="0"/>
        <v>4.18</v>
      </c>
    </row>
    <row r="28" spans="1:8" x14ac:dyDescent="0.25">
      <c r="A28" s="171">
        <v>14</v>
      </c>
      <c r="B28" s="156"/>
      <c r="C28" s="145" t="s">
        <v>139</v>
      </c>
      <c r="D28" s="8" t="s">
        <v>140</v>
      </c>
      <c r="E28" s="183" t="s">
        <v>124</v>
      </c>
      <c r="F28" s="145">
        <v>0.2379</v>
      </c>
      <c r="G28" s="101">
        <v>1.9</v>
      </c>
      <c r="H28" s="162">
        <f t="shared" si="0"/>
        <v>0.45</v>
      </c>
    </row>
    <row r="29" spans="1:8" ht="15" customHeight="1" x14ac:dyDescent="0.25">
      <c r="A29" s="255" t="s">
        <v>43</v>
      </c>
      <c r="B29" s="255"/>
      <c r="C29" s="255"/>
      <c r="D29" s="255"/>
      <c r="E29" s="255"/>
      <c r="F29" s="186"/>
      <c r="G29" s="10"/>
      <c r="H29" s="170">
        <f>SUM(H30:H31)</f>
        <v>4958.28</v>
      </c>
    </row>
    <row r="30" spans="1:8" ht="15" customHeight="1" x14ac:dyDescent="0.25">
      <c r="A30" s="169">
        <v>15</v>
      </c>
      <c r="B30" s="102"/>
      <c r="C30" s="168" t="s">
        <v>141</v>
      </c>
      <c r="D30" s="180" t="s">
        <v>142</v>
      </c>
      <c r="E30" s="184" t="s">
        <v>143</v>
      </c>
      <c r="F30" s="184">
        <v>1</v>
      </c>
      <c r="G30" s="180">
        <v>3861</v>
      </c>
      <c r="H30" s="162">
        <f>ROUND(F30*G30,2)</f>
        <v>3861</v>
      </c>
    </row>
    <row r="31" spans="1:8" ht="18" customHeight="1" x14ac:dyDescent="0.25">
      <c r="A31" s="169">
        <v>16</v>
      </c>
      <c r="B31" s="102"/>
      <c r="C31" s="168" t="s">
        <v>144</v>
      </c>
      <c r="D31" s="181" t="s">
        <v>145</v>
      </c>
      <c r="E31" s="184" t="s">
        <v>146</v>
      </c>
      <c r="F31" s="184">
        <v>1</v>
      </c>
      <c r="G31" s="192">
        <v>1097.28</v>
      </c>
      <c r="H31" s="193">
        <f>ROUND(F31*G31,2)</f>
        <v>1097.28</v>
      </c>
    </row>
    <row r="32" spans="1:8" x14ac:dyDescent="0.25">
      <c r="A32" s="256" t="s">
        <v>147</v>
      </c>
      <c r="B32" s="257"/>
      <c r="C32" s="258"/>
      <c r="D32" s="258"/>
      <c r="E32" s="257"/>
      <c r="F32" s="185"/>
      <c r="G32" s="158"/>
      <c r="H32" s="170">
        <f>SUM(H33:H65)</f>
        <v>11957.47</v>
      </c>
    </row>
    <row r="33" spans="1:8" ht="38.25" customHeight="1" x14ac:dyDescent="0.25">
      <c r="A33" s="169">
        <v>17</v>
      </c>
      <c r="B33" s="156"/>
      <c r="C33" s="145" t="s">
        <v>148</v>
      </c>
      <c r="D33" s="8" t="s">
        <v>149</v>
      </c>
      <c r="E33" s="2" t="s">
        <v>150</v>
      </c>
      <c r="F33" s="145">
        <v>0.61199999999999999</v>
      </c>
      <c r="G33" s="101">
        <v>8128</v>
      </c>
      <c r="H33" s="162">
        <f t="shared" ref="H33:H65" si="1">ROUND(F33*G33,2)</f>
        <v>4974.34</v>
      </c>
    </row>
    <row r="34" spans="1:8" ht="38.25" customHeight="1" x14ac:dyDescent="0.25">
      <c r="A34" s="169">
        <v>18</v>
      </c>
      <c r="B34" s="156"/>
      <c r="C34" s="145" t="s">
        <v>151</v>
      </c>
      <c r="D34" s="8" t="s">
        <v>152</v>
      </c>
      <c r="E34" s="2" t="s">
        <v>150</v>
      </c>
      <c r="F34" s="145">
        <v>0.58799999999999997</v>
      </c>
      <c r="G34" s="101">
        <v>5999.99</v>
      </c>
      <c r="H34" s="162">
        <f t="shared" si="1"/>
        <v>3527.99</v>
      </c>
    </row>
    <row r="35" spans="1:8" ht="38.25" customHeight="1" x14ac:dyDescent="0.25">
      <c r="A35" s="169">
        <v>19</v>
      </c>
      <c r="B35" s="156"/>
      <c r="C35" s="145" t="s">
        <v>153</v>
      </c>
      <c r="D35" s="8" t="s">
        <v>154</v>
      </c>
      <c r="E35" s="2" t="s">
        <v>155</v>
      </c>
      <c r="F35" s="145">
        <v>110</v>
      </c>
      <c r="G35" s="101">
        <v>8.2799999999999994</v>
      </c>
      <c r="H35" s="162">
        <f t="shared" si="1"/>
        <v>910.8</v>
      </c>
    </row>
    <row r="36" spans="1:8" x14ac:dyDescent="0.25">
      <c r="A36" s="169">
        <v>20</v>
      </c>
      <c r="B36" s="156"/>
      <c r="C36" s="145" t="s">
        <v>156</v>
      </c>
      <c r="D36" s="8" t="s">
        <v>157</v>
      </c>
      <c r="E36" s="2" t="s">
        <v>158</v>
      </c>
      <c r="F36" s="145">
        <v>1</v>
      </c>
      <c r="G36" s="101">
        <v>682</v>
      </c>
      <c r="H36" s="162">
        <f t="shared" si="1"/>
        <v>682</v>
      </c>
    </row>
    <row r="37" spans="1:8" ht="25.5" customHeight="1" x14ac:dyDescent="0.25">
      <c r="A37" s="169">
        <v>21</v>
      </c>
      <c r="B37" s="156"/>
      <c r="C37" s="145" t="s">
        <v>159</v>
      </c>
      <c r="D37" s="8" t="s">
        <v>160</v>
      </c>
      <c r="E37" s="2" t="s">
        <v>161</v>
      </c>
      <c r="F37" s="145">
        <v>0.03</v>
      </c>
      <c r="G37" s="101">
        <v>17230.189999999999</v>
      </c>
      <c r="H37" s="162">
        <f t="shared" si="1"/>
        <v>516.91</v>
      </c>
    </row>
    <row r="38" spans="1:8" x14ac:dyDescent="0.25">
      <c r="A38" s="169">
        <v>22</v>
      </c>
      <c r="B38" s="156"/>
      <c r="C38" s="145" t="s">
        <v>162</v>
      </c>
      <c r="D38" s="8" t="s">
        <v>163</v>
      </c>
      <c r="E38" s="2" t="s">
        <v>164</v>
      </c>
      <c r="F38" s="145">
        <v>1.1000000000000001</v>
      </c>
      <c r="G38" s="101">
        <v>277.5</v>
      </c>
      <c r="H38" s="162">
        <f t="shared" si="1"/>
        <v>305.25</v>
      </c>
    </row>
    <row r="39" spans="1:8" ht="25.5" customHeight="1" x14ac:dyDescent="0.25">
      <c r="A39" s="169">
        <v>23</v>
      </c>
      <c r="B39" s="156"/>
      <c r="C39" s="145" t="s">
        <v>165</v>
      </c>
      <c r="D39" s="8" t="s">
        <v>166</v>
      </c>
      <c r="E39" s="2" t="s">
        <v>150</v>
      </c>
      <c r="F39" s="145">
        <v>5.6649999999999999E-2</v>
      </c>
      <c r="G39" s="101">
        <v>5000</v>
      </c>
      <c r="H39" s="162">
        <f t="shared" si="1"/>
        <v>283.25</v>
      </c>
    </row>
    <row r="40" spans="1:8" ht="25.5" customHeight="1" x14ac:dyDescent="0.25">
      <c r="A40" s="169">
        <v>24</v>
      </c>
      <c r="B40" s="156"/>
      <c r="C40" s="145" t="s">
        <v>167</v>
      </c>
      <c r="D40" s="8" t="s">
        <v>168</v>
      </c>
      <c r="E40" s="2" t="s">
        <v>150</v>
      </c>
      <c r="F40" s="145">
        <v>0.02</v>
      </c>
      <c r="G40" s="101">
        <v>11500</v>
      </c>
      <c r="H40" s="162">
        <f t="shared" si="1"/>
        <v>230</v>
      </c>
    </row>
    <row r="41" spans="1:8" ht="25.5" customHeight="1" x14ac:dyDescent="0.25">
      <c r="A41" s="169">
        <v>25</v>
      </c>
      <c r="B41" s="156"/>
      <c r="C41" s="145" t="s">
        <v>169</v>
      </c>
      <c r="D41" s="8" t="s">
        <v>170</v>
      </c>
      <c r="E41" s="2" t="s">
        <v>158</v>
      </c>
      <c r="F41" s="145">
        <v>0.29099999999999998</v>
      </c>
      <c r="G41" s="101">
        <v>600</v>
      </c>
      <c r="H41" s="162">
        <f t="shared" si="1"/>
        <v>174.6</v>
      </c>
    </row>
    <row r="42" spans="1:8" x14ac:dyDescent="0.25">
      <c r="A42" s="169">
        <v>26</v>
      </c>
      <c r="B42" s="156"/>
      <c r="C42" s="145" t="s">
        <v>171</v>
      </c>
      <c r="D42" s="8" t="s">
        <v>172</v>
      </c>
      <c r="E42" s="2" t="s">
        <v>161</v>
      </c>
      <c r="F42" s="145">
        <v>0.1</v>
      </c>
      <c r="G42" s="101">
        <v>887.03</v>
      </c>
      <c r="H42" s="162">
        <f t="shared" si="1"/>
        <v>88.7</v>
      </c>
    </row>
    <row r="43" spans="1:8" ht="25.5" customHeight="1" x14ac:dyDescent="0.25">
      <c r="A43" s="169">
        <v>27</v>
      </c>
      <c r="B43" s="156"/>
      <c r="C43" s="145" t="s">
        <v>173</v>
      </c>
      <c r="D43" s="8" t="s">
        <v>174</v>
      </c>
      <c r="E43" s="2" t="s">
        <v>150</v>
      </c>
      <c r="F43" s="145">
        <v>6.9999999999999999E-4</v>
      </c>
      <c r="G43" s="101">
        <v>86162.5</v>
      </c>
      <c r="H43" s="162">
        <f t="shared" si="1"/>
        <v>60.31</v>
      </c>
    </row>
    <row r="44" spans="1:8" ht="25.5" customHeight="1" x14ac:dyDescent="0.25">
      <c r="A44" s="169">
        <v>28</v>
      </c>
      <c r="B44" s="156"/>
      <c r="C44" s="145" t="s">
        <v>175</v>
      </c>
      <c r="D44" s="8" t="s">
        <v>176</v>
      </c>
      <c r="E44" s="2" t="s">
        <v>161</v>
      </c>
      <c r="F44" s="145">
        <v>0.03</v>
      </c>
      <c r="G44" s="101">
        <v>1335.52</v>
      </c>
      <c r="H44" s="162">
        <f t="shared" si="1"/>
        <v>40.07</v>
      </c>
    </row>
    <row r="45" spans="1:8" x14ac:dyDescent="0.25">
      <c r="A45" s="169">
        <v>29</v>
      </c>
      <c r="B45" s="156"/>
      <c r="C45" s="145" t="s">
        <v>177</v>
      </c>
      <c r="D45" s="8" t="s">
        <v>178</v>
      </c>
      <c r="E45" s="2" t="s">
        <v>150</v>
      </c>
      <c r="F45" s="145">
        <v>2.398E-3</v>
      </c>
      <c r="G45" s="101">
        <v>12430</v>
      </c>
      <c r="H45" s="162">
        <f t="shared" si="1"/>
        <v>29.81</v>
      </c>
    </row>
    <row r="46" spans="1:8" s="157" customFormat="1" x14ac:dyDescent="0.25">
      <c r="A46" s="169">
        <v>30</v>
      </c>
      <c r="B46" s="156"/>
      <c r="C46" s="145" t="s">
        <v>179</v>
      </c>
      <c r="D46" s="8" t="s">
        <v>180</v>
      </c>
      <c r="E46" s="2" t="s">
        <v>164</v>
      </c>
      <c r="F46" s="145">
        <v>0.55000000000000004</v>
      </c>
      <c r="G46" s="101">
        <v>39</v>
      </c>
      <c r="H46" s="162">
        <f t="shared" si="1"/>
        <v>21.45</v>
      </c>
    </row>
    <row r="47" spans="1:8" ht="25.5" customHeight="1" x14ac:dyDescent="0.25">
      <c r="A47" s="169">
        <v>31</v>
      </c>
      <c r="B47" s="156"/>
      <c r="C47" s="145" t="s">
        <v>181</v>
      </c>
      <c r="D47" s="8" t="s">
        <v>182</v>
      </c>
      <c r="E47" s="2" t="s">
        <v>158</v>
      </c>
      <c r="F47" s="145">
        <v>3.1E-2</v>
      </c>
      <c r="G47" s="101">
        <v>684</v>
      </c>
      <c r="H47" s="162">
        <f t="shared" si="1"/>
        <v>21.2</v>
      </c>
    </row>
    <row r="48" spans="1:8" x14ac:dyDescent="0.25">
      <c r="A48" s="169">
        <v>32</v>
      </c>
      <c r="B48" s="156"/>
      <c r="C48" s="145" t="s">
        <v>183</v>
      </c>
      <c r="D48" s="8" t="s">
        <v>184</v>
      </c>
      <c r="E48" s="2" t="s">
        <v>185</v>
      </c>
      <c r="F48" s="145">
        <v>1.905</v>
      </c>
      <c r="G48" s="101">
        <v>9.0399999999999991</v>
      </c>
      <c r="H48" s="162">
        <f t="shared" si="1"/>
        <v>17.22</v>
      </c>
    </row>
    <row r="49" spans="1:8" ht="25.5" customHeight="1" x14ac:dyDescent="0.25">
      <c r="A49" s="169">
        <v>33</v>
      </c>
      <c r="B49" s="156"/>
      <c r="C49" s="145" t="s">
        <v>186</v>
      </c>
      <c r="D49" s="8" t="s">
        <v>187</v>
      </c>
      <c r="E49" s="2" t="s">
        <v>188</v>
      </c>
      <c r="F49" s="145">
        <v>14.13885</v>
      </c>
      <c r="G49" s="101">
        <v>1</v>
      </c>
      <c r="H49" s="162">
        <f t="shared" si="1"/>
        <v>14.14</v>
      </c>
    </row>
    <row r="50" spans="1:8" x14ac:dyDescent="0.25">
      <c r="A50" s="169">
        <v>34</v>
      </c>
      <c r="B50" s="156"/>
      <c r="C50" s="145" t="s">
        <v>189</v>
      </c>
      <c r="D50" s="8" t="s">
        <v>190</v>
      </c>
      <c r="E50" s="2" t="s">
        <v>185</v>
      </c>
      <c r="F50" s="145">
        <v>1.3260000000000001</v>
      </c>
      <c r="G50" s="101">
        <v>10.57</v>
      </c>
      <c r="H50" s="162">
        <f t="shared" si="1"/>
        <v>14.02</v>
      </c>
    </row>
    <row r="51" spans="1:8" x14ac:dyDescent="0.25">
      <c r="A51" s="169">
        <v>35</v>
      </c>
      <c r="B51" s="156"/>
      <c r="C51" s="145" t="s">
        <v>191</v>
      </c>
      <c r="D51" s="8" t="s">
        <v>192</v>
      </c>
      <c r="E51" s="2" t="s">
        <v>143</v>
      </c>
      <c r="F51" s="145">
        <v>0.05</v>
      </c>
      <c r="G51" s="101">
        <v>266.67</v>
      </c>
      <c r="H51" s="162">
        <f t="shared" si="1"/>
        <v>13.33</v>
      </c>
    </row>
    <row r="52" spans="1:8" x14ac:dyDescent="0.25">
      <c r="A52" s="169">
        <v>36</v>
      </c>
      <c r="B52" s="156"/>
      <c r="C52" s="145" t="s">
        <v>193</v>
      </c>
      <c r="D52" s="8" t="s">
        <v>194</v>
      </c>
      <c r="E52" s="2" t="s">
        <v>143</v>
      </c>
      <c r="F52" s="145">
        <v>11</v>
      </c>
      <c r="G52" s="101">
        <v>0.71</v>
      </c>
      <c r="H52" s="162">
        <f t="shared" si="1"/>
        <v>7.81</v>
      </c>
    </row>
    <row r="53" spans="1:8" x14ac:dyDescent="0.25">
      <c r="A53" s="169">
        <v>37</v>
      </c>
      <c r="B53" s="156"/>
      <c r="C53" s="145" t="s">
        <v>195</v>
      </c>
      <c r="D53" s="8" t="s">
        <v>196</v>
      </c>
      <c r="E53" s="2" t="s">
        <v>150</v>
      </c>
      <c r="F53" s="145">
        <v>3.7199999999999999E-4</v>
      </c>
      <c r="G53" s="101">
        <v>12430</v>
      </c>
      <c r="H53" s="162">
        <f t="shared" si="1"/>
        <v>4.62</v>
      </c>
    </row>
    <row r="54" spans="1:8" x14ac:dyDescent="0.25">
      <c r="A54" s="169">
        <v>38</v>
      </c>
      <c r="B54" s="156"/>
      <c r="C54" s="145" t="s">
        <v>197</v>
      </c>
      <c r="D54" s="8" t="s">
        <v>198</v>
      </c>
      <c r="E54" s="2" t="s">
        <v>150</v>
      </c>
      <c r="F54" s="145">
        <v>4.9799999999999996E-4</v>
      </c>
      <c r="G54" s="101">
        <v>7826.9</v>
      </c>
      <c r="H54" s="162">
        <f t="shared" si="1"/>
        <v>3.9</v>
      </c>
    </row>
    <row r="55" spans="1:8" x14ac:dyDescent="0.25">
      <c r="A55" s="169">
        <v>39</v>
      </c>
      <c r="B55" s="156"/>
      <c r="C55" s="145" t="s">
        <v>199</v>
      </c>
      <c r="D55" s="8" t="s">
        <v>200</v>
      </c>
      <c r="E55" s="2" t="s">
        <v>201</v>
      </c>
      <c r="F55" s="145">
        <v>2.5260000000000001E-2</v>
      </c>
      <c r="G55" s="101">
        <v>120</v>
      </c>
      <c r="H55" s="162">
        <f t="shared" si="1"/>
        <v>3.03</v>
      </c>
    </row>
    <row r="56" spans="1:8" x14ac:dyDescent="0.25">
      <c r="A56" s="169">
        <v>40</v>
      </c>
      <c r="B56" s="156"/>
      <c r="C56" s="145" t="s">
        <v>202</v>
      </c>
      <c r="D56" s="8" t="s">
        <v>203</v>
      </c>
      <c r="E56" s="2" t="s">
        <v>204</v>
      </c>
      <c r="F56" s="145">
        <v>1.0999999999999999E-2</v>
      </c>
      <c r="G56" s="101">
        <v>270</v>
      </c>
      <c r="H56" s="162">
        <f t="shared" si="1"/>
        <v>2.97</v>
      </c>
    </row>
    <row r="57" spans="1:8" x14ac:dyDescent="0.25">
      <c r="A57" s="169">
        <v>41</v>
      </c>
      <c r="B57" s="156"/>
      <c r="C57" s="145" t="s">
        <v>205</v>
      </c>
      <c r="D57" s="8" t="s">
        <v>206</v>
      </c>
      <c r="E57" s="2" t="s">
        <v>150</v>
      </c>
      <c r="F57" s="145">
        <v>2.9999999999999997E-4</v>
      </c>
      <c r="G57" s="101">
        <v>9424</v>
      </c>
      <c r="H57" s="162">
        <f t="shared" si="1"/>
        <v>2.83</v>
      </c>
    </row>
    <row r="58" spans="1:8" ht="25.5" customHeight="1" x14ac:dyDescent="0.25">
      <c r="A58" s="169">
        <v>42</v>
      </c>
      <c r="B58" s="156"/>
      <c r="C58" s="145" t="s">
        <v>207</v>
      </c>
      <c r="D58" s="8" t="s">
        <v>208</v>
      </c>
      <c r="E58" s="2" t="s">
        <v>158</v>
      </c>
      <c r="F58" s="145">
        <v>5.0000000000000001E-3</v>
      </c>
      <c r="G58" s="101">
        <v>558.33000000000004</v>
      </c>
      <c r="H58" s="162">
        <f t="shared" si="1"/>
        <v>2.79</v>
      </c>
    </row>
    <row r="59" spans="1:8" ht="25.5" customHeight="1" x14ac:dyDescent="0.25">
      <c r="A59" s="169">
        <v>43</v>
      </c>
      <c r="B59" s="156"/>
      <c r="C59" s="145" t="s">
        <v>209</v>
      </c>
      <c r="D59" s="8" t="s">
        <v>210</v>
      </c>
      <c r="E59" s="2" t="s">
        <v>204</v>
      </c>
      <c r="F59" s="145">
        <v>1.06E-3</v>
      </c>
      <c r="G59" s="101">
        <v>1740.2</v>
      </c>
      <c r="H59" s="162">
        <f t="shared" si="1"/>
        <v>1.84</v>
      </c>
    </row>
    <row r="60" spans="1:8" x14ac:dyDescent="0.25">
      <c r="A60" s="169">
        <v>44</v>
      </c>
      <c r="B60" s="156"/>
      <c r="C60" s="145" t="s">
        <v>211</v>
      </c>
      <c r="D60" s="8" t="s">
        <v>212</v>
      </c>
      <c r="E60" s="2" t="s">
        <v>185</v>
      </c>
      <c r="F60" s="145">
        <v>0.03</v>
      </c>
      <c r="G60" s="101">
        <v>28.6</v>
      </c>
      <c r="H60" s="162">
        <f t="shared" si="1"/>
        <v>0.86</v>
      </c>
    </row>
    <row r="61" spans="1:8" s="157" customFormat="1" x14ac:dyDescent="0.25">
      <c r="A61" s="169">
        <v>45</v>
      </c>
      <c r="B61" s="156"/>
      <c r="C61" s="145" t="s">
        <v>213</v>
      </c>
      <c r="D61" s="8" t="s">
        <v>214</v>
      </c>
      <c r="E61" s="2" t="s">
        <v>215</v>
      </c>
      <c r="F61" s="145">
        <v>4.0000000000000001E-3</v>
      </c>
      <c r="G61" s="101">
        <v>110</v>
      </c>
      <c r="H61" s="162">
        <f t="shared" si="1"/>
        <v>0.44</v>
      </c>
    </row>
    <row r="62" spans="1:8" ht="25.5" customHeight="1" x14ac:dyDescent="0.25">
      <c r="A62" s="169">
        <v>46</v>
      </c>
      <c r="B62" s="156"/>
      <c r="C62" s="145" t="s">
        <v>216</v>
      </c>
      <c r="D62" s="8" t="s">
        <v>217</v>
      </c>
      <c r="E62" s="2" t="s">
        <v>150</v>
      </c>
      <c r="F62" s="145">
        <v>8.9999999999999998E-4</v>
      </c>
      <c r="G62" s="101">
        <v>480</v>
      </c>
      <c r="H62" s="162">
        <f t="shared" si="1"/>
        <v>0.43</v>
      </c>
    </row>
    <row r="63" spans="1:8" x14ac:dyDescent="0.25">
      <c r="A63" s="169">
        <v>47</v>
      </c>
      <c r="B63" s="156"/>
      <c r="C63" s="145" t="s">
        <v>218</v>
      </c>
      <c r="D63" s="8" t="s">
        <v>219</v>
      </c>
      <c r="E63" s="2" t="s">
        <v>185</v>
      </c>
      <c r="F63" s="145">
        <v>0.06</v>
      </c>
      <c r="G63" s="101">
        <v>6.4</v>
      </c>
      <c r="H63" s="162">
        <f t="shared" si="1"/>
        <v>0.38</v>
      </c>
    </row>
    <row r="64" spans="1:8" x14ac:dyDescent="0.25">
      <c r="A64" s="169">
        <v>48</v>
      </c>
      <c r="B64" s="156"/>
      <c r="C64" s="145" t="s">
        <v>220</v>
      </c>
      <c r="D64" s="8" t="s">
        <v>221</v>
      </c>
      <c r="E64" s="2" t="s">
        <v>158</v>
      </c>
      <c r="F64" s="145">
        <v>3.1E-4</v>
      </c>
      <c r="G64" s="101">
        <v>463.3</v>
      </c>
      <c r="H64" s="162">
        <f t="shared" si="1"/>
        <v>0.14000000000000001</v>
      </c>
    </row>
    <row r="65" spans="1:8" ht="38.25" customHeight="1" x14ac:dyDescent="0.25">
      <c r="A65" s="169">
        <v>49</v>
      </c>
      <c r="B65" s="156"/>
      <c r="C65" s="145" t="s">
        <v>222</v>
      </c>
      <c r="D65" s="8" t="s">
        <v>223</v>
      </c>
      <c r="E65" s="2" t="s">
        <v>158</v>
      </c>
      <c r="F65" s="145">
        <v>7.5000000000000002E-4</v>
      </c>
      <c r="G65" s="101">
        <v>55.26</v>
      </c>
      <c r="H65" s="162">
        <f t="shared" si="1"/>
        <v>0.04</v>
      </c>
    </row>
    <row r="68" spans="1:8" x14ac:dyDescent="0.25">
      <c r="B68" s="116" t="s">
        <v>93</v>
      </c>
    </row>
    <row r="69" spans="1:8" x14ac:dyDescent="0.25">
      <c r="B69" s="153" t="s">
        <v>76</v>
      </c>
    </row>
    <row r="71" spans="1:8" x14ac:dyDescent="0.25">
      <c r="B71" s="116" t="s">
        <v>94</v>
      </c>
    </row>
    <row r="72" spans="1:8" x14ac:dyDescent="0.25">
      <c r="B72" s="153" t="s">
        <v>78</v>
      </c>
    </row>
  </sheetData>
  <mergeCells count="16">
    <mergeCell ref="A17:E17"/>
    <mergeCell ref="A32:E32"/>
    <mergeCell ref="A12:E12"/>
    <mergeCell ref="A19:E19"/>
    <mergeCell ref="D9:D10"/>
    <mergeCell ref="E9:E10"/>
    <mergeCell ref="A29:E2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conditionalFormatting sqref="C20:C28">
    <cfRule type="duplicateValues" dxfId="5" priority="1"/>
  </conditionalFormatting>
  <conditionalFormatting sqref="C33:C65">
    <cfRule type="duplicateValues" dxfId="4" priority="2"/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K50"/>
  <sheetViews>
    <sheetView tabSelected="1" view="pageBreakPreview" topLeftCell="A23" workbookViewId="0">
      <selection activeCell="J17" sqref="J17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37" x14ac:dyDescent="0.25">
      <c r="B1" s="4"/>
      <c r="C1" s="4"/>
      <c r="D1" s="4"/>
      <c r="E1" s="4"/>
    </row>
    <row r="2" spans="2:37" x14ac:dyDescent="0.25">
      <c r="B2" s="4"/>
      <c r="C2" s="4"/>
      <c r="D2" s="4"/>
      <c r="E2" s="50" t="s">
        <v>224</v>
      </c>
    </row>
    <row r="3" spans="2:37" x14ac:dyDescent="0.25">
      <c r="B3" s="4"/>
      <c r="C3" s="4"/>
      <c r="D3" s="4"/>
      <c r="E3" s="4"/>
    </row>
    <row r="4" spans="2:37" x14ac:dyDescent="0.25">
      <c r="B4" s="4"/>
      <c r="C4" s="4"/>
      <c r="D4" s="4"/>
      <c r="E4" s="4"/>
    </row>
    <row r="5" spans="2:37" x14ac:dyDescent="0.25">
      <c r="B5" s="235" t="s">
        <v>225</v>
      </c>
      <c r="C5" s="235"/>
      <c r="D5" s="235"/>
      <c r="E5" s="235"/>
    </row>
    <row r="6" spans="2:37" x14ac:dyDescent="0.25">
      <c r="B6" s="164"/>
      <c r="C6" s="4"/>
      <c r="D6" s="4"/>
      <c r="E6" s="4"/>
    </row>
    <row r="7" spans="2:37" ht="25.5" customHeight="1" x14ac:dyDescent="0.25">
      <c r="B7" s="260" t="s">
        <v>48</v>
      </c>
      <c r="C7" s="260"/>
      <c r="D7" s="260"/>
      <c r="E7" s="260"/>
    </row>
    <row r="8" spans="2:37" x14ac:dyDescent="0.25">
      <c r="B8" s="261" t="s">
        <v>50</v>
      </c>
      <c r="C8" s="261"/>
      <c r="D8" s="261"/>
      <c r="E8" s="261"/>
    </row>
    <row r="9" spans="2:37" x14ac:dyDescent="0.25">
      <c r="B9" s="164"/>
      <c r="C9" s="4"/>
      <c r="D9" s="4"/>
      <c r="E9" s="4"/>
    </row>
    <row r="10" spans="2:37" ht="51" customHeight="1" x14ac:dyDescent="0.25">
      <c r="B10" s="2" t="s">
        <v>226</v>
      </c>
      <c r="C10" s="2" t="s">
        <v>227</v>
      </c>
      <c r="D10" s="2" t="s">
        <v>228</v>
      </c>
      <c r="E10" s="2" t="s">
        <v>229</v>
      </c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</row>
    <row r="11" spans="2:37" x14ac:dyDescent="0.25">
      <c r="B11" s="24" t="s">
        <v>230</v>
      </c>
      <c r="C11" s="162">
        <f>'Прил.5 Расчет СМР и ОБ'!J14</f>
        <v>41390.06</v>
      </c>
      <c r="D11" s="26">
        <f t="shared" ref="D11:D18" si="0">C11/$C$24</f>
        <v>0.17813003585663337</v>
      </c>
      <c r="E11" s="26">
        <f t="shared" ref="E11:E18" si="1">C11/$C$40</f>
        <v>0.1421840014958326</v>
      </c>
    </row>
    <row r="12" spans="2:37" x14ac:dyDescent="0.25">
      <c r="B12" s="24" t="s">
        <v>231</v>
      </c>
      <c r="C12" s="162">
        <f>'Прил.5 Расчет СМР и ОБ'!J22</f>
        <v>14873.58</v>
      </c>
      <c r="D12" s="26">
        <f t="shared" si="0"/>
        <v>6.401129495140874E-2</v>
      </c>
      <c r="E12" s="26">
        <f t="shared" si="1"/>
        <v>5.1094033711678262E-2</v>
      </c>
    </row>
    <row r="13" spans="2:37" x14ac:dyDescent="0.25">
      <c r="B13" s="24" t="s">
        <v>232</v>
      </c>
      <c r="C13" s="162">
        <f>'Прил.5 Расчет СМР и ОБ'!J29</f>
        <v>2294.4500000000003</v>
      </c>
      <c r="D13" s="26">
        <f t="shared" si="0"/>
        <v>9.8746042110413098E-3</v>
      </c>
      <c r="E13" s="26">
        <f t="shared" si="1"/>
        <v>7.8819427232556111E-3</v>
      </c>
    </row>
    <row r="14" spans="2:37" x14ac:dyDescent="0.25">
      <c r="B14" s="24" t="s">
        <v>233</v>
      </c>
      <c r="C14" s="162">
        <f>C13+C12</f>
        <v>17168.03</v>
      </c>
      <c r="D14" s="26">
        <f t="shared" si="0"/>
        <v>7.3885899162450044E-2</v>
      </c>
      <c r="E14" s="26">
        <f t="shared" si="1"/>
        <v>5.8975976434933866E-2</v>
      </c>
    </row>
    <row r="15" spans="2:37" x14ac:dyDescent="0.25">
      <c r="B15" s="24" t="s">
        <v>234</v>
      </c>
      <c r="C15" s="162">
        <f>'Прил.5 Расчет СМР и ОБ'!J16</f>
        <v>3893.06</v>
      </c>
      <c r="D15" s="26">
        <f t="shared" si="0"/>
        <v>1.6754527956519636E-2</v>
      </c>
      <c r="E15" s="26">
        <f t="shared" si="1"/>
        <v>1.3373521296257266E-2</v>
      </c>
    </row>
    <row r="16" spans="2:37" x14ac:dyDescent="0.25">
      <c r="B16" s="24" t="s">
        <v>235</v>
      </c>
      <c r="C16" s="162">
        <f>'Прил.5 Расчет СМР и ОБ'!J46</f>
        <v>85549.049999999988</v>
      </c>
      <c r="D16" s="26">
        <f t="shared" si="0"/>
        <v>0.36817669131189756</v>
      </c>
      <c r="E16" s="26">
        <f t="shared" si="1"/>
        <v>0.29387988935428111</v>
      </c>
    </row>
    <row r="17" spans="2:6" x14ac:dyDescent="0.25">
      <c r="B17" s="24" t="s">
        <v>236</v>
      </c>
      <c r="C17" s="162">
        <f>'Прил.5 Расчет СМР и ОБ'!J75</f>
        <v>10817.409999999996</v>
      </c>
      <c r="D17" s="26">
        <f t="shared" si="0"/>
        <v>4.6554791927721384E-2</v>
      </c>
      <c r="E17" s="26">
        <f t="shared" si="1"/>
        <v>3.7160193525233691E-2</v>
      </c>
    </row>
    <row r="18" spans="2:6" x14ac:dyDescent="0.25">
      <c r="B18" s="24" t="s">
        <v>237</v>
      </c>
      <c r="C18" s="162">
        <f>C17+C16</f>
        <v>96366.459999999992</v>
      </c>
      <c r="D18" s="26">
        <f t="shared" si="0"/>
        <v>0.414731483239619</v>
      </c>
      <c r="E18" s="26">
        <f t="shared" si="1"/>
        <v>0.33104008287951481</v>
      </c>
    </row>
    <row r="19" spans="2:6" x14ac:dyDescent="0.25">
      <c r="B19" s="24" t="s">
        <v>238</v>
      </c>
      <c r="C19" s="162">
        <f>C18+C14+C11</f>
        <v>154924.54999999999</v>
      </c>
      <c r="D19" s="26"/>
      <c r="E19" s="24"/>
    </row>
    <row r="20" spans="2:6" x14ac:dyDescent="0.25">
      <c r="B20" s="24" t="s">
        <v>239</v>
      </c>
      <c r="C20" s="162">
        <f>ROUND(C21*(C11+C15),2)</f>
        <v>31245.35</v>
      </c>
      <c r="D20" s="26">
        <f>C20/$C$24</f>
        <v>0.13447033698074029</v>
      </c>
      <c r="E20" s="26">
        <f>C20/$C$40</f>
        <v>0.10733468110792332</v>
      </c>
    </row>
    <row r="21" spans="2:6" x14ac:dyDescent="0.25">
      <c r="B21" s="24" t="s">
        <v>240</v>
      </c>
      <c r="C21" s="27">
        <f>'Прил.5 Расчет СМР и ОБ'!D79</f>
        <v>0.69</v>
      </c>
      <c r="D21" s="26"/>
      <c r="E21" s="24"/>
    </row>
    <row r="22" spans="2:6" x14ac:dyDescent="0.25">
      <c r="B22" s="24" t="s">
        <v>241</v>
      </c>
      <c r="C22" s="162">
        <f>ROUND(C23*(C11+C15),2)</f>
        <v>46188.78</v>
      </c>
      <c r="D22" s="26">
        <f>C22/$C$24</f>
        <v>0.19878224476055725</v>
      </c>
      <c r="E22" s="26">
        <f>C22/$C$40</f>
        <v>0.15866866500340138</v>
      </c>
    </row>
    <row r="23" spans="2:6" x14ac:dyDescent="0.25">
      <c r="B23" s="24" t="s">
        <v>242</v>
      </c>
      <c r="C23" s="27">
        <f>'Прил.5 Расчет СМР и ОБ'!D78</f>
        <v>1.02</v>
      </c>
      <c r="D23" s="26"/>
      <c r="E23" s="24"/>
    </row>
    <row r="24" spans="2:6" x14ac:dyDescent="0.25">
      <c r="B24" s="24" t="s">
        <v>243</v>
      </c>
      <c r="C24" s="162">
        <f>C19+C20+C22</f>
        <v>232358.68</v>
      </c>
      <c r="D24" s="26">
        <f>C24/$C$24</f>
        <v>1</v>
      </c>
      <c r="E24" s="26">
        <f>C24/$C$40</f>
        <v>0.79820340692160596</v>
      </c>
    </row>
    <row r="25" spans="2:6" ht="25.5" customHeight="1" x14ac:dyDescent="0.25">
      <c r="B25" s="24" t="s">
        <v>244</v>
      </c>
      <c r="C25" s="162">
        <f>'Прил.5 Расчет СМР и ОБ'!J37</f>
        <v>29670.720000000001</v>
      </c>
      <c r="D25" s="26"/>
      <c r="E25" s="26">
        <f>C25/$C$40</f>
        <v>0.10192547913345451</v>
      </c>
    </row>
    <row r="26" spans="2:6" ht="25.5" customHeight="1" x14ac:dyDescent="0.25">
      <c r="B26" s="24" t="s">
        <v>245</v>
      </c>
      <c r="C26" s="162">
        <f>'Прил.5 Расчет СМР и ОБ'!J38</f>
        <v>29670.720000000001</v>
      </c>
      <c r="D26" s="26"/>
      <c r="E26" s="26">
        <f>C26/$C$40</f>
        <v>0.10192547913345451</v>
      </c>
    </row>
    <row r="27" spans="2:6" x14ac:dyDescent="0.25">
      <c r="B27" s="24" t="s">
        <v>246</v>
      </c>
      <c r="C27" s="25">
        <f>C24+C25</f>
        <v>262029.4</v>
      </c>
      <c r="D27" s="26"/>
      <c r="E27" s="26">
        <f>C27/$C$40</f>
        <v>0.90012888605506047</v>
      </c>
    </row>
    <row r="28" spans="2:6" ht="33" customHeight="1" x14ac:dyDescent="0.25">
      <c r="B28" s="24" t="s">
        <v>247</v>
      </c>
      <c r="C28" s="24"/>
      <c r="D28" s="24"/>
      <c r="E28" s="24"/>
      <c r="F28" s="163"/>
    </row>
    <row r="29" spans="2:6" ht="25.5" customHeight="1" x14ac:dyDescent="0.25">
      <c r="B29" s="24" t="s">
        <v>248</v>
      </c>
      <c r="C29" s="25">
        <f>ROUND(C24*3.9%,2)</f>
        <v>9061.99</v>
      </c>
      <c r="D29" s="24"/>
      <c r="E29" s="26">
        <f t="shared" ref="E29:E38" si="2">C29/$C$40</f>
        <v>3.112993795406965E-2</v>
      </c>
    </row>
    <row r="30" spans="2:6" ht="38.25" customHeight="1" x14ac:dyDescent="0.25">
      <c r="B30" s="24" t="s">
        <v>249</v>
      </c>
      <c r="C30" s="25">
        <f>ROUND((C24+C29)*2.1%,2)</f>
        <v>5069.83</v>
      </c>
      <c r="D30" s="24"/>
      <c r="E30" s="26">
        <f t="shared" si="2"/>
        <v>1.7415986261039896E-2</v>
      </c>
      <c r="F30" s="163"/>
    </row>
    <row r="31" spans="2:6" x14ac:dyDescent="0.25">
      <c r="B31" s="24" t="s">
        <v>250</v>
      </c>
      <c r="C31" s="25">
        <v>0</v>
      </c>
      <c r="D31" s="24"/>
      <c r="E31" s="26">
        <f t="shared" si="2"/>
        <v>0</v>
      </c>
    </row>
    <row r="32" spans="2:6" ht="25.5" customHeight="1" x14ac:dyDescent="0.25">
      <c r="B32" s="24" t="s">
        <v>251</v>
      </c>
      <c r="C32" s="25">
        <f>ROUND(C27*0%,2)</f>
        <v>0</v>
      </c>
      <c r="D32" s="24"/>
      <c r="E32" s="26">
        <f t="shared" si="2"/>
        <v>0</v>
      </c>
    </row>
    <row r="33" spans="2:12" ht="25.5" customHeight="1" x14ac:dyDescent="0.25">
      <c r="B33" s="24" t="s">
        <v>252</v>
      </c>
      <c r="C33" s="25">
        <f>ROUND(C28*0%,2)</f>
        <v>0</v>
      </c>
      <c r="D33" s="24"/>
      <c r="E33" s="26">
        <f t="shared" si="2"/>
        <v>0</v>
      </c>
    </row>
    <row r="34" spans="2:12" ht="51" customHeight="1" x14ac:dyDescent="0.25">
      <c r="B34" s="24" t="s">
        <v>253</v>
      </c>
      <c r="C34" s="25">
        <f>ROUND(C29*0%,2)</f>
        <v>0</v>
      </c>
      <c r="D34" s="24"/>
      <c r="E34" s="26">
        <f t="shared" si="2"/>
        <v>0</v>
      </c>
      <c r="H34" s="166"/>
    </row>
    <row r="35" spans="2:12" ht="76.7" customHeight="1" x14ac:dyDescent="0.25">
      <c r="B35" s="24" t="s">
        <v>254</v>
      </c>
      <c r="C35" s="25">
        <f>ROUND(C30*0%,2)</f>
        <v>0</v>
      </c>
      <c r="D35" s="24"/>
      <c r="E35" s="26">
        <f t="shared" si="2"/>
        <v>0</v>
      </c>
    </row>
    <row r="36" spans="2:12" ht="25.5" customHeight="1" x14ac:dyDescent="0.25">
      <c r="B36" s="24" t="s">
        <v>255</v>
      </c>
      <c r="C36" s="25">
        <f>ROUND((C27+C32+C33+C34+C35+C29+C31+C30)*2.14%,2)</f>
        <v>5909.85</v>
      </c>
      <c r="D36" s="24"/>
      <c r="E36" s="26">
        <f t="shared" si="2"/>
        <v>2.0301640568777778E-2</v>
      </c>
      <c r="L36" s="163"/>
    </row>
    <row r="37" spans="2:12" x14ac:dyDescent="0.25">
      <c r="B37" s="24" t="s">
        <v>256</v>
      </c>
      <c r="C37" s="25">
        <f>ROUND((C27+C32+C33+C34+C35+C29+C31+C30)*0.2%,2)</f>
        <v>552.32000000000005</v>
      </c>
      <c r="D37" s="24"/>
      <c r="E37" s="26">
        <f t="shared" si="2"/>
        <v>1.8973412386012068E-3</v>
      </c>
      <c r="L37" s="163"/>
    </row>
    <row r="38" spans="2:12" ht="38.25" customHeight="1" x14ac:dyDescent="0.25">
      <c r="B38" s="24" t="s">
        <v>257</v>
      </c>
      <c r="C38" s="162">
        <f>C27+C32+C33+C34+C35+C29+C31+C30+C36+C37</f>
        <v>282623.39</v>
      </c>
      <c r="D38" s="24"/>
      <c r="E38" s="26">
        <f t="shared" si="2"/>
        <v>0.97087379207754909</v>
      </c>
    </row>
    <row r="39" spans="2:12" ht="13.7" customHeight="1" x14ac:dyDescent="0.25">
      <c r="B39" s="24" t="s">
        <v>258</v>
      </c>
      <c r="C39" s="162">
        <f>ROUND(C38*3%,2)</f>
        <v>8478.7000000000007</v>
      </c>
      <c r="D39" s="24"/>
      <c r="E39" s="26">
        <f>C39/$C$38</f>
        <v>2.9999993984928142E-2</v>
      </c>
    </row>
    <row r="40" spans="2:12" x14ac:dyDescent="0.25">
      <c r="B40" s="24" t="s">
        <v>259</v>
      </c>
      <c r="C40" s="162">
        <f>C39+C38</f>
        <v>291102.09000000003</v>
      </c>
      <c r="D40" s="24"/>
      <c r="E40" s="26">
        <f>C40/$C$40</f>
        <v>1</v>
      </c>
    </row>
    <row r="41" spans="2:12" x14ac:dyDescent="0.25">
      <c r="B41" s="24" t="s">
        <v>260</v>
      </c>
      <c r="C41" s="162">
        <f>C40/'Прил.5 Расчет СМР и ОБ'!E82</f>
        <v>291102.09000000003</v>
      </c>
      <c r="D41" s="24"/>
      <c r="E41" s="24"/>
    </row>
    <row r="42" spans="2:12" x14ac:dyDescent="0.25">
      <c r="B42" s="161"/>
      <c r="C42" s="4"/>
      <c r="D42" s="4"/>
      <c r="E42" s="4"/>
    </row>
    <row r="43" spans="2:12" x14ac:dyDescent="0.25">
      <c r="B43" s="161" t="s">
        <v>261</v>
      </c>
      <c r="C43" s="4"/>
      <c r="D43" s="4"/>
      <c r="E43" s="4"/>
    </row>
    <row r="44" spans="2:12" x14ac:dyDescent="0.25">
      <c r="B44" s="161" t="s">
        <v>262</v>
      </c>
      <c r="C44" s="4"/>
      <c r="D44" s="4"/>
      <c r="E44" s="4"/>
    </row>
    <row r="45" spans="2:12" x14ac:dyDescent="0.25">
      <c r="B45" s="161"/>
      <c r="C45" s="4"/>
      <c r="D45" s="4"/>
      <c r="E45" s="4"/>
    </row>
    <row r="46" spans="2:12" x14ac:dyDescent="0.25">
      <c r="B46" s="161" t="s">
        <v>263</v>
      </c>
      <c r="C46" s="4"/>
      <c r="D46" s="4"/>
      <c r="E46" s="4"/>
    </row>
    <row r="47" spans="2:12" x14ac:dyDescent="0.25">
      <c r="B47" s="261" t="s">
        <v>264</v>
      </c>
      <c r="C47" s="261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8"/>
  <sheetViews>
    <sheetView view="pageBreakPreview" topLeftCell="A10" zoomScale="70" zoomScaleSheetLayoutView="70" workbookViewId="0">
      <selection activeCell="X42" sqref="X4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87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6" t="s">
        <v>265</v>
      </c>
      <c r="I2" s="276"/>
      <c r="J2" s="27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5" t="s">
        <v>266</v>
      </c>
      <c r="B4" s="235"/>
      <c r="C4" s="235"/>
      <c r="D4" s="235"/>
      <c r="E4" s="235"/>
      <c r="F4" s="235"/>
      <c r="G4" s="235"/>
      <c r="H4" s="235"/>
      <c r="I4" s="235"/>
      <c r="J4" s="235"/>
    </row>
    <row r="5" spans="1:14" s="4" customFormat="1" ht="12.75" customHeight="1" x14ac:dyDescent="0.2">
      <c r="A5" s="132"/>
      <c r="B5" s="132"/>
      <c r="C5" s="33"/>
      <c r="D5" s="132"/>
      <c r="E5" s="132"/>
      <c r="F5" s="132"/>
      <c r="G5" s="132"/>
      <c r="H5" s="132"/>
      <c r="I5" s="132"/>
      <c r="J5" s="132"/>
    </row>
    <row r="6" spans="1:14" s="4" customFormat="1" ht="12.75" customHeight="1" x14ac:dyDescent="0.2">
      <c r="A6" s="147" t="s">
        <v>267</v>
      </c>
      <c r="B6" s="146"/>
      <c r="C6" s="146"/>
      <c r="D6" s="280" t="s">
        <v>268</v>
      </c>
      <c r="E6" s="280"/>
      <c r="F6" s="280"/>
      <c r="G6" s="280"/>
      <c r="H6" s="280"/>
      <c r="I6" s="280"/>
      <c r="J6" s="280"/>
    </row>
    <row r="7" spans="1:14" s="4" customFormat="1" ht="12.75" customHeight="1" x14ac:dyDescent="0.2">
      <c r="A7" s="238" t="s">
        <v>50</v>
      </c>
      <c r="B7" s="260"/>
      <c r="C7" s="260"/>
      <c r="D7" s="260"/>
      <c r="E7" s="260"/>
      <c r="F7" s="260"/>
      <c r="G7" s="260"/>
      <c r="H7" s="260"/>
      <c r="I7" s="47"/>
      <c r="J7" s="47"/>
    </row>
    <row r="8" spans="1:14" s="4" customFormat="1" ht="13.7" customHeight="1" x14ac:dyDescent="0.2">
      <c r="A8" s="238"/>
      <c r="B8" s="260"/>
      <c r="C8" s="260"/>
      <c r="D8" s="260"/>
      <c r="E8" s="260"/>
      <c r="F8" s="260"/>
      <c r="G8" s="260"/>
      <c r="H8" s="260"/>
    </row>
    <row r="9" spans="1:14" ht="27" customHeight="1" x14ac:dyDescent="0.25">
      <c r="A9" s="268" t="s">
        <v>13</v>
      </c>
      <c r="B9" s="268" t="s">
        <v>101</v>
      </c>
      <c r="C9" s="268" t="s">
        <v>226</v>
      </c>
      <c r="D9" s="268" t="s">
        <v>103</v>
      </c>
      <c r="E9" s="263" t="s">
        <v>269</v>
      </c>
      <c r="F9" s="277" t="s">
        <v>105</v>
      </c>
      <c r="G9" s="278"/>
      <c r="H9" s="263" t="s">
        <v>270</v>
      </c>
      <c r="I9" s="277" t="s">
        <v>271</v>
      </c>
      <c r="J9" s="278"/>
      <c r="M9" s="12"/>
      <c r="N9" s="12"/>
    </row>
    <row r="10" spans="1:14" ht="28.5" customHeight="1" x14ac:dyDescent="0.25">
      <c r="A10" s="268"/>
      <c r="B10" s="268"/>
      <c r="C10" s="268"/>
      <c r="D10" s="268"/>
      <c r="E10" s="279"/>
      <c r="F10" s="2" t="s">
        <v>272</v>
      </c>
      <c r="G10" s="2" t="s">
        <v>107</v>
      </c>
      <c r="H10" s="279"/>
      <c r="I10" s="2" t="s">
        <v>272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3">
        <v>9</v>
      </c>
      <c r="J11" s="133">
        <v>10</v>
      </c>
      <c r="M11" s="12"/>
      <c r="N11" s="12"/>
    </row>
    <row r="12" spans="1:14" x14ac:dyDescent="0.25">
      <c r="A12" s="2"/>
      <c r="B12" s="255" t="s">
        <v>273</v>
      </c>
      <c r="C12" s="267"/>
      <c r="D12" s="268"/>
      <c r="E12" s="269"/>
      <c r="F12" s="270"/>
      <c r="G12" s="270"/>
      <c r="H12" s="271"/>
      <c r="I12" s="136"/>
      <c r="J12" s="136"/>
    </row>
    <row r="13" spans="1:14" ht="25.5" customHeight="1" x14ac:dyDescent="0.25">
      <c r="A13" s="2">
        <v>1</v>
      </c>
      <c r="B13" s="145" t="s">
        <v>117</v>
      </c>
      <c r="C13" s="8" t="s">
        <v>274</v>
      </c>
      <c r="D13" s="2" t="s">
        <v>275</v>
      </c>
      <c r="E13" s="137">
        <f>G13/F13</f>
        <v>93.137214137214144</v>
      </c>
      <c r="F13" s="30">
        <v>9.6199999999999992</v>
      </c>
      <c r="G13" s="30">
        <f>Прил.3!H12</f>
        <v>895.98</v>
      </c>
      <c r="H13" s="139">
        <f>G13/G14</f>
        <v>1</v>
      </c>
      <c r="I13" s="30">
        <f>ФОТр.тек.!E13</f>
        <v>444.39870291576</v>
      </c>
      <c r="J13" s="30">
        <f>ROUND(I13*E13,2)</f>
        <v>41390.06</v>
      </c>
    </row>
    <row r="14" spans="1:14" s="12" customFormat="1" ht="25.5" customHeight="1" x14ac:dyDescent="0.2">
      <c r="A14" s="2"/>
      <c r="B14" s="2"/>
      <c r="C14" s="102" t="s">
        <v>276</v>
      </c>
      <c r="D14" s="2" t="s">
        <v>275</v>
      </c>
      <c r="E14" s="137">
        <f>SUM(E13:E13)</f>
        <v>93.137214137214144</v>
      </c>
      <c r="F14" s="30"/>
      <c r="G14" s="30">
        <f>SUM(G13:G13)</f>
        <v>895.98</v>
      </c>
      <c r="H14" s="135">
        <v>1</v>
      </c>
      <c r="I14" s="136"/>
      <c r="J14" s="30">
        <f>SUM(J13:J13)</f>
        <v>41390.06</v>
      </c>
    </row>
    <row r="15" spans="1:14" s="12" customFormat="1" ht="14.25" customHeight="1" x14ac:dyDescent="0.2">
      <c r="A15" s="2"/>
      <c r="B15" s="267" t="s">
        <v>119</v>
      </c>
      <c r="C15" s="267"/>
      <c r="D15" s="268"/>
      <c r="E15" s="269"/>
      <c r="F15" s="270"/>
      <c r="G15" s="270"/>
      <c r="H15" s="271"/>
      <c r="I15" s="136"/>
      <c r="J15" s="136"/>
    </row>
    <row r="16" spans="1:14" s="12" customFormat="1" ht="14.25" customHeight="1" x14ac:dyDescent="0.2">
      <c r="A16" s="2">
        <v>2</v>
      </c>
      <c r="B16" s="2">
        <v>2</v>
      </c>
      <c r="C16" s="8" t="s">
        <v>119</v>
      </c>
      <c r="D16" s="2" t="s">
        <v>275</v>
      </c>
      <c r="E16" s="137">
        <v>6.3554000000000004</v>
      </c>
      <c r="F16" s="195">
        <f>G16/E16</f>
        <v>13.830758095477862</v>
      </c>
      <c r="G16" s="30">
        <f>Прил.3!H17</f>
        <v>87.9</v>
      </c>
      <c r="H16" s="135">
        <v>1</v>
      </c>
      <c r="I16" s="30">
        <f>ROUND(F16*Прил.10!D11,2)</f>
        <v>612.55999999999995</v>
      </c>
      <c r="J16" s="30">
        <f>ROUND(I16*E16,2)</f>
        <v>3893.06</v>
      </c>
    </row>
    <row r="17" spans="1:10" s="12" customFormat="1" ht="14.25" customHeight="1" x14ac:dyDescent="0.2">
      <c r="A17" s="2"/>
      <c r="B17" s="255" t="s">
        <v>121</v>
      </c>
      <c r="C17" s="267"/>
      <c r="D17" s="268"/>
      <c r="E17" s="269"/>
      <c r="F17" s="270"/>
      <c r="G17" s="270"/>
      <c r="H17" s="271"/>
      <c r="I17" s="136"/>
      <c r="J17" s="136"/>
    </row>
    <row r="18" spans="1:10" s="12" customFormat="1" ht="14.25" customHeight="1" x14ac:dyDescent="0.2">
      <c r="A18" s="2"/>
      <c r="B18" s="267" t="s">
        <v>277</v>
      </c>
      <c r="C18" s="267"/>
      <c r="D18" s="268"/>
      <c r="E18" s="269"/>
      <c r="F18" s="270"/>
      <c r="G18" s="270"/>
      <c r="H18" s="271"/>
      <c r="I18" s="136"/>
      <c r="J18" s="136"/>
    </row>
    <row r="19" spans="1:10" s="12" customFormat="1" ht="25.5" customHeight="1" x14ac:dyDescent="0.2">
      <c r="A19" s="2">
        <v>3</v>
      </c>
      <c r="B19" s="145" t="s">
        <v>122</v>
      </c>
      <c r="C19" s="8" t="s">
        <v>123</v>
      </c>
      <c r="D19" s="2" t="s">
        <v>124</v>
      </c>
      <c r="E19" s="143">
        <v>2.48</v>
      </c>
      <c r="F19" s="101">
        <v>197.01</v>
      </c>
      <c r="G19" s="30">
        <f>ROUND(E19*F19,2)</f>
        <v>488.58</v>
      </c>
      <c r="H19" s="139">
        <f>G19/$G$30</f>
        <v>0.38334431786084172</v>
      </c>
      <c r="I19" s="30">
        <f>ROUND(F19*Прил.10!$D$12,2)</f>
        <v>2653.72</v>
      </c>
      <c r="J19" s="30">
        <f>ROUND(I19*E19,2)</f>
        <v>6581.23</v>
      </c>
    </row>
    <row r="20" spans="1:10" s="12" customFormat="1" ht="25.5" customHeight="1" x14ac:dyDescent="0.2">
      <c r="A20" s="2">
        <v>4</v>
      </c>
      <c r="B20" s="145" t="s">
        <v>125</v>
      </c>
      <c r="C20" s="8" t="s">
        <v>126</v>
      </c>
      <c r="D20" s="2" t="s">
        <v>124</v>
      </c>
      <c r="E20" s="143">
        <v>3.8090999999999999</v>
      </c>
      <c r="F20" s="101">
        <v>111.99</v>
      </c>
      <c r="G20" s="30">
        <f>ROUND(E20*F20,2)</f>
        <v>426.58</v>
      </c>
      <c r="H20" s="139">
        <f>G20/$G$30</f>
        <v>0.33469855318080532</v>
      </c>
      <c r="I20" s="30">
        <f>ROUND(F20*Прил.10!$D$12,2)</f>
        <v>1508.51</v>
      </c>
      <c r="J20" s="30">
        <f>ROUND(I20*E20,2)</f>
        <v>5746.07</v>
      </c>
    </row>
    <row r="21" spans="1:10" s="12" customFormat="1" ht="25.5" customHeight="1" x14ac:dyDescent="0.2">
      <c r="A21" s="2">
        <v>5</v>
      </c>
      <c r="B21" s="145" t="s">
        <v>127</v>
      </c>
      <c r="C21" s="8" t="s">
        <v>128</v>
      </c>
      <c r="D21" s="2" t="s">
        <v>124</v>
      </c>
      <c r="E21" s="143">
        <v>2.8767999999999998</v>
      </c>
      <c r="F21" s="101">
        <v>65.709999999999994</v>
      </c>
      <c r="G21" s="30">
        <f>ROUND(E21*F21,2)</f>
        <v>189.03</v>
      </c>
      <c r="H21" s="139">
        <f>G21/$G$30</f>
        <v>0.14831465963656906</v>
      </c>
      <c r="I21" s="30">
        <f>ROUND(F21*Прил.10!$D$12,2)</f>
        <v>885.11</v>
      </c>
      <c r="J21" s="30">
        <f>ROUND(I21*E21,2)</f>
        <v>2546.2800000000002</v>
      </c>
    </row>
    <row r="22" spans="1:10" s="12" customFormat="1" ht="14.25" customHeight="1" x14ac:dyDescent="0.2">
      <c r="A22" s="2"/>
      <c r="B22" s="2"/>
      <c r="C22" s="8" t="s">
        <v>278</v>
      </c>
      <c r="D22" s="2"/>
      <c r="E22" s="137"/>
      <c r="F22" s="30"/>
      <c r="G22" s="30">
        <f>SUM(G19:G21)</f>
        <v>1104.19</v>
      </c>
      <c r="H22" s="135">
        <f>G22/G30</f>
        <v>0.86635753067821619</v>
      </c>
      <c r="I22" s="138"/>
      <c r="J22" s="30">
        <f>SUM(J19:J21)</f>
        <v>14873.58</v>
      </c>
    </row>
    <row r="23" spans="1:10" s="12" customFormat="1" ht="25.5" hidden="1" customHeight="1" outlineLevel="1" x14ac:dyDescent="0.2">
      <c r="A23" s="2">
        <v>6</v>
      </c>
      <c r="B23" s="145" t="s">
        <v>129</v>
      </c>
      <c r="C23" s="8" t="s">
        <v>130</v>
      </c>
      <c r="D23" s="2" t="s">
        <v>124</v>
      </c>
      <c r="E23" s="143">
        <v>17.000800000000002</v>
      </c>
      <c r="F23" s="101">
        <v>8.1</v>
      </c>
      <c r="G23" s="30">
        <f t="shared" ref="G23:G28" si="0">ROUND(E23*F23,2)</f>
        <v>137.71</v>
      </c>
      <c r="H23" s="139">
        <f t="shared" ref="H23:H28" si="1">G23/$G$30</f>
        <v>0.10804852022722281</v>
      </c>
      <c r="I23" s="30">
        <f>ROUND(F23*Прил.10!$D$12,2)</f>
        <v>109.11</v>
      </c>
      <c r="J23" s="30">
        <f t="shared" ref="J23:J28" si="2">ROUND(I23*E23,2)</f>
        <v>1854.96</v>
      </c>
    </row>
    <row r="24" spans="1:10" s="12" customFormat="1" ht="25.5" hidden="1" customHeight="1" outlineLevel="1" x14ac:dyDescent="0.2">
      <c r="A24" s="2">
        <v>7</v>
      </c>
      <c r="B24" s="145" t="s">
        <v>131</v>
      </c>
      <c r="C24" s="8" t="s">
        <v>132</v>
      </c>
      <c r="D24" s="2" t="s">
        <v>124</v>
      </c>
      <c r="E24" s="143">
        <v>4.6440000000000001</v>
      </c>
      <c r="F24" s="101">
        <v>3.28</v>
      </c>
      <c r="G24" s="30">
        <f t="shared" si="0"/>
        <v>15.23</v>
      </c>
      <c r="H24" s="139">
        <f t="shared" si="1"/>
        <v>1.1949596710918621E-2</v>
      </c>
      <c r="I24" s="30">
        <f>ROUND(F24*Прил.10!$D$12,2)</f>
        <v>44.18</v>
      </c>
      <c r="J24" s="30">
        <f t="shared" si="2"/>
        <v>205.17</v>
      </c>
    </row>
    <row r="25" spans="1:10" s="12" customFormat="1" ht="14.25" hidden="1" customHeight="1" outlineLevel="1" x14ac:dyDescent="0.2">
      <c r="A25" s="2">
        <v>8</v>
      </c>
      <c r="B25" s="145" t="s">
        <v>133</v>
      </c>
      <c r="C25" s="8" t="s">
        <v>134</v>
      </c>
      <c r="D25" s="2" t="s">
        <v>124</v>
      </c>
      <c r="E25" s="143">
        <v>3.9049999999999998</v>
      </c>
      <c r="F25" s="101">
        <v>2.08</v>
      </c>
      <c r="G25" s="30">
        <f t="shared" si="0"/>
        <v>8.1199999999999992</v>
      </c>
      <c r="H25" s="139">
        <f t="shared" si="1"/>
        <v>6.3710259548692832E-3</v>
      </c>
      <c r="I25" s="30">
        <f>ROUND(F25*Прил.10!$D$12,2)</f>
        <v>28.02</v>
      </c>
      <c r="J25" s="30">
        <f t="shared" si="2"/>
        <v>109.42</v>
      </c>
    </row>
    <row r="26" spans="1:10" s="12" customFormat="1" ht="38.25" hidden="1" customHeight="1" outlineLevel="1" x14ac:dyDescent="0.2">
      <c r="A26" s="2">
        <v>9</v>
      </c>
      <c r="B26" s="145" t="s">
        <v>135</v>
      </c>
      <c r="C26" s="8" t="s">
        <v>136</v>
      </c>
      <c r="D26" s="2" t="s">
        <v>124</v>
      </c>
      <c r="E26" s="143">
        <v>6.6299999999999998E-2</v>
      </c>
      <c r="F26" s="101">
        <v>70.010000000000005</v>
      </c>
      <c r="G26" s="30">
        <f t="shared" si="0"/>
        <v>4.6399999999999997</v>
      </c>
      <c r="H26" s="139">
        <f t="shared" si="1"/>
        <v>3.6405862599253051E-3</v>
      </c>
      <c r="I26" s="30">
        <f>ROUND(F26*Прил.10!$D$12,2)</f>
        <v>943.03</v>
      </c>
      <c r="J26" s="30">
        <f t="shared" si="2"/>
        <v>62.52</v>
      </c>
    </row>
    <row r="27" spans="1:10" s="12" customFormat="1" ht="25.5" hidden="1" customHeight="1" outlineLevel="1" x14ac:dyDescent="0.2">
      <c r="A27" s="2">
        <v>10</v>
      </c>
      <c r="B27" s="145" t="s">
        <v>137</v>
      </c>
      <c r="C27" s="8" t="s">
        <v>138</v>
      </c>
      <c r="D27" s="2" t="s">
        <v>124</v>
      </c>
      <c r="E27" s="143">
        <v>4.6440000000000001</v>
      </c>
      <c r="F27" s="101">
        <v>0.9</v>
      </c>
      <c r="G27" s="30">
        <f t="shared" si="0"/>
        <v>4.18</v>
      </c>
      <c r="H27" s="139">
        <f t="shared" si="1"/>
        <v>3.2796660703637444E-3</v>
      </c>
      <c r="I27" s="30">
        <f>ROUND(F27*Прил.10!$D$12,2)</f>
        <v>12.12</v>
      </c>
      <c r="J27" s="30">
        <f t="shared" si="2"/>
        <v>56.29</v>
      </c>
    </row>
    <row r="28" spans="1:10" s="12" customFormat="1" ht="14.25" hidden="1" customHeight="1" outlineLevel="1" x14ac:dyDescent="0.2">
      <c r="A28" s="2">
        <v>11</v>
      </c>
      <c r="B28" s="145" t="s">
        <v>139</v>
      </c>
      <c r="C28" s="8" t="s">
        <v>140</v>
      </c>
      <c r="D28" s="2" t="s">
        <v>124</v>
      </c>
      <c r="E28" s="143">
        <v>0.2379</v>
      </c>
      <c r="F28" s="101">
        <v>1.9</v>
      </c>
      <c r="G28" s="30">
        <f t="shared" si="0"/>
        <v>0.45</v>
      </c>
      <c r="H28" s="139">
        <f t="shared" si="1"/>
        <v>3.5307409848413522E-4</v>
      </c>
      <c r="I28" s="30">
        <f>ROUND(F28*Прил.10!$D$12,2)</f>
        <v>25.59</v>
      </c>
      <c r="J28" s="30">
        <f t="shared" si="2"/>
        <v>6.09</v>
      </c>
    </row>
    <row r="29" spans="1:10" s="12" customFormat="1" ht="14.25" customHeight="1" collapsed="1" x14ac:dyDescent="0.2">
      <c r="A29" s="2"/>
      <c r="B29" s="2"/>
      <c r="C29" s="8" t="s">
        <v>279</v>
      </c>
      <c r="D29" s="2"/>
      <c r="E29" s="134"/>
      <c r="F29" s="30"/>
      <c r="G29" s="138">
        <f>SUM(G23:G28)</f>
        <v>170.32999999999998</v>
      </c>
      <c r="H29" s="139">
        <f>G29/G30</f>
        <v>0.13364246932178386</v>
      </c>
      <c r="I29" s="30"/>
      <c r="J29" s="30">
        <f>SUM(J23:J28)</f>
        <v>2294.4500000000003</v>
      </c>
    </row>
    <row r="30" spans="1:10" s="12" customFormat="1" ht="25.5" customHeight="1" x14ac:dyDescent="0.2">
      <c r="A30" s="2"/>
      <c r="B30" s="2"/>
      <c r="C30" s="102" t="s">
        <v>280</v>
      </c>
      <c r="D30" s="2"/>
      <c r="E30" s="134"/>
      <c r="F30" s="30"/>
      <c r="G30" s="30">
        <f>G29+G22</f>
        <v>1274.52</v>
      </c>
      <c r="H30" s="140">
        <v>1</v>
      </c>
      <c r="I30" s="141"/>
      <c r="J30" s="142">
        <f>J29+J22</f>
        <v>17168.03</v>
      </c>
    </row>
    <row r="31" spans="1:10" s="12" customFormat="1" ht="14.25" customHeight="1" x14ac:dyDescent="0.2">
      <c r="A31" s="2"/>
      <c r="B31" s="255" t="s">
        <v>43</v>
      </c>
      <c r="C31" s="255"/>
      <c r="D31" s="272"/>
      <c r="E31" s="273"/>
      <c r="F31" s="274"/>
      <c r="G31" s="274"/>
      <c r="H31" s="275"/>
      <c r="I31" s="136"/>
      <c r="J31" s="136"/>
    </row>
    <row r="32" spans="1:10" x14ac:dyDescent="0.25">
      <c r="A32" s="2"/>
      <c r="B32" s="267" t="s">
        <v>281</v>
      </c>
      <c r="C32" s="267"/>
      <c r="D32" s="268"/>
      <c r="E32" s="269"/>
      <c r="F32" s="270"/>
      <c r="G32" s="270"/>
      <c r="H32" s="271"/>
      <c r="I32" s="136"/>
      <c r="J32" s="136"/>
    </row>
    <row r="33" spans="1:10" s="12" customFormat="1" ht="25.5" customHeight="1" x14ac:dyDescent="0.2">
      <c r="A33" s="2">
        <v>12</v>
      </c>
      <c r="B33" s="145" t="s">
        <v>282</v>
      </c>
      <c r="C33" s="181" t="s">
        <v>283</v>
      </c>
      <c r="D33" s="189" t="s">
        <v>143</v>
      </c>
      <c r="E33" s="190">
        <v>1</v>
      </c>
      <c r="F33" s="45">
        <f>ROUND(I33/Прил.10!D14,2)</f>
        <v>3642.45</v>
      </c>
      <c r="G33" s="30">
        <f>ROUND(E33*F33,2)</f>
        <v>3642.45</v>
      </c>
      <c r="H33" s="139">
        <f>G33/$G$37</f>
        <v>0.76849314201441854</v>
      </c>
      <c r="I33" s="181">
        <v>22801.75</v>
      </c>
      <c r="J33" s="30">
        <f>ROUND(I33*E33,2)</f>
        <v>22801.75</v>
      </c>
    </row>
    <row r="34" spans="1:10" s="12" customFormat="1" ht="14.25" customHeight="1" x14ac:dyDescent="0.2">
      <c r="A34" s="2">
        <v>13</v>
      </c>
      <c r="B34" s="191" t="s">
        <v>144</v>
      </c>
      <c r="C34" s="181" t="s">
        <v>145</v>
      </c>
      <c r="D34" s="189" t="s">
        <v>146</v>
      </c>
      <c r="E34" s="190">
        <v>1</v>
      </c>
      <c r="F34" s="181">
        <v>1097.28</v>
      </c>
      <c r="G34" s="30">
        <f>ROUND(E34*F34,2)</f>
        <v>1097.28</v>
      </c>
      <c r="H34" s="139">
        <f>G34/$G$37</f>
        <v>0.23150685798558146</v>
      </c>
      <c r="I34" s="181">
        <f>ROUND(F34*Прил.10!$D$14,2)</f>
        <v>6868.97</v>
      </c>
      <c r="J34" s="30">
        <f>ROUND(I34*E34,2)</f>
        <v>6868.97</v>
      </c>
    </row>
    <row r="35" spans="1:10" x14ac:dyDescent="0.25">
      <c r="A35" s="149"/>
      <c r="B35" s="2"/>
      <c r="C35" s="8" t="s">
        <v>284</v>
      </c>
      <c r="D35" s="2"/>
      <c r="E35" s="143"/>
      <c r="F35" s="101"/>
      <c r="G35" s="30">
        <f>G33+G34</f>
        <v>4739.7299999999996</v>
      </c>
      <c r="H35" s="139">
        <f>G35/$G$37</f>
        <v>1</v>
      </c>
      <c r="I35" s="138"/>
      <c r="J35" s="30">
        <f>J33+J34</f>
        <v>29670.720000000001</v>
      </c>
    </row>
    <row r="36" spans="1:10" x14ac:dyDescent="0.25">
      <c r="A36" s="149"/>
      <c r="B36" s="2"/>
      <c r="C36" s="8" t="s">
        <v>285</v>
      </c>
      <c r="D36" s="194"/>
      <c r="E36" s="143"/>
      <c r="F36" s="101"/>
      <c r="G36" s="30">
        <v>0</v>
      </c>
      <c r="H36" s="139">
        <f>G36/$G$37</f>
        <v>0</v>
      </c>
      <c r="I36" s="138"/>
      <c r="J36" s="30">
        <v>0</v>
      </c>
    </row>
    <row r="37" spans="1:10" x14ac:dyDescent="0.25">
      <c r="A37" s="2"/>
      <c r="B37" s="2"/>
      <c r="C37" s="102" t="s">
        <v>286</v>
      </c>
      <c r="D37" s="2"/>
      <c r="E37" s="134"/>
      <c r="F37" s="101"/>
      <c r="G37" s="30">
        <f>G35+G36</f>
        <v>4739.7299999999996</v>
      </c>
      <c r="H37" s="139">
        <f>G37/$G$37</f>
        <v>1</v>
      </c>
      <c r="I37" s="138"/>
      <c r="J37" s="30">
        <f>J35+J36</f>
        <v>29670.720000000001</v>
      </c>
    </row>
    <row r="38" spans="1:10" ht="25.5" customHeight="1" x14ac:dyDescent="0.25">
      <c r="A38" s="2"/>
      <c r="B38" s="2"/>
      <c r="C38" s="8" t="s">
        <v>287</v>
      </c>
      <c r="D38" s="2"/>
      <c r="E38" s="143"/>
      <c r="F38" s="101"/>
      <c r="G38" s="30">
        <f>'Прил.6 Расчет ОБ'!G14</f>
        <v>4739.7299999999996</v>
      </c>
      <c r="H38" s="135"/>
      <c r="I38" s="138"/>
      <c r="J38" s="30">
        <f>J37</f>
        <v>29670.720000000001</v>
      </c>
    </row>
    <row r="39" spans="1:10" s="12" customFormat="1" ht="14.25" customHeight="1" x14ac:dyDescent="0.2">
      <c r="A39" s="2"/>
      <c r="B39" s="255" t="s">
        <v>147</v>
      </c>
      <c r="C39" s="255"/>
      <c r="D39" s="272"/>
      <c r="E39" s="273"/>
      <c r="F39" s="274"/>
      <c r="G39" s="274"/>
      <c r="H39" s="275"/>
      <c r="I39" s="136"/>
      <c r="J39" s="136"/>
    </row>
    <row r="40" spans="1:10" s="12" customFormat="1" ht="14.25" customHeight="1" x14ac:dyDescent="0.2">
      <c r="A40" s="133"/>
      <c r="B40" s="262" t="s">
        <v>288</v>
      </c>
      <c r="C40" s="262"/>
      <c r="D40" s="263"/>
      <c r="E40" s="264"/>
      <c r="F40" s="265"/>
      <c r="G40" s="265"/>
      <c r="H40" s="266"/>
      <c r="I40" s="148"/>
      <c r="J40" s="148"/>
    </row>
    <row r="41" spans="1:10" s="12" customFormat="1" ht="51" customHeight="1" x14ac:dyDescent="0.2">
      <c r="A41" s="2">
        <v>14</v>
      </c>
      <c r="B41" s="145" t="s">
        <v>148</v>
      </c>
      <c r="C41" s="8" t="s">
        <v>149</v>
      </c>
      <c r="D41" s="2" t="s">
        <v>150</v>
      </c>
      <c r="E41" s="143">
        <v>0.61519999999999997</v>
      </c>
      <c r="F41" s="101">
        <v>8128</v>
      </c>
      <c r="G41" s="30">
        <f>ROUND(E41*F41,2)</f>
        <v>5000.3500000000004</v>
      </c>
      <c r="H41" s="139">
        <f t="shared" ref="H41:H76" si="3">G41/$G$76</f>
        <v>0.4171867230441153</v>
      </c>
      <c r="I41" s="30">
        <f>ROUND(F41*Прил.10!$D$13,2)</f>
        <v>65349.120000000003</v>
      </c>
      <c r="J41" s="30">
        <f>ROUND(I41*E41,2)</f>
        <v>40202.78</v>
      </c>
    </row>
    <row r="42" spans="1:10" s="12" customFormat="1" ht="38.25" customHeight="1" x14ac:dyDescent="0.2">
      <c r="A42" s="2">
        <v>15</v>
      </c>
      <c r="B42" s="145" t="s">
        <v>151</v>
      </c>
      <c r="C42" s="8" t="s">
        <v>152</v>
      </c>
      <c r="D42" s="2" t="s">
        <v>150</v>
      </c>
      <c r="E42" s="143">
        <v>0.58840000000000003</v>
      </c>
      <c r="F42" s="101">
        <v>5999.99</v>
      </c>
      <c r="G42" s="30">
        <f>ROUND(E42*F42,2)</f>
        <v>3530.39</v>
      </c>
      <c r="H42" s="139">
        <f t="shared" si="3"/>
        <v>0.29454574883112461</v>
      </c>
      <c r="I42" s="30">
        <f>ROUND(F42*Прил.10!$D$13,2)</f>
        <v>48239.92</v>
      </c>
      <c r="J42" s="30">
        <f>ROUND(I42*E42,2)</f>
        <v>28384.37</v>
      </c>
    </row>
    <row r="43" spans="1:10" s="12" customFormat="1" ht="51" customHeight="1" x14ac:dyDescent="0.2">
      <c r="A43" s="2">
        <v>16</v>
      </c>
      <c r="B43" s="145" t="s">
        <v>153</v>
      </c>
      <c r="C43" s="8" t="s">
        <v>154</v>
      </c>
      <c r="D43" s="2" t="s">
        <v>155</v>
      </c>
      <c r="E43" s="143">
        <v>110</v>
      </c>
      <c r="F43" s="101">
        <v>8.2799999999999994</v>
      </c>
      <c r="G43" s="30">
        <f>ROUND(E43*F43,2)</f>
        <v>910.8</v>
      </c>
      <c r="H43" s="139">
        <f t="shared" si="3"/>
        <v>7.5989414210721279E-2</v>
      </c>
      <c r="I43" s="30">
        <f>ROUND(F43*Прил.10!$D$13,2)</f>
        <v>66.569999999999993</v>
      </c>
      <c r="J43" s="30">
        <f>ROUND(I43*E43,2)</f>
        <v>7322.7</v>
      </c>
    </row>
    <row r="44" spans="1:10" s="12" customFormat="1" ht="14.25" customHeight="1" x14ac:dyDescent="0.2">
      <c r="A44" s="2">
        <v>17</v>
      </c>
      <c r="B44" s="145" t="s">
        <v>156</v>
      </c>
      <c r="C44" s="8" t="s">
        <v>157</v>
      </c>
      <c r="D44" s="2" t="s">
        <v>158</v>
      </c>
      <c r="E44" s="143">
        <v>1</v>
      </c>
      <c r="F44" s="101">
        <v>682</v>
      </c>
      <c r="G44" s="30">
        <f>ROUND(E44*F44,2)</f>
        <v>682</v>
      </c>
      <c r="H44" s="139">
        <f t="shared" si="3"/>
        <v>5.6900286003197097E-2</v>
      </c>
      <c r="I44" s="30">
        <f>ROUND(F44*Прил.10!$D$13,2)</f>
        <v>5483.28</v>
      </c>
      <c r="J44" s="30">
        <f>ROUND(I44*E44,2)</f>
        <v>5483.28</v>
      </c>
    </row>
    <row r="45" spans="1:10" s="12" customFormat="1" ht="25.5" customHeight="1" x14ac:dyDescent="0.2">
      <c r="A45" s="2">
        <v>18</v>
      </c>
      <c r="B45" s="145" t="s">
        <v>159</v>
      </c>
      <c r="C45" s="8" t="s">
        <v>160</v>
      </c>
      <c r="D45" s="2" t="s">
        <v>161</v>
      </c>
      <c r="E45" s="143">
        <v>0.03</v>
      </c>
      <c r="F45" s="101">
        <v>17230.189999999999</v>
      </c>
      <c r="G45" s="30">
        <f>ROUND(E45*F45,2)</f>
        <v>516.91</v>
      </c>
      <c r="H45" s="139">
        <f t="shared" si="3"/>
        <v>4.3126578941220836E-2</v>
      </c>
      <c r="I45" s="30">
        <f>ROUND(F45*Прил.10!$D$13,2)</f>
        <v>138530.73000000001</v>
      </c>
      <c r="J45" s="30">
        <f>ROUND(I45*E45,2)</f>
        <v>4155.92</v>
      </c>
    </row>
    <row r="46" spans="1:10" s="12" customFormat="1" ht="14.25" customHeight="1" x14ac:dyDescent="0.2">
      <c r="A46" s="149"/>
      <c r="B46" s="150"/>
      <c r="C46" s="151" t="s">
        <v>289</v>
      </c>
      <c r="D46" s="149"/>
      <c r="E46" s="173"/>
      <c r="F46" s="142"/>
      <c r="G46" s="142">
        <f>SUM(G41:G45)</f>
        <v>10640.449999999999</v>
      </c>
      <c r="H46" s="139">
        <f t="shared" si="3"/>
        <v>0.88774875103037909</v>
      </c>
      <c r="I46" s="30"/>
      <c r="J46" s="142">
        <f>SUM(J41:J45)</f>
        <v>85549.049999999988</v>
      </c>
    </row>
    <row r="47" spans="1:10" s="12" customFormat="1" ht="14.25" hidden="1" customHeight="1" outlineLevel="1" x14ac:dyDescent="0.2">
      <c r="A47" s="2">
        <v>19</v>
      </c>
      <c r="B47" s="145" t="s">
        <v>162</v>
      </c>
      <c r="C47" s="8" t="s">
        <v>163</v>
      </c>
      <c r="D47" s="2" t="s">
        <v>164</v>
      </c>
      <c r="E47" s="143">
        <v>1.1000000000000001</v>
      </c>
      <c r="F47" s="101">
        <v>277.5</v>
      </c>
      <c r="G47" s="30">
        <f t="shared" ref="G47:G74" si="4">ROUND(E47*F47,2)</f>
        <v>305.25</v>
      </c>
      <c r="H47" s="139">
        <f t="shared" si="3"/>
        <v>2.5467466719172896E-2</v>
      </c>
      <c r="I47" s="30">
        <f>ROUND(F47*Прил.10!$D$13,2)</f>
        <v>2231.1</v>
      </c>
      <c r="J47" s="30">
        <f t="shared" ref="J47:J74" si="5">ROUND(I47*E47,2)</f>
        <v>2454.21</v>
      </c>
    </row>
    <row r="48" spans="1:10" s="12" customFormat="1" ht="38.25" hidden="1" customHeight="1" outlineLevel="1" x14ac:dyDescent="0.2">
      <c r="A48" s="2">
        <v>20</v>
      </c>
      <c r="B48" s="145" t="s">
        <v>165</v>
      </c>
      <c r="C48" s="8" t="s">
        <v>166</v>
      </c>
      <c r="D48" s="2" t="s">
        <v>150</v>
      </c>
      <c r="E48" s="143">
        <v>5.6649999999999999E-2</v>
      </c>
      <c r="F48" s="101">
        <v>5000</v>
      </c>
      <c r="G48" s="30">
        <f t="shared" si="4"/>
        <v>283.25</v>
      </c>
      <c r="H48" s="139">
        <f t="shared" si="3"/>
        <v>2.363197362229557E-2</v>
      </c>
      <c r="I48" s="30">
        <f>ROUND(F48*Прил.10!$D$13,2)</f>
        <v>40200</v>
      </c>
      <c r="J48" s="30">
        <f t="shared" si="5"/>
        <v>2277.33</v>
      </c>
    </row>
    <row r="49" spans="1:10" s="12" customFormat="1" ht="25.5" hidden="1" customHeight="1" outlineLevel="1" x14ac:dyDescent="0.2">
      <c r="A49" s="2">
        <v>21</v>
      </c>
      <c r="B49" s="145" t="s">
        <v>167</v>
      </c>
      <c r="C49" s="8" t="s">
        <v>168</v>
      </c>
      <c r="D49" s="2" t="s">
        <v>150</v>
      </c>
      <c r="E49" s="143">
        <v>0.02</v>
      </c>
      <c r="F49" s="101">
        <v>11500</v>
      </c>
      <c r="G49" s="30">
        <f t="shared" si="4"/>
        <v>230</v>
      </c>
      <c r="H49" s="139">
        <f t="shared" si="3"/>
        <v>1.9189246012808407E-2</v>
      </c>
      <c r="I49" s="30">
        <f>ROUND(F49*Прил.10!$D$13,2)</f>
        <v>92460</v>
      </c>
      <c r="J49" s="30">
        <f t="shared" si="5"/>
        <v>1849.2</v>
      </c>
    </row>
    <row r="50" spans="1:10" s="12" customFormat="1" ht="38.25" hidden="1" customHeight="1" outlineLevel="1" x14ac:dyDescent="0.2">
      <c r="A50" s="2">
        <v>22</v>
      </c>
      <c r="B50" s="145" t="s">
        <v>169</v>
      </c>
      <c r="C50" s="8" t="s">
        <v>170</v>
      </c>
      <c r="D50" s="2" t="s">
        <v>158</v>
      </c>
      <c r="E50" s="143">
        <v>0.29099999999999998</v>
      </c>
      <c r="F50" s="101">
        <v>600</v>
      </c>
      <c r="G50" s="30">
        <f t="shared" si="4"/>
        <v>174.6</v>
      </c>
      <c r="H50" s="139">
        <f t="shared" si="3"/>
        <v>1.4567140668853685E-2</v>
      </c>
      <c r="I50" s="30">
        <f>ROUND(F50*Прил.10!$D$13,2)</f>
        <v>4824</v>
      </c>
      <c r="J50" s="30">
        <f t="shared" si="5"/>
        <v>1403.78</v>
      </c>
    </row>
    <row r="51" spans="1:10" s="12" customFormat="1" ht="25.5" hidden="1" customHeight="1" outlineLevel="1" x14ac:dyDescent="0.2">
      <c r="A51" s="2">
        <v>23</v>
      </c>
      <c r="B51" s="145" t="s">
        <v>171</v>
      </c>
      <c r="C51" s="8" t="s">
        <v>172</v>
      </c>
      <c r="D51" s="2" t="s">
        <v>161</v>
      </c>
      <c r="E51" s="143">
        <v>0.1</v>
      </c>
      <c r="F51" s="101">
        <v>887.03</v>
      </c>
      <c r="G51" s="30">
        <f t="shared" si="4"/>
        <v>88.7</v>
      </c>
      <c r="H51" s="139">
        <f t="shared" si="3"/>
        <v>7.400374440591764E-3</v>
      </c>
      <c r="I51" s="30">
        <f>ROUND(F51*Прил.10!$D$13,2)</f>
        <v>7131.72</v>
      </c>
      <c r="J51" s="30">
        <f t="shared" si="5"/>
        <v>713.17</v>
      </c>
    </row>
    <row r="52" spans="1:10" s="12" customFormat="1" ht="25.5" hidden="1" customHeight="1" outlineLevel="1" x14ac:dyDescent="0.2">
      <c r="A52" s="2">
        <v>24</v>
      </c>
      <c r="B52" s="145" t="s">
        <v>173</v>
      </c>
      <c r="C52" s="8" t="s">
        <v>174</v>
      </c>
      <c r="D52" s="2" t="s">
        <v>150</v>
      </c>
      <c r="E52" s="143">
        <v>6.9999999999999999E-4</v>
      </c>
      <c r="F52" s="101">
        <v>86162.5</v>
      </c>
      <c r="G52" s="30">
        <f t="shared" si="4"/>
        <v>60.31</v>
      </c>
      <c r="H52" s="139">
        <f t="shared" si="3"/>
        <v>5.0317540305759786E-3</v>
      </c>
      <c r="I52" s="30">
        <f>ROUND(F52*Прил.10!$D$13,2)</f>
        <v>692746.5</v>
      </c>
      <c r="J52" s="30">
        <f t="shared" si="5"/>
        <v>484.92</v>
      </c>
    </row>
    <row r="53" spans="1:10" s="12" customFormat="1" ht="25.5" hidden="1" customHeight="1" outlineLevel="1" x14ac:dyDescent="0.2">
      <c r="A53" s="2">
        <v>25</v>
      </c>
      <c r="B53" s="145" t="s">
        <v>175</v>
      </c>
      <c r="C53" s="8" t="s">
        <v>176</v>
      </c>
      <c r="D53" s="2" t="s">
        <v>161</v>
      </c>
      <c r="E53" s="143">
        <v>0.03</v>
      </c>
      <c r="F53" s="101">
        <v>1335.52</v>
      </c>
      <c r="G53" s="30">
        <f t="shared" si="4"/>
        <v>40.07</v>
      </c>
      <c r="H53" s="139">
        <f t="shared" si="3"/>
        <v>3.3431003814488386E-3</v>
      </c>
      <c r="I53" s="30">
        <f>ROUND(F53*Прил.10!$D$13,2)</f>
        <v>10737.58</v>
      </c>
      <c r="J53" s="30">
        <f t="shared" si="5"/>
        <v>322.13</v>
      </c>
    </row>
    <row r="54" spans="1:10" s="12" customFormat="1" ht="25.5" hidden="1" customHeight="1" outlineLevel="1" x14ac:dyDescent="0.2">
      <c r="A54" s="2">
        <v>26</v>
      </c>
      <c r="B54" s="145" t="s">
        <v>177</v>
      </c>
      <c r="C54" s="8" t="s">
        <v>178</v>
      </c>
      <c r="D54" s="2" t="s">
        <v>150</v>
      </c>
      <c r="E54" s="143">
        <v>2.398E-3</v>
      </c>
      <c r="F54" s="101">
        <v>12430</v>
      </c>
      <c r="G54" s="30">
        <f t="shared" si="4"/>
        <v>29.81</v>
      </c>
      <c r="H54" s="139">
        <f t="shared" si="3"/>
        <v>2.4870931462687763E-3</v>
      </c>
      <c r="I54" s="30">
        <f>ROUND(F54*Прил.10!$D$13,2)</f>
        <v>99937.2</v>
      </c>
      <c r="J54" s="30">
        <f t="shared" si="5"/>
        <v>239.65</v>
      </c>
    </row>
    <row r="55" spans="1:10" s="12" customFormat="1" ht="14.25" hidden="1" customHeight="1" outlineLevel="1" x14ac:dyDescent="0.2">
      <c r="A55" s="2">
        <v>27</v>
      </c>
      <c r="B55" s="145" t="s">
        <v>179</v>
      </c>
      <c r="C55" s="8" t="s">
        <v>180</v>
      </c>
      <c r="D55" s="2" t="s">
        <v>164</v>
      </c>
      <c r="E55" s="143">
        <v>0.55000000000000004</v>
      </c>
      <c r="F55" s="101">
        <v>39</v>
      </c>
      <c r="G55" s="30">
        <f t="shared" si="4"/>
        <v>21.45</v>
      </c>
      <c r="H55" s="139">
        <f t="shared" si="3"/>
        <v>1.7896057694553925E-3</v>
      </c>
      <c r="I55" s="30">
        <f>ROUND(F55*Прил.10!$D$13,2)</f>
        <v>313.56</v>
      </c>
      <c r="J55" s="30">
        <f t="shared" si="5"/>
        <v>172.46</v>
      </c>
    </row>
    <row r="56" spans="1:10" s="12" customFormat="1" ht="38.25" hidden="1" customHeight="1" outlineLevel="1" x14ac:dyDescent="0.2">
      <c r="A56" s="2">
        <v>28</v>
      </c>
      <c r="B56" s="145" t="s">
        <v>181</v>
      </c>
      <c r="C56" s="8" t="s">
        <v>182</v>
      </c>
      <c r="D56" s="2" t="s">
        <v>158</v>
      </c>
      <c r="E56" s="143">
        <v>3.1E-2</v>
      </c>
      <c r="F56" s="101">
        <v>684</v>
      </c>
      <c r="G56" s="30">
        <f t="shared" si="4"/>
        <v>21.2</v>
      </c>
      <c r="H56" s="139">
        <f t="shared" si="3"/>
        <v>1.7687478933545138E-3</v>
      </c>
      <c r="I56" s="30">
        <f>ROUND(F56*Прил.10!$D$13,2)</f>
        <v>5499.36</v>
      </c>
      <c r="J56" s="30">
        <f t="shared" si="5"/>
        <v>170.48</v>
      </c>
    </row>
    <row r="57" spans="1:10" s="12" customFormat="1" ht="14.25" hidden="1" customHeight="1" outlineLevel="1" x14ac:dyDescent="0.2">
      <c r="A57" s="2">
        <v>29</v>
      </c>
      <c r="B57" s="145" t="s">
        <v>183</v>
      </c>
      <c r="C57" s="8" t="s">
        <v>184</v>
      </c>
      <c r="D57" s="2" t="s">
        <v>185</v>
      </c>
      <c r="E57" s="143">
        <v>1.905</v>
      </c>
      <c r="F57" s="101">
        <v>9.0399999999999991</v>
      </c>
      <c r="G57" s="30">
        <f t="shared" si="4"/>
        <v>17.22</v>
      </c>
      <c r="H57" s="139">
        <f t="shared" si="3"/>
        <v>1.4366905058285249E-3</v>
      </c>
      <c r="I57" s="30">
        <f>ROUND(F57*Прил.10!$D$13,2)</f>
        <v>72.680000000000007</v>
      </c>
      <c r="J57" s="30">
        <f t="shared" si="5"/>
        <v>138.46</v>
      </c>
    </row>
    <row r="58" spans="1:10" s="12" customFormat="1" ht="25.5" hidden="1" customHeight="1" outlineLevel="1" x14ac:dyDescent="0.2">
      <c r="A58" s="2">
        <v>30</v>
      </c>
      <c r="B58" s="145" t="s">
        <v>186</v>
      </c>
      <c r="C58" s="8" t="s">
        <v>187</v>
      </c>
      <c r="D58" s="2" t="s">
        <v>188</v>
      </c>
      <c r="E58" s="143">
        <v>14.13885</v>
      </c>
      <c r="F58" s="101">
        <v>1</v>
      </c>
      <c r="G58" s="30">
        <f t="shared" si="4"/>
        <v>14.14</v>
      </c>
      <c r="H58" s="139">
        <f t="shared" si="3"/>
        <v>1.1797214722656995E-3</v>
      </c>
      <c r="I58" s="30">
        <f>ROUND(F58*Прил.10!$D$13,2)</f>
        <v>8.0399999999999991</v>
      </c>
      <c r="J58" s="30">
        <f t="shared" si="5"/>
        <v>113.68</v>
      </c>
    </row>
    <row r="59" spans="1:10" s="12" customFormat="1" ht="25.5" hidden="1" customHeight="1" outlineLevel="1" x14ac:dyDescent="0.2">
      <c r="A59" s="2">
        <v>31</v>
      </c>
      <c r="B59" s="145" t="s">
        <v>189</v>
      </c>
      <c r="C59" s="8" t="s">
        <v>190</v>
      </c>
      <c r="D59" s="2" t="s">
        <v>185</v>
      </c>
      <c r="E59" s="143">
        <v>1.3260000000000001</v>
      </c>
      <c r="F59" s="101">
        <v>10.57</v>
      </c>
      <c r="G59" s="30">
        <f t="shared" si="4"/>
        <v>14.02</v>
      </c>
      <c r="H59" s="139">
        <f t="shared" si="3"/>
        <v>1.1697096917372776E-3</v>
      </c>
      <c r="I59" s="30">
        <f>ROUND(F59*Прил.10!$D$13,2)</f>
        <v>84.98</v>
      </c>
      <c r="J59" s="30">
        <f t="shared" si="5"/>
        <v>112.68</v>
      </c>
    </row>
    <row r="60" spans="1:10" s="12" customFormat="1" ht="25.5" hidden="1" customHeight="1" outlineLevel="1" x14ac:dyDescent="0.2">
      <c r="A60" s="2">
        <v>32</v>
      </c>
      <c r="B60" s="145" t="s">
        <v>191</v>
      </c>
      <c r="C60" s="8" t="s">
        <v>192</v>
      </c>
      <c r="D60" s="2" t="s">
        <v>143</v>
      </c>
      <c r="E60" s="143">
        <v>0.05</v>
      </c>
      <c r="F60" s="101">
        <v>266.67</v>
      </c>
      <c r="G60" s="30">
        <f t="shared" si="4"/>
        <v>13.33</v>
      </c>
      <c r="H60" s="139">
        <f t="shared" si="3"/>
        <v>1.1121419536988524E-3</v>
      </c>
      <c r="I60" s="30">
        <f>ROUND(F60*Прил.10!$D$13,2)</f>
        <v>2144.0300000000002</v>
      </c>
      <c r="J60" s="30">
        <f t="shared" si="5"/>
        <v>107.2</v>
      </c>
    </row>
    <row r="61" spans="1:10" s="12" customFormat="1" ht="14.25" hidden="1" customHeight="1" outlineLevel="1" x14ac:dyDescent="0.2">
      <c r="A61" s="2">
        <v>33</v>
      </c>
      <c r="B61" s="145" t="s">
        <v>193</v>
      </c>
      <c r="C61" s="8" t="s">
        <v>194</v>
      </c>
      <c r="D61" s="2" t="s">
        <v>143</v>
      </c>
      <c r="E61" s="143">
        <v>11</v>
      </c>
      <c r="F61" s="101">
        <v>0.71</v>
      </c>
      <c r="G61" s="30">
        <f t="shared" si="4"/>
        <v>7.81</v>
      </c>
      <c r="H61" s="139">
        <f t="shared" si="3"/>
        <v>6.5160004939145057E-4</v>
      </c>
      <c r="I61" s="30">
        <f>ROUND(F61*Прил.10!$D$13,2)</f>
        <v>5.71</v>
      </c>
      <c r="J61" s="30">
        <f t="shared" si="5"/>
        <v>62.81</v>
      </c>
    </row>
    <row r="62" spans="1:10" s="12" customFormat="1" ht="14.25" hidden="1" customHeight="1" outlineLevel="1" x14ac:dyDescent="0.2">
      <c r="A62" s="2">
        <v>34</v>
      </c>
      <c r="B62" s="145" t="s">
        <v>195</v>
      </c>
      <c r="C62" s="8" t="s">
        <v>196</v>
      </c>
      <c r="D62" s="2" t="s">
        <v>150</v>
      </c>
      <c r="E62" s="143">
        <v>3.7199999999999999E-4</v>
      </c>
      <c r="F62" s="101">
        <v>12430</v>
      </c>
      <c r="G62" s="30">
        <f t="shared" si="4"/>
        <v>4.62</v>
      </c>
      <c r="H62" s="139">
        <f t="shared" si="3"/>
        <v>3.854535503442384E-4</v>
      </c>
      <c r="I62" s="30">
        <f>ROUND(F62*Прил.10!$D$13,2)</f>
        <v>99937.2</v>
      </c>
      <c r="J62" s="30">
        <f t="shared" si="5"/>
        <v>37.18</v>
      </c>
    </row>
    <row r="63" spans="1:10" s="12" customFormat="1" ht="14.25" hidden="1" customHeight="1" outlineLevel="1" x14ac:dyDescent="0.2">
      <c r="A63" s="2">
        <v>35</v>
      </c>
      <c r="B63" s="145" t="s">
        <v>197</v>
      </c>
      <c r="C63" s="8" t="s">
        <v>198</v>
      </c>
      <c r="D63" s="2" t="s">
        <v>150</v>
      </c>
      <c r="E63" s="143">
        <v>4.9799999999999996E-4</v>
      </c>
      <c r="F63" s="101">
        <v>7826.9</v>
      </c>
      <c r="G63" s="30">
        <f t="shared" si="4"/>
        <v>3.9</v>
      </c>
      <c r="H63" s="139">
        <f t="shared" si="3"/>
        <v>3.2538286717370777E-4</v>
      </c>
      <c r="I63" s="30">
        <f>ROUND(F63*Прил.10!$D$13,2)</f>
        <v>62928.28</v>
      </c>
      <c r="J63" s="30">
        <f t="shared" si="5"/>
        <v>31.34</v>
      </c>
    </row>
    <row r="64" spans="1:10" s="12" customFormat="1" ht="14.25" hidden="1" customHeight="1" outlineLevel="1" x14ac:dyDescent="0.2">
      <c r="A64" s="2">
        <v>36</v>
      </c>
      <c r="B64" s="145" t="s">
        <v>199</v>
      </c>
      <c r="C64" s="8" t="s">
        <v>200</v>
      </c>
      <c r="D64" s="2" t="s">
        <v>201</v>
      </c>
      <c r="E64" s="143">
        <v>2.5260000000000001E-2</v>
      </c>
      <c r="F64" s="101">
        <v>120</v>
      </c>
      <c r="G64" s="30">
        <f t="shared" si="4"/>
        <v>3.03</v>
      </c>
      <c r="H64" s="139">
        <f t="shared" si="3"/>
        <v>2.5279745834264983E-4</v>
      </c>
      <c r="I64" s="30">
        <f>ROUND(F64*Прил.10!$D$13,2)</f>
        <v>964.8</v>
      </c>
      <c r="J64" s="30">
        <f t="shared" si="5"/>
        <v>24.37</v>
      </c>
    </row>
    <row r="65" spans="1:10" s="12" customFormat="1" ht="14.25" hidden="1" customHeight="1" outlineLevel="1" x14ac:dyDescent="0.2">
      <c r="A65" s="2">
        <v>37</v>
      </c>
      <c r="B65" s="145" t="s">
        <v>202</v>
      </c>
      <c r="C65" s="8" t="s">
        <v>203</v>
      </c>
      <c r="D65" s="2" t="s">
        <v>204</v>
      </c>
      <c r="E65" s="143">
        <v>1.0999999999999999E-2</v>
      </c>
      <c r="F65" s="101">
        <v>270</v>
      </c>
      <c r="G65" s="30">
        <f t="shared" si="4"/>
        <v>2.97</v>
      </c>
      <c r="H65" s="139">
        <f t="shared" si="3"/>
        <v>2.4779156807843897E-4</v>
      </c>
      <c r="I65" s="30">
        <f>ROUND(F65*Прил.10!$D$13,2)</f>
        <v>2170.8000000000002</v>
      </c>
      <c r="J65" s="30">
        <f t="shared" si="5"/>
        <v>23.88</v>
      </c>
    </row>
    <row r="66" spans="1:10" s="12" customFormat="1" ht="14.25" hidden="1" customHeight="1" outlineLevel="1" x14ac:dyDescent="0.2">
      <c r="A66" s="2">
        <v>38</v>
      </c>
      <c r="B66" s="145" t="s">
        <v>205</v>
      </c>
      <c r="C66" s="8" t="s">
        <v>206</v>
      </c>
      <c r="D66" s="2" t="s">
        <v>150</v>
      </c>
      <c r="E66" s="143">
        <v>2.9999999999999997E-4</v>
      </c>
      <c r="F66" s="101">
        <v>9424</v>
      </c>
      <c r="G66" s="30">
        <f t="shared" si="4"/>
        <v>2.83</v>
      </c>
      <c r="H66" s="139">
        <f t="shared" si="3"/>
        <v>2.3611115746194691E-4</v>
      </c>
      <c r="I66" s="30">
        <f>ROUND(F66*Прил.10!$D$13,2)</f>
        <v>75768.960000000006</v>
      </c>
      <c r="J66" s="30">
        <f t="shared" si="5"/>
        <v>22.73</v>
      </c>
    </row>
    <row r="67" spans="1:10" s="12" customFormat="1" ht="38.25" hidden="1" customHeight="1" outlineLevel="1" x14ac:dyDescent="0.2">
      <c r="A67" s="2">
        <v>39</v>
      </c>
      <c r="B67" s="145" t="s">
        <v>207</v>
      </c>
      <c r="C67" s="8" t="s">
        <v>208</v>
      </c>
      <c r="D67" s="2" t="s">
        <v>158</v>
      </c>
      <c r="E67" s="143">
        <v>5.0000000000000001E-3</v>
      </c>
      <c r="F67" s="101">
        <v>558.33000000000004</v>
      </c>
      <c r="G67" s="30">
        <f t="shared" si="4"/>
        <v>2.79</v>
      </c>
      <c r="H67" s="139">
        <f t="shared" si="3"/>
        <v>2.3277389728580631E-4</v>
      </c>
      <c r="I67" s="30">
        <f>ROUND(F67*Прил.10!$D$13,2)</f>
        <v>4488.97</v>
      </c>
      <c r="J67" s="30">
        <f t="shared" si="5"/>
        <v>22.44</v>
      </c>
    </row>
    <row r="68" spans="1:10" s="12" customFormat="1" ht="25.5" hidden="1" customHeight="1" outlineLevel="1" x14ac:dyDescent="0.2">
      <c r="A68" s="2">
        <v>40</v>
      </c>
      <c r="B68" s="145" t="s">
        <v>209</v>
      </c>
      <c r="C68" s="8" t="s">
        <v>210</v>
      </c>
      <c r="D68" s="2" t="s">
        <v>204</v>
      </c>
      <c r="E68" s="143">
        <v>1.06E-3</v>
      </c>
      <c r="F68" s="101">
        <v>1740.2</v>
      </c>
      <c r="G68" s="30">
        <f t="shared" si="4"/>
        <v>1.84</v>
      </c>
      <c r="H68" s="139">
        <f t="shared" si="3"/>
        <v>1.5351396810246726E-4</v>
      </c>
      <c r="I68" s="30">
        <f>ROUND(F68*Прил.10!$D$13,2)</f>
        <v>13991.21</v>
      </c>
      <c r="J68" s="30">
        <f t="shared" si="5"/>
        <v>14.83</v>
      </c>
    </row>
    <row r="69" spans="1:10" s="12" customFormat="1" ht="14.25" hidden="1" customHeight="1" outlineLevel="1" x14ac:dyDescent="0.2">
      <c r="A69" s="2">
        <v>41</v>
      </c>
      <c r="B69" s="145" t="s">
        <v>211</v>
      </c>
      <c r="C69" s="8" t="s">
        <v>212</v>
      </c>
      <c r="D69" s="2" t="s">
        <v>185</v>
      </c>
      <c r="E69" s="143">
        <v>0.03</v>
      </c>
      <c r="F69" s="101">
        <v>28.6</v>
      </c>
      <c r="G69" s="30">
        <f t="shared" si="4"/>
        <v>0.86</v>
      </c>
      <c r="H69" s="139">
        <f t="shared" si="3"/>
        <v>7.1751093787022729E-5</v>
      </c>
      <c r="I69" s="30">
        <f>ROUND(F69*Прил.10!$D$13,2)</f>
        <v>229.94</v>
      </c>
      <c r="J69" s="30">
        <f t="shared" si="5"/>
        <v>6.9</v>
      </c>
    </row>
    <row r="70" spans="1:10" s="12" customFormat="1" ht="14.25" hidden="1" customHeight="1" outlineLevel="1" x14ac:dyDescent="0.2">
      <c r="A70" s="2">
        <v>42</v>
      </c>
      <c r="B70" s="145" t="s">
        <v>213</v>
      </c>
      <c r="C70" s="8" t="s">
        <v>214</v>
      </c>
      <c r="D70" s="2" t="s">
        <v>215</v>
      </c>
      <c r="E70" s="143">
        <v>4.0000000000000001E-3</v>
      </c>
      <c r="F70" s="101">
        <v>110</v>
      </c>
      <c r="G70" s="30">
        <f t="shared" si="4"/>
        <v>0.44</v>
      </c>
      <c r="H70" s="139">
        <f t="shared" si="3"/>
        <v>3.6709861937546514E-5</v>
      </c>
      <c r="I70" s="30">
        <f>ROUND(F70*Прил.10!$D$13,2)</f>
        <v>884.4</v>
      </c>
      <c r="J70" s="30">
        <f t="shared" si="5"/>
        <v>3.54</v>
      </c>
    </row>
    <row r="71" spans="1:10" s="12" customFormat="1" ht="38.25" hidden="1" customHeight="1" outlineLevel="1" x14ac:dyDescent="0.2">
      <c r="A71" s="2">
        <v>43</v>
      </c>
      <c r="B71" s="145" t="s">
        <v>216</v>
      </c>
      <c r="C71" s="8" t="s">
        <v>217</v>
      </c>
      <c r="D71" s="2" t="s">
        <v>150</v>
      </c>
      <c r="E71" s="143">
        <v>8.9999999999999998E-4</v>
      </c>
      <c r="F71" s="101">
        <v>480</v>
      </c>
      <c r="G71" s="30">
        <f t="shared" si="4"/>
        <v>0.43</v>
      </c>
      <c r="H71" s="139">
        <f t="shared" si="3"/>
        <v>3.5875546893511364E-5</v>
      </c>
      <c r="I71" s="30">
        <f>ROUND(F71*Прил.10!$D$13,2)</f>
        <v>3859.2</v>
      </c>
      <c r="J71" s="30">
        <f t="shared" si="5"/>
        <v>3.47</v>
      </c>
    </row>
    <row r="72" spans="1:10" s="12" customFormat="1" ht="14.25" hidden="1" customHeight="1" outlineLevel="1" x14ac:dyDescent="0.2">
      <c r="A72" s="2">
        <v>44</v>
      </c>
      <c r="B72" s="145" t="s">
        <v>218</v>
      </c>
      <c r="C72" s="8" t="s">
        <v>219</v>
      </c>
      <c r="D72" s="2" t="s">
        <v>185</v>
      </c>
      <c r="E72" s="143">
        <v>0.06</v>
      </c>
      <c r="F72" s="101">
        <v>6.4</v>
      </c>
      <c r="G72" s="30">
        <f t="shared" si="4"/>
        <v>0.38</v>
      </c>
      <c r="H72" s="139">
        <f t="shared" si="3"/>
        <v>3.1703971673335628E-5</v>
      </c>
      <c r="I72" s="30">
        <f>ROUND(F72*Прил.10!$D$13,2)</f>
        <v>51.46</v>
      </c>
      <c r="J72" s="30">
        <f t="shared" si="5"/>
        <v>3.09</v>
      </c>
    </row>
    <row r="73" spans="1:10" s="12" customFormat="1" ht="25.5" hidden="1" customHeight="1" outlineLevel="1" x14ac:dyDescent="0.2">
      <c r="A73" s="2">
        <v>45</v>
      </c>
      <c r="B73" s="145" t="s">
        <v>220</v>
      </c>
      <c r="C73" s="8" t="s">
        <v>221</v>
      </c>
      <c r="D73" s="2" t="s">
        <v>158</v>
      </c>
      <c r="E73" s="143">
        <v>3.1E-4</v>
      </c>
      <c r="F73" s="101">
        <v>463.3</v>
      </c>
      <c r="G73" s="30">
        <f t="shared" si="4"/>
        <v>0.14000000000000001</v>
      </c>
      <c r="H73" s="139">
        <f t="shared" si="3"/>
        <v>1.1680410616492075E-5</v>
      </c>
      <c r="I73" s="30">
        <f>ROUND(F73*Прил.10!$D$13,2)</f>
        <v>3724.93</v>
      </c>
      <c r="J73" s="30">
        <f t="shared" si="5"/>
        <v>1.1499999999999999</v>
      </c>
    </row>
    <row r="74" spans="1:10" s="12" customFormat="1" ht="38.25" hidden="1" customHeight="1" outlineLevel="1" x14ac:dyDescent="0.2">
      <c r="A74" s="2">
        <v>46</v>
      </c>
      <c r="B74" s="145" t="s">
        <v>222</v>
      </c>
      <c r="C74" s="8" t="s">
        <v>223</v>
      </c>
      <c r="D74" s="2" t="s">
        <v>158</v>
      </c>
      <c r="E74" s="143">
        <v>7.5000000000000002E-4</v>
      </c>
      <c r="F74" s="101">
        <v>55.26</v>
      </c>
      <c r="G74" s="30">
        <f t="shared" si="4"/>
        <v>0.04</v>
      </c>
      <c r="H74" s="139">
        <f t="shared" si="3"/>
        <v>3.3372601761405924E-6</v>
      </c>
      <c r="I74" s="30">
        <f>ROUND(F74*Прил.10!$D$13,2)</f>
        <v>444.29</v>
      </c>
      <c r="J74" s="30">
        <f t="shared" si="5"/>
        <v>0.33</v>
      </c>
    </row>
    <row r="75" spans="1:10" s="12" customFormat="1" ht="14.25" customHeight="1" collapsed="1" x14ac:dyDescent="0.2">
      <c r="A75" s="2"/>
      <c r="B75" s="2"/>
      <c r="C75" s="8" t="s">
        <v>290</v>
      </c>
      <c r="D75" s="2"/>
      <c r="E75" s="143"/>
      <c r="F75" s="101"/>
      <c r="G75" s="30">
        <f>SUM(G47:G74)</f>
        <v>1345.4299999999998</v>
      </c>
      <c r="H75" s="139">
        <f t="shared" si="3"/>
        <v>0.11225124896962091</v>
      </c>
      <c r="I75" s="30"/>
      <c r="J75" s="30">
        <f>SUM(J47:J74)</f>
        <v>10817.409999999996</v>
      </c>
    </row>
    <row r="76" spans="1:10" s="12" customFormat="1" ht="14.25" customHeight="1" x14ac:dyDescent="0.2">
      <c r="A76" s="2"/>
      <c r="B76" s="2"/>
      <c r="C76" s="102" t="s">
        <v>291</v>
      </c>
      <c r="D76" s="2"/>
      <c r="E76" s="134"/>
      <c r="F76" s="101"/>
      <c r="G76" s="30">
        <f>G46+G75</f>
        <v>11985.88</v>
      </c>
      <c r="H76" s="135">
        <f t="shared" si="3"/>
        <v>1</v>
      </c>
      <c r="I76" s="30"/>
      <c r="J76" s="30">
        <f>J46+J75</f>
        <v>96366.459999999992</v>
      </c>
    </row>
    <row r="77" spans="1:10" s="12" customFormat="1" ht="14.25" customHeight="1" x14ac:dyDescent="0.2">
      <c r="A77" s="2"/>
      <c r="B77" s="2"/>
      <c r="C77" s="8" t="s">
        <v>292</v>
      </c>
      <c r="D77" s="2"/>
      <c r="E77" s="134"/>
      <c r="F77" s="101"/>
      <c r="G77" s="30">
        <f>G14+G30+G76</f>
        <v>14156.38</v>
      </c>
      <c r="H77" s="135"/>
      <c r="I77" s="30"/>
      <c r="J77" s="30">
        <f>J14+J30+J76</f>
        <v>154924.54999999999</v>
      </c>
    </row>
    <row r="78" spans="1:10" s="12" customFormat="1" ht="14.25" customHeight="1" x14ac:dyDescent="0.2">
      <c r="A78" s="2"/>
      <c r="B78" s="2"/>
      <c r="C78" s="8" t="s">
        <v>293</v>
      </c>
      <c r="D78" s="188">
        <f>ROUND(G78/(G$16+$G$14),2)</f>
        <v>1.02</v>
      </c>
      <c r="E78" s="134"/>
      <c r="F78" s="101"/>
      <c r="G78" s="30">
        <v>1007</v>
      </c>
      <c r="H78" s="135"/>
      <c r="I78" s="30"/>
      <c r="J78" s="30">
        <f>ROUND(D78*(J14+J16),2)</f>
        <v>46188.78</v>
      </c>
    </row>
    <row r="79" spans="1:10" s="12" customFormat="1" ht="14.25" customHeight="1" x14ac:dyDescent="0.2">
      <c r="A79" s="2"/>
      <c r="B79" s="2"/>
      <c r="C79" s="8" t="s">
        <v>294</v>
      </c>
      <c r="D79" s="188">
        <f>ROUND(G79/(G$14+G$16),2)</f>
        <v>0.69</v>
      </c>
      <c r="E79" s="134"/>
      <c r="F79" s="101"/>
      <c r="G79" s="30">
        <v>680.4</v>
      </c>
      <c r="H79" s="135"/>
      <c r="I79" s="30"/>
      <c r="J79" s="30">
        <f>ROUND(D79*(J14+J16),2)</f>
        <v>31245.35</v>
      </c>
    </row>
    <row r="80" spans="1:10" s="12" customFormat="1" ht="14.25" customHeight="1" x14ac:dyDescent="0.2">
      <c r="A80" s="2"/>
      <c r="B80" s="2"/>
      <c r="C80" s="8" t="s">
        <v>295</v>
      </c>
      <c r="D80" s="2"/>
      <c r="E80" s="134"/>
      <c r="F80" s="101"/>
      <c r="G80" s="30">
        <f>G14+G30+G76+G78+G79</f>
        <v>15843.779999999999</v>
      </c>
      <c r="H80" s="135"/>
      <c r="I80" s="30"/>
      <c r="J80" s="30">
        <f>J14+J30+J76+J78+J79</f>
        <v>232358.68</v>
      </c>
    </row>
    <row r="81" spans="1:10" s="12" customFormat="1" ht="14.25" customHeight="1" x14ac:dyDescent="0.2">
      <c r="A81" s="2"/>
      <c r="B81" s="2"/>
      <c r="C81" s="8" t="s">
        <v>296</v>
      </c>
      <c r="D81" s="2"/>
      <c r="E81" s="134"/>
      <c r="F81" s="101"/>
      <c r="G81" s="30">
        <f>G80+G37</f>
        <v>20583.509999999998</v>
      </c>
      <c r="H81" s="135"/>
      <c r="I81" s="30"/>
      <c r="J81" s="30">
        <f>J80+J37</f>
        <v>262029.4</v>
      </c>
    </row>
    <row r="82" spans="1:10" s="12" customFormat="1" ht="34.5" customHeight="1" x14ac:dyDescent="0.2">
      <c r="A82" s="2"/>
      <c r="B82" s="2"/>
      <c r="C82" s="8" t="s">
        <v>260</v>
      </c>
      <c r="D82" s="222" t="s">
        <v>297</v>
      </c>
      <c r="E82" s="134">
        <v>1</v>
      </c>
      <c r="F82" s="101"/>
      <c r="G82" s="30">
        <f>G81/E82</f>
        <v>20583.509999999998</v>
      </c>
      <c r="H82" s="135"/>
      <c r="I82" s="30"/>
      <c r="J82" s="30">
        <f>J81/E82</f>
        <v>262029.4</v>
      </c>
    </row>
    <row r="84" spans="1:10" s="12" customFormat="1" ht="14.25" customHeight="1" x14ac:dyDescent="0.2">
      <c r="A84" s="4" t="s">
        <v>298</v>
      </c>
      <c r="D84" s="187"/>
    </row>
    <row r="85" spans="1:10" s="12" customFormat="1" ht="14.25" customHeight="1" x14ac:dyDescent="0.2">
      <c r="A85" s="31" t="s">
        <v>76</v>
      </c>
      <c r="D85" s="187"/>
    </row>
    <row r="86" spans="1:10" s="12" customFormat="1" ht="14.25" customHeight="1" x14ac:dyDescent="0.2">
      <c r="A86" s="4"/>
      <c r="D86" s="187"/>
    </row>
    <row r="87" spans="1:10" s="12" customFormat="1" ht="14.25" customHeight="1" x14ac:dyDescent="0.2">
      <c r="A87" s="4" t="s">
        <v>77</v>
      </c>
      <c r="D87" s="187"/>
    </row>
    <row r="88" spans="1:10" s="12" customFormat="1" ht="14.25" customHeight="1" x14ac:dyDescent="0.2">
      <c r="A88" s="31" t="s">
        <v>78</v>
      </c>
      <c r="D88" s="187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0:H40"/>
    <mergeCell ref="B12:H12"/>
    <mergeCell ref="B15:H15"/>
    <mergeCell ref="B17:H17"/>
    <mergeCell ref="B18:H18"/>
    <mergeCell ref="B32:H32"/>
    <mergeCell ref="B31:H31"/>
    <mergeCell ref="B39:H39"/>
  </mergeCells>
  <conditionalFormatting sqref="B19:B21">
    <cfRule type="duplicateValues" dxfId="3" priority="1"/>
  </conditionalFormatting>
  <conditionalFormatting sqref="B23:B28">
    <cfRule type="duplicateValues" dxfId="2" priority="2"/>
  </conditionalFormatting>
  <conditionalFormatting sqref="B41:B45">
    <cfRule type="duplicateValues" dxfId="1" priority="3"/>
  </conditionalFormatting>
  <conditionalFormatting sqref="B47:B74">
    <cfRule type="duplicateValues" dxfId="0" priority="4"/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7" workbookViewId="0">
      <selection activeCell="E18" sqref="E1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1" t="s">
        <v>299</v>
      </c>
      <c r="B1" s="281"/>
      <c r="C1" s="281"/>
      <c r="D1" s="281"/>
      <c r="E1" s="281"/>
      <c r="F1" s="281"/>
      <c r="G1" s="281"/>
    </row>
    <row r="2" spans="1:7" ht="21.75" customHeight="1" x14ac:dyDescent="0.25">
      <c r="A2" s="50"/>
      <c r="B2" s="50"/>
      <c r="C2" s="50"/>
      <c r="D2" s="50"/>
      <c r="E2" s="50"/>
      <c r="F2" s="50"/>
      <c r="G2" s="50"/>
    </row>
    <row r="3" spans="1:7" x14ac:dyDescent="0.25">
      <c r="A3" s="235" t="s">
        <v>300</v>
      </c>
      <c r="B3" s="235"/>
      <c r="C3" s="235"/>
      <c r="D3" s="235"/>
      <c r="E3" s="235"/>
      <c r="F3" s="235"/>
      <c r="G3" s="235"/>
    </row>
    <row r="4" spans="1:7" ht="25.5" customHeight="1" x14ac:dyDescent="0.25">
      <c r="A4" s="238" t="s">
        <v>48</v>
      </c>
      <c r="B4" s="238"/>
      <c r="C4" s="238"/>
      <c r="D4" s="238"/>
      <c r="E4" s="238"/>
      <c r="F4" s="238"/>
      <c r="G4" s="238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6" t="s">
        <v>13</v>
      </c>
      <c r="B6" s="286" t="s">
        <v>101</v>
      </c>
      <c r="C6" s="286" t="s">
        <v>226</v>
      </c>
      <c r="D6" s="286" t="s">
        <v>103</v>
      </c>
      <c r="E6" s="263" t="s">
        <v>269</v>
      </c>
      <c r="F6" s="286" t="s">
        <v>105</v>
      </c>
      <c r="G6" s="286"/>
    </row>
    <row r="7" spans="1:7" x14ac:dyDescent="0.25">
      <c r="A7" s="286"/>
      <c r="B7" s="286"/>
      <c r="C7" s="286"/>
      <c r="D7" s="286"/>
      <c r="E7" s="279"/>
      <c r="F7" s="2" t="s">
        <v>272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82" t="s">
        <v>301</v>
      </c>
      <c r="C9" s="283"/>
      <c r="D9" s="283"/>
      <c r="E9" s="283"/>
      <c r="F9" s="283"/>
      <c r="G9" s="284"/>
    </row>
    <row r="10" spans="1:7" ht="27" customHeight="1" x14ac:dyDescent="0.25">
      <c r="A10" s="2"/>
      <c r="B10" s="102"/>
      <c r="C10" s="8" t="s">
        <v>302</v>
      </c>
      <c r="D10" s="102"/>
      <c r="E10" s="103"/>
      <c r="F10" s="101"/>
      <c r="G10" s="101">
        <v>0</v>
      </c>
    </row>
    <row r="11" spans="1:7" x14ac:dyDescent="0.25">
      <c r="A11" s="2"/>
      <c r="B11" s="267" t="s">
        <v>303</v>
      </c>
      <c r="C11" s="267"/>
      <c r="D11" s="267"/>
      <c r="E11" s="285"/>
      <c r="F11" s="270"/>
      <c r="G11" s="270"/>
    </row>
    <row r="12" spans="1:7" ht="33" customHeight="1" x14ac:dyDescent="0.25">
      <c r="A12" s="2">
        <v>1</v>
      </c>
      <c r="B12" s="181" t="str">
        <f>'Прил.5 Расчет СМР и ОБ'!B33</f>
        <v>БЦ.92_4.11</v>
      </c>
      <c r="C12" s="181" t="str">
        <f>'Прил.5 Расчет СМР и ОБ'!C33</f>
        <v>Мотор-редуктор для откатных ворот</v>
      </c>
      <c r="D12" s="189" t="str">
        <f>'Прил.5 Расчет СМР и ОБ'!D33</f>
        <v>шт</v>
      </c>
      <c r="E12" s="190">
        <f>'Прил.5 Расчет СМР и ОБ'!E33</f>
        <v>1</v>
      </c>
      <c r="F12" s="181">
        <f>'Прил.5 Расчет СМР и ОБ'!F33</f>
        <v>3642.45</v>
      </c>
      <c r="G12" s="30">
        <f>ROUND(E12*F12,2)</f>
        <v>3642.45</v>
      </c>
    </row>
    <row r="13" spans="1:7" ht="33" customHeight="1" x14ac:dyDescent="0.25">
      <c r="A13" s="2">
        <v>2</v>
      </c>
      <c r="B13" s="181" t="str">
        <f>'Прил.5 Расчет СМР и ОБ'!B34</f>
        <v>62.1.02.14-0069</v>
      </c>
      <c r="C13" s="181" t="str">
        <f>'Прил.5 Расчет СМР и ОБ'!C34</f>
        <v>Ящик управления РУСМ 5410-2274 У2</v>
      </c>
      <c r="D13" s="189" t="str">
        <f>'Прил.5 Расчет СМР и ОБ'!D34</f>
        <v>шт.</v>
      </c>
      <c r="E13" s="190">
        <f>'Прил.5 Расчет СМР и ОБ'!E34</f>
        <v>1</v>
      </c>
      <c r="F13" s="181">
        <f>'Прил.5 Расчет СМР и ОБ'!F34</f>
        <v>1097.28</v>
      </c>
      <c r="G13" s="30">
        <f>ROUND(E13*F13,2)</f>
        <v>1097.28</v>
      </c>
    </row>
    <row r="14" spans="1:7" ht="25.5" customHeight="1" x14ac:dyDescent="0.25">
      <c r="A14" s="2"/>
      <c r="B14" s="8"/>
      <c r="C14" s="8" t="s">
        <v>304</v>
      </c>
      <c r="D14" s="8"/>
      <c r="E14" s="45"/>
      <c r="F14" s="101"/>
      <c r="G14" s="30">
        <f>SUM(G12:G13)</f>
        <v>4739.7299999999996</v>
      </c>
    </row>
    <row r="15" spans="1:7" ht="19.5" customHeight="1" x14ac:dyDescent="0.25">
      <c r="A15" s="2"/>
      <c r="B15" s="8"/>
      <c r="C15" s="8" t="s">
        <v>305</v>
      </c>
      <c r="D15" s="8"/>
      <c r="E15" s="45"/>
      <c r="F15" s="101"/>
      <c r="G15" s="30">
        <f>G10+G14</f>
        <v>4739.7299999999996</v>
      </c>
    </row>
    <row r="16" spans="1:7" x14ac:dyDescent="0.25">
      <c r="A16" s="28"/>
      <c r="B16" s="104"/>
      <c r="C16" s="28"/>
      <c r="D16" s="28"/>
      <c r="E16" s="28"/>
      <c r="F16" s="28"/>
      <c r="G16" s="28"/>
    </row>
    <row r="17" spans="1:7" x14ac:dyDescent="0.25">
      <c r="A17" s="4" t="s">
        <v>298</v>
      </c>
      <c r="B17" s="12"/>
      <c r="C17" s="12"/>
      <c r="D17" s="28"/>
      <c r="E17" s="28"/>
      <c r="F17" s="28"/>
      <c r="G17" s="28"/>
    </row>
    <row r="18" spans="1:7" x14ac:dyDescent="0.25">
      <c r="A18" s="31" t="s">
        <v>76</v>
      </c>
      <c r="B18" s="12"/>
      <c r="C18" s="12"/>
      <c r="D18" s="28"/>
      <c r="E18" s="28"/>
      <c r="F18" s="28"/>
      <c r="G18" s="28"/>
    </row>
    <row r="19" spans="1:7" x14ac:dyDescent="0.25">
      <c r="A19" s="4"/>
      <c r="B19" s="12"/>
      <c r="C19" s="12"/>
      <c r="D19" s="28"/>
      <c r="E19" s="28"/>
      <c r="F19" s="28"/>
      <c r="G19" s="28"/>
    </row>
    <row r="20" spans="1:7" x14ac:dyDescent="0.25">
      <c r="A20" s="4" t="s">
        <v>77</v>
      </c>
      <c r="B20" s="12"/>
      <c r="C20" s="12"/>
      <c r="D20" s="28"/>
      <c r="E20" s="28"/>
      <c r="F20" s="28"/>
      <c r="G20" s="28"/>
    </row>
    <row r="21" spans="1:7" x14ac:dyDescent="0.25">
      <c r="A21" s="31" t="s">
        <v>78</v>
      </c>
      <c r="B21" s="12"/>
      <c r="C21" s="12"/>
      <c r="D21" s="28"/>
      <c r="E21" s="28"/>
      <c r="F21" s="28"/>
      <c r="G21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cp:lastPrinted>2023-11-26T07:03:03Z</cp:lastPrinted>
  <dcterms:created xsi:type="dcterms:W3CDTF">2020-09-30T08:50:27Z</dcterms:created>
  <dcterms:modified xsi:type="dcterms:W3CDTF">2024-02-06T10:43:04Z</dcterms:modified>
  <cp:category/>
</cp:coreProperties>
</file>