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8CF66039-8479-4B92-80F4-3A0B59D5607B}" xr6:coauthVersionLast="40" xr6:coauthVersionMax="40" xr10:uidLastSave="{00000000-0000-0000-0000-000000000000}"/>
  <bookViews>
    <workbookView xWindow="0" yWindow="0" windowWidth="28800" windowHeight="12225" tabRatio="891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4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>#REF!</definedName>
    <definedName name="______xlnm.Primt_Area_3" localSheetId="4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>#REF!</definedName>
    <definedName name="_def2000г" localSheetId="4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>#REF!</definedName>
    <definedName name="_m" localSheetId="4">#REF!</definedName>
    <definedName name="_m">#REF!</definedName>
    <definedName name="_qs2" localSheetId="4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>#REF!</definedName>
    <definedName name="cvtnf">#REF!</definedName>
    <definedName name="d" localSheetId="4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>#REF!</definedName>
    <definedName name="i" localSheetId="4">#REF!</definedName>
    <definedName name="i">#REF!</definedName>
    <definedName name="iii" localSheetId="4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>#REF!</definedName>
    <definedName name="jkjhggh" localSheetId="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 localSheetId="4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>#REF!</definedName>
    <definedName name="pp" localSheetId="4">#REF!</definedName>
    <definedName name="pp">#REF!</definedName>
    <definedName name="Print_Area" localSheetId="4">#REF!</definedName>
    <definedName name="Print_Area">#REF!</definedName>
    <definedName name="propis" localSheetId="4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>#REF!</definedName>
    <definedName name="rtyrty" localSheetId="4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>#REF!</definedName>
    <definedName name="SDDsfd" localSheetId="4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>#REF!</definedName>
    <definedName name="SUM_" localSheetId="4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>#REF!</definedName>
    <definedName name="ujl" localSheetId="4">#REF!</definedName>
    <definedName name="ujl">#REF!</definedName>
    <definedName name="USA_1" localSheetId="4">#REF!</definedName>
    <definedName name="USA_1">#REF!</definedName>
    <definedName name="v" localSheetId="4">#REF!</definedName>
    <definedName name="v">#REF!</definedName>
    <definedName name="VH" localSheetId="4">#REF!</definedName>
    <definedName name="VH">#REF!</definedName>
    <definedName name="w" localSheetId="4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>#REF!</definedName>
    <definedName name="аода" localSheetId="4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>#REF!</definedName>
    <definedName name="б" localSheetId="4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>#REF!</definedName>
    <definedName name="вб">#REF!</definedName>
    <definedName name="ввв" localSheetId="4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>#REF!</definedName>
    <definedName name="внеове" localSheetId="4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>#REF!</definedName>
    <definedName name="ВсегоШурфов" localSheetId="4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>#REF!</definedName>
    <definedName name="гелог" localSheetId="4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>#REF!</definedName>
    <definedName name="гидро5" localSheetId="4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>#REF!</definedName>
    <definedName name="диапазон" localSheetId="4">#REF!</definedName>
    <definedName name="диапазон">#REF!</definedName>
    <definedName name="Диск" localSheetId="4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8">#REF!</definedName>
    <definedName name="ж">#REF!</definedName>
    <definedName name="жжж" localSheetId="4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>#REF!</definedName>
    <definedName name="Зел">#REF!</definedName>
    <definedName name="зждзд" localSheetId="4">#REF!</definedName>
    <definedName name="зждзд">#REF!</definedName>
    <definedName name="зз" localSheetId="4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>#REF!</definedName>
    <definedName name="зит">#REF!</definedName>
    <definedName name="зощр" localSheetId="4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>#REF!</definedName>
    <definedName name="инфл" localSheetId="4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>#REF!</definedName>
    <definedName name="йцйц">NA()</definedName>
    <definedName name="йцу" localSheetId="4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>#REF!</definedName>
    <definedName name="кгкг" localSheetId="4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>#REF!</definedName>
    <definedName name="конкурс" localSheetId="4">#REF!</definedName>
    <definedName name="конкурс">#REF!</definedName>
    <definedName name="Контроллер_1" localSheetId="4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>#REF!</definedName>
    <definedName name="КОЭФ3" localSheetId="4">#REF!</definedName>
    <definedName name="КОЭФ3">#REF!</definedName>
    <definedName name="КоэфБезПоля" localSheetId="4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>#REF!</definedName>
    <definedName name="Крп">#REF!</definedName>
    <definedName name="куку" localSheetId="4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>#REF!</definedName>
    <definedName name="Магаданская_область" localSheetId="4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>#REF!</definedName>
    <definedName name="нес2">#REF!</definedName>
    <definedName name="неуо" localSheetId="4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>#REF!</definedName>
    <definedName name="об" localSheetId="4">#REF!</definedName>
    <definedName name="об">#REF!</definedName>
    <definedName name="обл">#REF!</definedName>
    <definedName name="_xlnm.Print_Area" localSheetId="2">Прил.3!$A$1:$H$77</definedName>
    <definedName name="_xlnm.Print_Area" localSheetId="3">'Прил.4 РМ'!$A$1:$E$48</definedName>
    <definedName name="_xlnm.Print_Area" localSheetId="4">'Прил.5 Расчет СМР и ОБ'!$A$1:$J$92</definedName>
    <definedName name="_xlnm.Print_Area" localSheetId="8">ФОТр.тек.!$A$1:$F$13</definedName>
    <definedName name="_xlnm.Print_Area">#REF!</definedName>
    <definedName name="Область_печати_ИМ" localSheetId="4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>#REF!</definedName>
    <definedName name="объем___11___0">NA()</definedName>
    <definedName name="объем___11___10" localSheetId="4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>#REF!</definedName>
    <definedName name="ол" localSheetId="4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>#REF!</definedName>
    <definedName name="плдпол" localSheetId="4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>#REF!</definedName>
    <definedName name="Подгон" localSheetId="4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>#REF!</definedName>
    <definedName name="Покупное_ПО" localSheetId="4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>#REF!</definedName>
    <definedName name="Промбезоп" localSheetId="4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>#REF!</definedName>
    <definedName name="пропропрспро">#REF!</definedName>
    <definedName name="Прот">#REF!</definedName>
    <definedName name="протоколРМВК" localSheetId="4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>#REF!</definedName>
    <definedName name="прпр_1" localSheetId="4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 localSheetId="4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>#REF!</definedName>
    <definedName name="СДП">#REF!</definedName>
    <definedName name="се">#REF!</definedName>
    <definedName name="сев" localSheetId="4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>#REF!</definedName>
    <definedName name="Семь" localSheetId="4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>#REF!</definedName>
    <definedName name="Сервисное_оборудование_1" localSheetId="4">#REF!</definedName>
    <definedName name="Сервисное_оборудование_1">#REF!</definedName>
    <definedName name="СлБелг" localSheetId="4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>#REF!</definedName>
    <definedName name="смета" localSheetId="4">#REF!</definedName>
    <definedName name="смета">#REF!</definedName>
    <definedName name="Смета_2">#REF!</definedName>
    <definedName name="смета1" localSheetId="4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>#REF!</definedName>
    <definedName name="Тамбовская_область" localSheetId="4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>#REF!</definedName>
    <definedName name="Ф91" localSheetId="4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>#REF!</definedName>
    <definedName name="ффггг" localSheetId="4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>#REF!</definedName>
    <definedName name="цена___11___0">NA()</definedName>
    <definedName name="цена___11___10" localSheetId="4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>#REF!</definedName>
    <definedName name="электроэнергия">#REF!</definedName>
    <definedName name="ЭлеСи_1" localSheetId="4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8">#REF!</definedName>
    <definedName name="юююю">#REF!</definedName>
    <definedName name="яапт" localSheetId="4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13" i="9" l="1"/>
  <c r="E8" i="9"/>
  <c r="D5" i="7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E14" i="6"/>
  <c r="D14" i="6"/>
  <c r="C14" i="6"/>
  <c r="B14" i="6"/>
  <c r="I75" i="5"/>
  <c r="J75" i="5" s="1"/>
  <c r="G75" i="5"/>
  <c r="I74" i="5"/>
  <c r="J74" i="5" s="1"/>
  <c r="G74" i="5"/>
  <c r="J73" i="5"/>
  <c r="I73" i="5"/>
  <c r="G73" i="5"/>
  <c r="I72" i="5"/>
  <c r="J72" i="5" s="1"/>
  <c r="G72" i="5"/>
  <c r="I71" i="5"/>
  <c r="J71" i="5" s="1"/>
  <c r="G71" i="5"/>
  <c r="J70" i="5"/>
  <c r="I70" i="5"/>
  <c r="G70" i="5"/>
  <c r="I69" i="5"/>
  <c r="J69" i="5" s="1"/>
  <c r="G69" i="5"/>
  <c r="I68" i="5"/>
  <c r="J68" i="5" s="1"/>
  <c r="G68" i="5"/>
  <c r="J67" i="5"/>
  <c r="I67" i="5"/>
  <c r="G67" i="5"/>
  <c r="I66" i="5"/>
  <c r="J66" i="5" s="1"/>
  <c r="G66" i="5"/>
  <c r="I65" i="5"/>
  <c r="J65" i="5" s="1"/>
  <c r="G65" i="5"/>
  <c r="J64" i="5"/>
  <c r="I64" i="5"/>
  <c r="G64" i="5"/>
  <c r="I63" i="5"/>
  <c r="J63" i="5" s="1"/>
  <c r="G63" i="5"/>
  <c r="I62" i="5"/>
  <c r="J62" i="5" s="1"/>
  <c r="G62" i="5"/>
  <c r="J61" i="5"/>
  <c r="I61" i="5"/>
  <c r="G61" i="5"/>
  <c r="I60" i="5"/>
  <c r="J60" i="5" s="1"/>
  <c r="G60" i="5"/>
  <c r="I59" i="5"/>
  <c r="J59" i="5" s="1"/>
  <c r="G59" i="5"/>
  <c r="J58" i="5"/>
  <c r="I58" i="5"/>
  <c r="G58" i="5"/>
  <c r="I57" i="5"/>
  <c r="J57" i="5" s="1"/>
  <c r="G57" i="5"/>
  <c r="I56" i="5"/>
  <c r="J56" i="5" s="1"/>
  <c r="G56" i="5"/>
  <c r="J55" i="5"/>
  <c r="I55" i="5"/>
  <c r="G55" i="5"/>
  <c r="I54" i="5"/>
  <c r="J54" i="5" s="1"/>
  <c r="G54" i="5"/>
  <c r="I53" i="5"/>
  <c r="J53" i="5" s="1"/>
  <c r="G53" i="5"/>
  <c r="J52" i="5"/>
  <c r="I52" i="5"/>
  <c r="G52" i="5"/>
  <c r="G76" i="5" s="1"/>
  <c r="J50" i="5"/>
  <c r="I50" i="5"/>
  <c r="G50" i="5"/>
  <c r="I49" i="5"/>
  <c r="J49" i="5" s="1"/>
  <c r="G49" i="5"/>
  <c r="J48" i="5"/>
  <c r="I48" i="5"/>
  <c r="G48" i="5"/>
  <c r="J47" i="5"/>
  <c r="I47" i="5"/>
  <c r="G47" i="5"/>
  <c r="I46" i="5"/>
  <c r="J46" i="5" s="1"/>
  <c r="J51" i="5" s="1"/>
  <c r="G46" i="5"/>
  <c r="J40" i="5"/>
  <c r="I40" i="5"/>
  <c r="G40" i="5"/>
  <c r="I39" i="5"/>
  <c r="J39" i="5" s="1"/>
  <c r="G39" i="5"/>
  <c r="I38" i="5"/>
  <c r="J38" i="5" s="1"/>
  <c r="G38" i="5"/>
  <c r="J37" i="5"/>
  <c r="I37" i="5"/>
  <c r="G37" i="5"/>
  <c r="G41" i="5" s="1"/>
  <c r="J35" i="5"/>
  <c r="I35" i="5"/>
  <c r="G35" i="5"/>
  <c r="I34" i="5"/>
  <c r="J34" i="5" s="1"/>
  <c r="G34" i="5"/>
  <c r="J33" i="5"/>
  <c r="I33" i="5"/>
  <c r="G33" i="5"/>
  <c r="J32" i="5"/>
  <c r="I32" i="5"/>
  <c r="F32" i="5"/>
  <c r="F14" i="6" s="1"/>
  <c r="G14" i="6" s="1"/>
  <c r="G22" i="6" s="1"/>
  <c r="I27" i="5"/>
  <c r="J27" i="5" s="1"/>
  <c r="G27" i="5"/>
  <c r="J26" i="5"/>
  <c r="I26" i="5"/>
  <c r="G26" i="5"/>
  <c r="J25" i="5"/>
  <c r="I25" i="5"/>
  <c r="G25" i="5"/>
  <c r="G28" i="5" s="1"/>
  <c r="I23" i="5"/>
  <c r="J23" i="5" s="1"/>
  <c r="G23" i="5"/>
  <c r="J22" i="5"/>
  <c r="I22" i="5"/>
  <c r="G22" i="5"/>
  <c r="I21" i="5"/>
  <c r="J21" i="5" s="1"/>
  <c r="J24" i="5" s="1"/>
  <c r="G21" i="5"/>
  <c r="G24" i="5" s="1"/>
  <c r="G18" i="5"/>
  <c r="F18" i="5" s="1"/>
  <c r="I18" i="5" s="1"/>
  <c r="J18" i="5" s="1"/>
  <c r="C15" i="4" s="1"/>
  <c r="E16" i="5"/>
  <c r="J15" i="5"/>
  <c r="I15" i="5"/>
  <c r="G15" i="5"/>
  <c r="F15" i="5"/>
  <c r="J14" i="5"/>
  <c r="J16" i="5" s="1"/>
  <c r="I14" i="5"/>
  <c r="G14" i="5"/>
  <c r="F14" i="5"/>
  <c r="J13" i="5"/>
  <c r="I13" i="5"/>
  <c r="G13" i="5"/>
  <c r="A7" i="5"/>
  <c r="B8" i="4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0" i="3"/>
  <c r="F20" i="3"/>
  <c r="H19" i="3"/>
  <c r="H18" i="3"/>
  <c r="H17" i="3"/>
  <c r="H16" i="3"/>
  <c r="H15" i="3"/>
  <c r="H14" i="3"/>
  <c r="H13" i="3"/>
  <c r="H12" i="3"/>
  <c r="F12" i="3"/>
  <c r="H12" i="2"/>
  <c r="H14" i="2" s="1"/>
  <c r="D19" i="1" s="1"/>
  <c r="F12" i="2"/>
  <c r="J12" i="2" s="1"/>
  <c r="J14" i="2" s="1"/>
  <c r="B7" i="2"/>
  <c r="B7" i="1"/>
  <c r="B7" i="4" s="1"/>
  <c r="C11" i="4" l="1"/>
  <c r="C22" i="4" s="1"/>
  <c r="J36" i="5"/>
  <c r="G29" i="5"/>
  <c r="H28" i="5" s="1"/>
  <c r="J41" i="5"/>
  <c r="C12" i="4"/>
  <c r="C16" i="4"/>
  <c r="J77" i="5"/>
  <c r="H22" i="5"/>
  <c r="J28" i="5"/>
  <c r="C13" i="4" s="1"/>
  <c r="C14" i="4" s="1"/>
  <c r="G43" i="5"/>
  <c r="G23" i="6"/>
  <c r="J76" i="5"/>
  <c r="C17" i="4" s="1"/>
  <c r="C18" i="4" s="1"/>
  <c r="A6" i="6"/>
  <c r="B6" i="2"/>
  <c r="G51" i="5"/>
  <c r="A7" i="3"/>
  <c r="G32" i="5"/>
  <c r="F14" i="2"/>
  <c r="C20" i="4"/>
  <c r="G16" i="5"/>
  <c r="D18" i="1"/>
  <c r="D17" i="1" s="1"/>
  <c r="D23" i="1" s="1"/>
  <c r="D24" i="1" s="1"/>
  <c r="J42" i="5" l="1"/>
  <c r="C25" i="4" s="1"/>
  <c r="G36" i="5"/>
  <c r="J43" i="5"/>
  <c r="C26" i="4" s="1"/>
  <c r="J29" i="5"/>
  <c r="J78" i="5" s="1"/>
  <c r="H21" i="5"/>
  <c r="H25" i="5"/>
  <c r="H27" i="5"/>
  <c r="G77" i="5"/>
  <c r="H51" i="5" s="1"/>
  <c r="H24" i="5"/>
  <c r="C19" i="4"/>
  <c r="H23" i="5"/>
  <c r="H26" i="5"/>
  <c r="G78" i="5"/>
  <c r="E80" i="5"/>
  <c r="J80" i="5" s="1"/>
  <c r="E79" i="5"/>
  <c r="J79" i="5" s="1"/>
  <c r="H13" i="5"/>
  <c r="C24" i="4"/>
  <c r="H15" i="5"/>
  <c r="H14" i="5"/>
  <c r="G81" i="5" l="1"/>
  <c r="H42" i="5"/>
  <c r="G42" i="5"/>
  <c r="H50" i="5"/>
  <c r="H75" i="5"/>
  <c r="H72" i="5"/>
  <c r="H69" i="5"/>
  <c r="H66" i="5"/>
  <c r="H63" i="5"/>
  <c r="H60" i="5"/>
  <c r="H57" i="5"/>
  <c r="H54" i="5"/>
  <c r="H49" i="5"/>
  <c r="H46" i="5"/>
  <c r="H47" i="5"/>
  <c r="H74" i="5"/>
  <c r="H67" i="5"/>
  <c r="H55" i="5"/>
  <c r="H53" i="5"/>
  <c r="H65" i="5"/>
  <c r="H58" i="5"/>
  <c r="H73" i="5"/>
  <c r="H76" i="5"/>
  <c r="H68" i="5"/>
  <c r="H61" i="5"/>
  <c r="H71" i="5"/>
  <c r="H48" i="5"/>
  <c r="H62" i="5"/>
  <c r="H56" i="5"/>
  <c r="H70" i="5"/>
  <c r="H52" i="5"/>
  <c r="H64" i="5"/>
  <c r="H59" i="5"/>
  <c r="J81" i="5"/>
  <c r="J82" i="5" s="1"/>
  <c r="J83" i="5" s="1"/>
  <c r="D17" i="4"/>
  <c r="D13" i="4"/>
  <c r="D11" i="4"/>
  <c r="C29" i="4"/>
  <c r="D18" i="4"/>
  <c r="D16" i="4"/>
  <c r="D14" i="4"/>
  <c r="D12" i="4"/>
  <c r="C27" i="4"/>
  <c r="D24" i="4"/>
  <c r="D15" i="4"/>
  <c r="D22" i="4"/>
  <c r="D20" i="4"/>
  <c r="H39" i="5" l="1"/>
  <c r="H35" i="5"/>
  <c r="H34" i="5"/>
  <c r="H41" i="5"/>
  <c r="H38" i="5"/>
  <c r="H33" i="5"/>
  <c r="H37" i="5"/>
  <c r="H40" i="5"/>
  <c r="H32" i="5"/>
  <c r="H43" i="5"/>
  <c r="H36" i="5"/>
  <c r="G82" i="5"/>
  <c r="G83" i="5" s="1"/>
  <c r="C30" i="4"/>
  <c r="C37" i="4" l="1"/>
  <c r="C36" i="4"/>
  <c r="C38" i="4" l="1"/>
  <c r="C39" i="4" l="1"/>
  <c r="C40" i="4" l="1"/>
  <c r="E39" i="4" s="1"/>
  <c r="E26" i="4" l="1"/>
  <c r="E12" i="4"/>
  <c r="E35" i="4"/>
  <c r="E16" i="4"/>
  <c r="C41" i="4"/>
  <c r="D11" i="7" s="1"/>
  <c r="E34" i="4"/>
  <c r="E25" i="4"/>
  <c r="E18" i="4"/>
  <c r="E14" i="4"/>
  <c r="E13" i="4"/>
  <c r="E40" i="4"/>
  <c r="E33" i="4"/>
  <c r="E32" i="4"/>
  <c r="E31" i="4"/>
  <c r="E17" i="4"/>
  <c r="E11" i="4"/>
  <c r="E15" i="4"/>
  <c r="E22" i="4"/>
  <c r="E20" i="4"/>
  <c r="E24" i="4"/>
  <c r="E27" i="4"/>
  <c r="E29" i="4"/>
  <c r="E30" i="4"/>
  <c r="E36" i="4"/>
  <c r="E37" i="4"/>
  <c r="E38" i="4"/>
</calcChain>
</file>

<file path=xl/sharedStrings.xml><?xml version="1.0" encoding="utf-8"?>
<sst xmlns="http://schemas.openxmlformats.org/spreadsheetml/2006/main" count="563" uniqueCount="333">
  <si>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</si>
  <si>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</si>
  <si>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</si>
  <si>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Сопоставимый уровень цен:  4 кв. 2019 г.</t>
  </si>
  <si>
    <t>Единица измерения  — 1 ПС</t>
  </si>
  <si>
    <t>№ п/п</t>
  </si>
  <si>
    <t>Параметр</t>
  </si>
  <si>
    <t>Объект-представитель 1</t>
  </si>
  <si>
    <t>Наименование объекта-представителя</t>
  </si>
  <si>
    <t>ПС 110 кВ Юнтолово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</si>
  <si>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</si>
  <si>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</si>
  <si>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</si>
  <si>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</si>
  <si>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</si>
  <si>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</si>
  <si>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227,65 м периметра ПС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</si>
  <si>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</si>
  <si>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</si>
  <si>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</si>
  <si>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</si>
  <si>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</si>
  <si>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</si>
  <si>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</si>
  <si>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</si>
  <si>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</si>
  <si>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</si>
  <si>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</si>
  <si>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</si>
  <si>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</si>
  <si>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</si>
  <si>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</si>
  <si>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</si>
  <si>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</si>
  <si>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</si>
  <si>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</si>
  <si>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</si>
  <si>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</si>
  <si>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</si>
  <si>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</si>
  <si>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</si>
  <si>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</si>
  <si>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</si>
  <si>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</si>
  <si>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</si>
  <si>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</si>
  <si>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</si>
  <si>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Система периметральной сигнализации ЗПС 110 кВ</t>
  </si>
  <si>
    <t>Всего по объекту:</t>
  </si>
  <si>
    <t>Всего по объекту в сопоставимом уровне цен 4 кв. 2019 г.: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</si>
  <si>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</si>
  <si>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</si>
  <si>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</si>
  <si>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</si>
  <si>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</si>
  <si>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</si>
  <si>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</si>
  <si>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</si>
  <si>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</si>
  <si>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</si>
  <si>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</si>
  <si>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</si>
  <si>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</si>
  <si>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</si>
  <si>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 3,8)</t>
  </si>
  <si>
    <t>чел.-ч</t>
  </si>
  <si>
    <t>1-4-0</t>
  </si>
  <si>
    <t>Затраты труда рабочих (ср 4)</t>
  </si>
  <si>
    <t>1-4-1</t>
  </si>
  <si>
    <t>Затраты труда рабочих (ср 4,1)</t>
  </si>
  <si>
    <t>1-3-1</t>
  </si>
  <si>
    <t>Затраты труда рабочих (ср 3,1)</t>
  </si>
  <si>
    <t>1-3-3</t>
  </si>
  <si>
    <t>Затраты труда рабочих (ср 3,3)</t>
  </si>
  <si>
    <t>10-3-1</t>
  </si>
  <si>
    <t>Инженер I категории</t>
  </si>
  <si>
    <t>10-3-2</t>
  </si>
  <si>
    <t>Инженер II категории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</si>
  <si>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</si>
  <si>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</si>
  <si>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</si>
  <si>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</si>
  <si>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</si>
  <si>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</si>
  <si>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</si>
  <si>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</si>
  <si>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</si>
  <si>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</si>
  <si>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</si>
  <si>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91.17.04-233</t>
  </si>
  <si>
    <t>Установки для сварки ручной дуговой (постоянного тока)</t>
  </si>
  <si>
    <t>91.21.19-031</t>
  </si>
  <si>
    <t>Станки сверлильные</t>
  </si>
  <si>
    <t>Прайс из СД ОП</t>
  </si>
  <si>
    <t>Чувствительный элемент броня(180м) ЧЕБ-2</t>
  </si>
  <si>
    <t>шт</t>
  </si>
  <si>
    <t>Шкаф периметральный RCPA-MM-IP исп.6 размером 600х600х210</t>
  </si>
  <si>
    <t>Блок обработки БО размером 200х200мм</t>
  </si>
  <si>
    <t>Модуль интеграции с СТН</t>
  </si>
  <si>
    <t>Программное обеспечение (сервер) Stratum SM-Plan-S</t>
  </si>
  <si>
    <t>Блок связи БС размером 200х200мм</t>
  </si>
  <si>
    <t>Блок ввода-вывода БВВ-12 размером 200х200мм</t>
  </si>
  <si>
    <t>Извещатель инфракрасный активный МИК-02</t>
  </si>
  <si>
    <t>Программное обеспечение (клиент) Stratum SM-S</t>
  </si>
  <si>
    <t>Муфта оконечная МО</t>
  </si>
  <si>
    <t>Муфта соединительная МС</t>
  </si>
  <si>
    <t>Материалы</t>
  </si>
  <si>
    <t>21.1.06.09-0177</t>
  </si>
  <si>
    <t>Кабель силовой с медными жилами ВВГнг(A)-LS 5х4-660</t>
  </si>
  <si>
    <t>1000 м</t>
  </si>
  <si>
    <t>21.1.06.09-0152</t>
  </si>
  <si>
    <t>Кабель силовой с медными жилами ВВГнг(A)-LS 3х2,5-660</t>
  </si>
  <si>
    <t>24.3.03.05-0031</t>
  </si>
  <si>
    <t>Трубы полиэтиленовые гибкие гофрированные тяжелые с протяжкой, номинальный внутренний диаметр 16 мм</t>
  </si>
  <si>
    <t>м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</si>
  <si>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</si>
  <si>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</si>
  <si>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10 шт</t>
  </si>
  <si>
    <t>24.3.03.05-0033</t>
  </si>
  <si>
    <t>Трубы полиэтиленовые гибкие гофрированные тяжелые с протяжкой, номинальный внутренний диаметр 25 мм</t>
  </si>
  <si>
    <t>23.3.06.02-0010</t>
  </si>
  <si>
    <t>Трубы стальные сварные оцинкованные водогазопроводные с резьбой, обыкновенные, номинальный диаметр 100 мм, толщина стенки 4,5 мм</t>
  </si>
  <si>
    <t>21.1.06.09-0145</t>
  </si>
  <si>
    <t>Кабель силовой с медными жилами ВВГнг-LS 2х1,5-660</t>
  </si>
  <si>
    <t>10.3.02.03-0011</t>
  </si>
  <si>
    <t>Припои оловянно-свинцовые бессурьмянистые, марка ПОС30</t>
  </si>
  <si>
    <t>т</t>
  </si>
  <si>
    <t>21.1.04.01-1006</t>
  </si>
  <si>
    <t>Кабель витая пара, категория 5e, ЭКС-ГВПВЭ 4х2х0,51</t>
  </si>
  <si>
    <t>01.7.15.07-0012</t>
  </si>
  <si>
    <t>Дюбели пластмассовые с шурупами, размер 12х70 мм</t>
  </si>
  <si>
    <t>100 шт</t>
  </si>
  <si>
    <t>14.1.04.02-0002</t>
  </si>
  <si>
    <t>Клей 88-СА</t>
  </si>
  <si>
    <t>кг</t>
  </si>
  <si>
    <t>999-9950</t>
  </si>
  <si>
    <t>Вспомогательные ненормируемые ресурсы (2% от Оплаты труда рабочих)</t>
  </si>
  <si>
    <t>руб</t>
  </si>
  <si>
    <t>01.7.06.07-0002</t>
  </si>
  <si>
    <t>Лента монтажная, тип ЛМ-5</t>
  </si>
  <si>
    <t>10 м</t>
  </si>
  <si>
    <t>24.3.01.01-0004</t>
  </si>
  <si>
    <t>Трубка электроизоляционная ПВХ-305, диаметр 6-10 мм</t>
  </si>
  <si>
    <t>08.3.06.01-0003</t>
  </si>
  <si>
    <t>Прокат ромбического рифления, горячекатаный, в листах с обрезными кромками, марка стали С235, ширина от 1 до 1,9 м, толщина 4 мм</t>
  </si>
  <si>
    <t>07.2.07.13-0171</t>
  </si>
  <si>
    <t>Подкладки металлические</t>
  </si>
  <si>
    <t>14.4.03.03-0002</t>
  </si>
  <si>
    <t>Лак битумный БТ-123</t>
  </si>
  <si>
    <t>10.3.02.03-0012</t>
  </si>
  <si>
    <t>Припои оловянно-свинцовые бессурьмянистые, марка ПОС40</t>
  </si>
  <si>
    <t>01.7.15.03-0034</t>
  </si>
  <si>
    <t>Болты с гайками и шайбами оцинкованные, диаметр 12 мм</t>
  </si>
  <si>
    <t>03.1.01.01-0002</t>
  </si>
  <si>
    <t>Гипс строительный Г-3</t>
  </si>
  <si>
    <t>25.2.02.11-0041</t>
  </si>
  <si>
    <t>Рамка для надписей 55х15 мм</t>
  </si>
  <si>
    <t>01.7.11.07-0032</t>
  </si>
  <si>
    <t>Электроды сварочные Э42, диаметр 4 мм</t>
  </si>
  <si>
    <t>14.4.04.09-0017</t>
  </si>
  <si>
    <t>Эмаль ХВ-124, защитная, зеленая</t>
  </si>
  <si>
    <t>01.3.05.17-0002</t>
  </si>
  <si>
    <t>Канифоль сосновая</t>
  </si>
  <si>
    <t>14.4.01.01-0003</t>
  </si>
  <si>
    <t>Грунтовка ГФ-021</t>
  </si>
  <si>
    <t>14.5.09.07-0030</t>
  </si>
  <si>
    <t>Растворитель Р-4</t>
  </si>
  <si>
    <t>14.5.09.11-0102</t>
  </si>
  <si>
    <t>Уайт-спирит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</si>
  <si>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</si>
  <si>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</si>
  <si>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</si>
  <si>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</si>
  <si>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</si>
  <si>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</si>
  <si>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</si>
  <si>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</si>
  <si>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</si>
  <si>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</si>
  <si>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</si>
  <si>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</si>
  <si>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</si>
  <si>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</si>
  <si>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</si>
  <si>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</si>
  <si>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</si>
  <si>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</si>
  <si>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</si>
  <si>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</si>
  <si>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</si>
  <si>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</si>
  <si>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</si>
  <si>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</si>
  <si>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</si>
  <si>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</si>
  <si>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</si>
  <si>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</si>
  <si>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</si>
  <si>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</si>
  <si>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</si>
  <si>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</si>
  <si>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</si>
  <si>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</si>
  <si>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</si>
  <si>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</si>
  <si>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</si>
  <si>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</si>
  <si>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</si>
  <si>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</si>
  <si>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система периметральной сигнализации ЗПС 110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</si>
  <si>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</si>
  <si>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</si>
  <si>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</si>
  <si>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</si>
  <si>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</si>
  <si>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</si>
  <si>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1-3-9</t>
  </si>
  <si>
    <t>Затраты труда рабочих-строителей среднего разряда (3,9)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</si>
  <si>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</si>
  <si>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</si>
  <si>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</si>
  <si>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</si>
  <si>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</si>
  <si>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</si>
  <si>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</si>
  <si>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</si>
  <si>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61.3.05.04-0002</t>
  </si>
  <si>
    <t>Сервер HP ProLiant DL360</t>
  </si>
  <si>
    <t>компл</t>
  </si>
  <si>
    <t>62.1.02.10-0124</t>
  </si>
  <si>
    <t>Шкаф ВРУ-3 Prisma Plus P "Schneider Electric" IP30, IK08, размером (с цоколем 100 мм) 2107х706х650 мм, с установленной и скоммутированной аппаратурой ввода-вывода (16 автоматов)</t>
  </si>
  <si>
    <t>61.3.01.02-0001</t>
  </si>
  <si>
    <t>Блок распознавания инцидентов VIP T</t>
  </si>
  <si>
    <t>Итого основное оборудование</t>
  </si>
  <si>
    <t>61.2.07.02-0095</t>
  </si>
  <si>
    <t>Блок центральный системный, 2 канала оповещения, 4 зоны оповещения, 2 речевых процессора, марка "ЦСБ"</t>
  </si>
  <si>
    <t>61.2.07.05-0067</t>
  </si>
  <si>
    <t>Модуль центральный ECB с Ethernet интерфейсом</t>
  </si>
  <si>
    <t>61.2.01.03-0019</t>
  </si>
  <si>
    <t>Извещатель охранный инфракрасный пассивный: "Пирон-1", взрывозащитное исполнение</t>
  </si>
  <si>
    <t>61.3.04.01-0001</t>
  </si>
  <si>
    <t>Плата дочерняя IPO IP500 TRNK PRI UNVRSL DUAL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</si>
  <si>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</si>
  <si>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</si>
  <si>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</si>
  <si>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</si>
  <si>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</si>
  <si>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20.2.09.08-0012</t>
  </si>
  <si>
    <t>Муфта кабельная концевая термоусаживаемая: ЕРКТ0031-L12-СЕЕ01</t>
  </si>
  <si>
    <t>20.2.09.12-0051</t>
  </si>
  <si>
    <t>Муфта свинцовая МС-80П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</si>
  <si>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</si>
  <si>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</si>
  <si>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</si>
  <si>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</si>
  <si>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</si>
  <si>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</si>
  <si>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</si>
  <si>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</si>
  <si>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</si>
  <si>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</si>
  <si>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</si>
  <si>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</si>
  <si>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</si>
  <si>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</si>
  <si>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</si>
  <si>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</si>
  <si>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</si>
  <si>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</si>
  <si>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</si>
  <si>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</si>
  <si>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</si>
  <si>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</si>
  <si>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</si>
  <si>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З2-02</t>
  </si>
  <si>
    <t>УНЦ постоянной части ЗПС 110 кВ</t>
  </si>
  <si>
    <t>З2_ЗПС_пер.сигн._110_кВ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</si>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</sst>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#,##0.000"/>
    <numFmt numFmtId="166" formatCode="0.0000"/>
    <numFmt numFmtId="167" formatCode="#,##0.0000"/>
    <numFmt numFmtId="168" formatCode="#,##0.00000"/>
    <numFmt numFmtId="169" formatCode="#,##0.000000"/>
  </numFmts>
  <fonts count="16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sz val="12"/>
      <color rgb="FFFF0000"/>
      <name val="Times New Roman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9" fillId="0" borderId="1" xfId="0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3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top" wrapText="1"/>
    </xf>
    <xf numFmtId="14" fontId="9" fillId="0" borderId="1" xfId="0" applyNumberFormat="1" applyFont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12" fillId="0" borderId="0" xfId="0" applyFont="1"/>
    <xf numFmtId="4" fontId="9" fillId="0" borderId="0" xfId="0" applyNumberFormat="1" applyFont="1" applyAlignment="1">
      <alignment horizontal="left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top"/>
    </xf>
    <xf numFmtId="0" fontId="9" fillId="0" borderId="10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2" fontId="9" fillId="0" borderId="1" xfId="0" applyNumberFormat="1" applyFont="1" applyBorder="1" applyAlignment="1">
      <alignment horizontal="right" vertical="center" wrapText="1"/>
    </xf>
    <xf numFmtId="2" fontId="12" fillId="0" borderId="1" xfId="0" applyNumberFormat="1" applyFont="1" applyBorder="1" applyAlignment="1">
      <alignment vertical="center" wrapText="1"/>
    </xf>
    <xf numFmtId="4" fontId="12" fillId="0" borderId="1" xfId="0" applyNumberFormat="1" applyFont="1" applyBorder="1" applyAlignment="1">
      <alignment vertical="center" wrapText="1"/>
    </xf>
    <xf numFmtId="2" fontId="9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" fontId="12" fillId="0" borderId="5" xfId="0" applyNumberFormat="1" applyFont="1" applyBorder="1" applyAlignment="1">
      <alignment horizontal="center" vertical="center" wrapText="1"/>
    </xf>
    <xf numFmtId="2" fontId="12" fillId="0" borderId="8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365125</xdr:colOff>
      <xdr:row>28</xdr:row>
      <xdr:rowOff>200025</xdr:rowOff>
    </xdr:from>
    <xdr:to>
      <xdr:col>2</xdr:col>
      <xdr:colOff>1309927</xdr:colOff>
      <xdr:row>31</xdr:row>
      <xdr:rowOff>19388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B1ABCC9-392B-466D-813B-6F357181E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11122025"/>
          <a:ext cx="944802" cy="517863"/>
        </a:xfrm>
        <a:prstGeom prst="rect">
          <a:avLst/>
        </a:prstGeom>
      </xdr:spPr>
    </xdr:pic>
    <xdr:clientData/>
  </xdr:twoCellAnchor>
  <xdr:twoCellAnchor editAs="oneCell">
    <xdr:from>
      <xdr:col>2</xdr:col>
      <xdr:colOff>517525</xdr:colOff>
      <xdr:row>25</xdr:row>
      <xdr:rowOff>200025</xdr:rowOff>
    </xdr:from>
    <xdr:to>
      <xdr:col>2</xdr:col>
      <xdr:colOff>1184144</xdr:colOff>
      <xdr:row>28</xdr:row>
      <xdr:rowOff>276225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4A1D5C9-8AAE-46B9-A9BA-9A932FCDA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0502900"/>
          <a:ext cx="666619" cy="695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17</xdr:row>
      <xdr:rowOff>238125</xdr:rowOff>
    </xdr:from>
    <xdr:to>
      <xdr:col>2</xdr:col>
      <xdr:colOff>1754427</xdr:colOff>
      <xdr:row>20</xdr:row>
      <xdr:rowOff>63838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5ECBD02-7DC0-4C08-B0B6-A0E343221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3819525"/>
          <a:ext cx="944802" cy="511513"/>
        </a:xfrm>
        <a:prstGeom prst="rect">
          <a:avLst/>
        </a:prstGeom>
      </xdr:spPr>
    </xdr:pic>
    <xdr:clientData/>
  </xdr:twoCellAnchor>
  <xdr:twoCellAnchor editAs="oneCell">
    <xdr:from>
      <xdr:col>2</xdr:col>
      <xdr:colOff>962025</xdr:colOff>
      <xdr:row>15</xdr:row>
      <xdr:rowOff>15875</xdr:rowOff>
    </xdr:from>
    <xdr:to>
      <xdr:col>2</xdr:col>
      <xdr:colOff>1628644</xdr:colOff>
      <xdr:row>18</xdr:row>
      <xdr:rowOff>28575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DCB4CE2-8EE1-46B4-9E1A-95F20349A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3206750"/>
          <a:ext cx="666619" cy="688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71</xdr:row>
      <xdr:rowOff>133069</xdr:rowOff>
    </xdr:from>
    <xdr:to>
      <xdr:col>2</xdr:col>
      <xdr:colOff>1230552</xdr:colOff>
      <xdr:row>74</xdr:row>
      <xdr:rowOff>63370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ABFB8A1-E6CE-4108-BE70-CA6085AD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9587882"/>
          <a:ext cx="944802" cy="501801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438150</xdr:colOff>
      <xdr:row>68</xdr:row>
      <xdr:rowOff>119062</xdr:rowOff>
    </xdr:from>
    <xdr:to>
      <xdr:col>2</xdr:col>
      <xdr:colOff>1104769</xdr:colOff>
      <xdr:row>72</xdr:row>
      <xdr:rowOff>18769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F60D0DC-31EF-4E91-86A5-833837BD9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9002375"/>
          <a:ext cx="666619" cy="661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828675</xdr:colOff>
      <xdr:row>43</xdr:row>
      <xdr:rowOff>104775</xdr:rowOff>
    </xdr:from>
    <xdr:to>
      <xdr:col>1</xdr:col>
      <xdr:colOff>1773477</xdr:colOff>
      <xdr:row>46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5CD88B7-5791-43D7-93E3-ADDB8AD63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19062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933450</xdr:colOff>
      <xdr:row>40</xdr:row>
      <xdr:rowOff>123825</xdr:rowOff>
    </xdr:from>
    <xdr:to>
      <xdr:col>1</xdr:col>
      <xdr:colOff>1600069</xdr:colOff>
      <xdr:row>44</xdr:row>
      <xdr:rowOff>57150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05729C4-B33E-4A4E-BA5D-47F4B5AC9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11353800"/>
          <a:ext cx="666619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773206</xdr:colOff>
      <xdr:row>86</xdr:row>
      <xdr:rowOff>108137</xdr:rowOff>
    </xdr:from>
    <xdr:to>
      <xdr:col>2</xdr:col>
      <xdr:colOff>213058</xdr:colOff>
      <xdr:row>89</xdr:row>
      <xdr:rowOff>60850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990149D-8F66-4F4B-BE78-E7034BEC5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206" y="23882537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925606</xdr:colOff>
      <xdr:row>83</xdr:row>
      <xdr:rowOff>60512</xdr:rowOff>
    </xdr:from>
    <xdr:to>
      <xdr:col>2</xdr:col>
      <xdr:colOff>68225</xdr:colOff>
      <xdr:row>87</xdr:row>
      <xdr:rowOff>11155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F643F00-3EBC-49D9-8BA9-07142853E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606" y="23263412"/>
          <a:ext cx="666619" cy="695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25</xdr:row>
      <xdr:rowOff>95250</xdr:rowOff>
    </xdr:from>
    <xdr:to>
      <xdr:col>2</xdr:col>
      <xdr:colOff>354252</xdr:colOff>
      <xdr:row>28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9AC3C9B-072A-40F6-A3C0-FFB6DD284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76295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552450</xdr:colOff>
      <xdr:row>22</xdr:row>
      <xdr:rowOff>104775</xdr:rowOff>
    </xdr:from>
    <xdr:to>
      <xdr:col>2</xdr:col>
      <xdr:colOff>228469</xdr:colOff>
      <xdr:row>25</xdr:row>
      <xdr:rowOff>171450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02A8BC4-B743-4F81-9048-D37E8897D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7010400"/>
          <a:ext cx="666619" cy="695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771525</xdr:colOff>
      <xdr:row>13</xdr:row>
      <xdr:rowOff>114300</xdr:rowOff>
    </xdr:from>
    <xdr:to>
      <xdr:col>1</xdr:col>
      <xdr:colOff>868602</xdr:colOff>
      <xdr:row>16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CECB95C-570C-43CF-A7B8-9E75A9CD5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4766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10</xdr:row>
      <xdr:rowOff>781050</xdr:rowOff>
    </xdr:from>
    <xdr:to>
      <xdr:col>1</xdr:col>
      <xdr:colOff>676144</xdr:colOff>
      <xdr:row>14</xdr:row>
      <xdr:rowOff>104775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2619DF7-D2B7-4355-AA73-ABEC396FF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962275"/>
          <a:ext cx="666619" cy="695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127000</xdr:rowOff>
    </xdr:from>
    <xdr:to>
      <xdr:col>1</xdr:col>
      <xdr:colOff>1754427</xdr:colOff>
      <xdr:row>29</xdr:row>
      <xdr:rowOff>79713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A618544-3403-4574-8B9D-1AFD8D615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756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962025</xdr:colOff>
      <xdr:row>23</xdr:row>
      <xdr:rowOff>79375</xdr:rowOff>
    </xdr:from>
    <xdr:to>
      <xdr:col>1</xdr:col>
      <xdr:colOff>1628644</xdr:colOff>
      <xdr:row>27</xdr:row>
      <xdr:rowOff>12700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CDA1F9E-F9D1-4EEA-BA8E-D37B57542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8137525"/>
          <a:ext cx="666619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5"/>
  <sheetViews>
    <sheetView view="pageBreakPreview" topLeftCell="A6" zoomScale="60" zoomScaleNormal="85" workbookViewId="0">
      <selection activeCell="D28" sqref="D28"/>
    </sheetView>
  </sheetViews>
  <sheetFormatPr defaultRowHeight="15.75" x14ac:dyDescent="0.25"/>
  <cols>
    <col min="1" max="2" width="9.140625" style="57" customWidth="1"/>
    <col min="3" max="3" width="36.85546875" style="57" customWidth="1"/>
    <col min="4" max="4" width="36.5703125" style="57" customWidth="1"/>
    <col min="5" max="5" width="14.28515625" customWidth="1"/>
    <col min="6" max="6" width="12.140625" customWidth="1"/>
    <col min="7" max="7" width="12.28515625" customWidth="1"/>
    <col min="8" max="8" width="15" customWidth="1"/>
    <col min="9" max="9" width="9.140625" customWidth="1"/>
  </cols>
  <sheetData>
    <row r="1" spans="2:9" x14ac:dyDescent="0.25">
      <c r="E1" s="57"/>
      <c r="F1" s="57"/>
      <c r="G1" s="57"/>
      <c r="H1" s="57"/>
      <c r="I1" s="57"/>
    </row>
    <row r="2" spans="2:9" x14ac:dyDescent="0.25">
      <c r="E2" s="57"/>
      <c r="F2" s="57"/>
      <c r="G2" s="57"/>
      <c r="H2" s="57"/>
      <c r="I2" s="57"/>
    </row>
    <row r="3" spans="2:9" x14ac:dyDescent="0.25">
      <c r="B3" s="110" t="s">
        <v>0</v>
      </c>
      <c r="C3" s="110"/>
      <c r="D3" s="110"/>
      <c r="E3" s="57"/>
      <c r="F3" s="57"/>
      <c r="G3" s="57"/>
      <c r="H3" s="57"/>
      <c r="I3" s="57"/>
    </row>
    <row r="4" spans="2:9" x14ac:dyDescent="0.25">
      <c r="B4" s="111" t="s">
        <v>1</v>
      </c>
      <c r="C4" s="111"/>
      <c r="D4" s="111"/>
      <c r="E4" s="57"/>
      <c r="F4" s="57"/>
      <c r="G4" s="57"/>
      <c r="H4" s="57"/>
      <c r="I4" s="57"/>
    </row>
    <row r="5" spans="2:9" ht="66" customHeight="1" x14ac:dyDescent="0.25">
      <c r="B5" s="112" t="s">
        <v>2</v>
      </c>
      <c r="C5" s="112"/>
      <c r="D5" s="112"/>
      <c r="E5" s="57"/>
      <c r="F5" s="57"/>
      <c r="G5" s="57"/>
      <c r="H5" s="57"/>
      <c r="I5" s="57"/>
    </row>
    <row r="6" spans="2:9" x14ac:dyDescent="0.25">
      <c r="B6" s="65"/>
      <c r="C6" s="65"/>
      <c r="D6" s="65"/>
      <c r="E6" s="57"/>
      <c r="F6" s="57"/>
      <c r="G6" s="57"/>
      <c r="H6" s="57"/>
      <c r="I6" s="57"/>
    </row>
    <row r="7" spans="2:9" ht="57" customHeight="1" x14ac:dyDescent="0.25">
      <c r="B7" s="109" t="str">
        <f>_xlfn.CONCAT(TEXT('Прил.5 Расчет СМР и ОБ'!A6,0)," - ",TEXT('Прил.5 Расчет СМР и ОБ'!D6,0))</f>
        <v>Наименование разрабатываемого показателя УНЦ - Постоянная часть ПС, система периметральной сигнализации ЗПС 110 кВ</v>
      </c>
      <c r="C7" s="109"/>
      <c r="D7" s="109"/>
      <c r="E7" s="66"/>
      <c r="F7" s="57"/>
      <c r="G7" s="57"/>
      <c r="H7" s="57"/>
      <c r="I7" s="57"/>
    </row>
    <row r="8" spans="2:9" ht="15.75" customHeight="1" x14ac:dyDescent="0.25">
      <c r="B8" s="64" t="s">
        <v>3</v>
      </c>
      <c r="C8" s="64"/>
      <c r="D8" s="75"/>
      <c r="E8" s="57"/>
      <c r="F8" s="57"/>
      <c r="G8" s="57"/>
      <c r="H8" s="57"/>
      <c r="I8" s="57"/>
    </row>
    <row r="9" spans="2:9" ht="15.75" customHeight="1" x14ac:dyDescent="0.25">
      <c r="B9" s="109" t="s">
        <v>4</v>
      </c>
      <c r="C9" s="109"/>
      <c r="D9" s="109"/>
      <c r="E9" s="66"/>
      <c r="F9" s="57"/>
      <c r="G9" s="57"/>
      <c r="H9" s="57"/>
      <c r="I9" s="57"/>
    </row>
    <row r="10" spans="2:9" x14ac:dyDescent="0.25">
      <c r="B10" s="63"/>
      <c r="E10" s="57"/>
      <c r="F10" s="57"/>
      <c r="G10" s="57"/>
      <c r="H10" s="57"/>
      <c r="I10" s="57"/>
    </row>
    <row r="11" spans="2:9" x14ac:dyDescent="0.25">
      <c r="B11" s="36" t="s">
        <v>5</v>
      </c>
      <c r="C11" s="36" t="s">
        <v>6</v>
      </c>
      <c r="D11" s="36" t="s">
        <v>7</v>
      </c>
      <c r="E11" s="66"/>
      <c r="F11" s="57"/>
      <c r="G11" s="57"/>
      <c r="H11" s="57"/>
      <c r="I11" s="57"/>
    </row>
    <row r="12" spans="2:9" ht="31.5" customHeight="1" x14ac:dyDescent="0.25">
      <c r="B12" s="36">
        <v>1</v>
      </c>
      <c r="C12" s="67" t="s">
        <v>8</v>
      </c>
      <c r="D12" s="97" t="s">
        <v>9</v>
      </c>
      <c r="E12" s="57"/>
      <c r="F12" s="57"/>
      <c r="G12" s="57"/>
      <c r="H12" s="57"/>
      <c r="I12" s="57"/>
    </row>
    <row r="13" spans="2:9" ht="31.5" customHeight="1" x14ac:dyDescent="0.25">
      <c r="B13" s="36">
        <v>2</v>
      </c>
      <c r="C13" s="67" t="s">
        <v>10</v>
      </c>
      <c r="D13" s="97" t="s">
        <v>11</v>
      </c>
      <c r="E13" s="57"/>
      <c r="F13" s="57"/>
      <c r="G13" s="57"/>
      <c r="H13" s="57"/>
      <c r="I13" s="57"/>
    </row>
    <row r="14" spans="2:9" x14ac:dyDescent="0.25">
      <c r="B14" s="36">
        <v>3</v>
      </c>
      <c r="C14" s="67" t="s">
        <v>12</v>
      </c>
      <c r="D14" s="97" t="s">
        <v>13</v>
      </c>
      <c r="E14" s="57"/>
      <c r="F14" s="57"/>
      <c r="G14" s="57"/>
      <c r="H14" s="57"/>
      <c r="I14" s="57"/>
    </row>
    <row r="15" spans="2:9" x14ac:dyDescent="0.25">
      <c r="B15" s="36">
        <v>4</v>
      </c>
      <c r="C15" s="67" t="s">
        <v>14</v>
      </c>
      <c r="D15" s="36">
        <v>1</v>
      </c>
      <c r="E15" s="57"/>
      <c r="F15" s="57"/>
      <c r="G15" s="57"/>
      <c r="H15" s="57"/>
      <c r="I15" s="57"/>
    </row>
    <row r="16" spans="2:9" ht="100.5" customHeight="1" x14ac:dyDescent="0.25">
      <c r="B16" s="36">
        <v>5</v>
      </c>
      <c r="C16" s="37" t="s">
        <v>15</v>
      </c>
      <c r="D16" s="36" t="s">
        <v>16</v>
      </c>
      <c r="E16" s="57"/>
      <c r="F16" s="57"/>
      <c r="G16" s="57"/>
      <c r="H16" s="57"/>
      <c r="I16" s="57"/>
    </row>
    <row r="17" spans="2:9" ht="82.5" customHeight="1" x14ac:dyDescent="0.25">
      <c r="B17" s="36">
        <v>6</v>
      </c>
      <c r="C17" s="37" t="s">
        <v>17</v>
      </c>
      <c r="D17" s="68">
        <f>D18+D19</f>
        <v>1238.5927229000001</v>
      </c>
      <c r="E17" s="69"/>
      <c r="F17" s="57"/>
      <c r="G17" s="57"/>
      <c r="H17" s="57"/>
      <c r="I17" s="57"/>
    </row>
    <row r="18" spans="2:9" x14ac:dyDescent="0.25">
      <c r="B18" s="70" t="s">
        <v>18</v>
      </c>
      <c r="C18" s="67" t="s">
        <v>19</v>
      </c>
      <c r="D18" s="68">
        <f>'Прил.2 Расч стоим'!F12</f>
        <v>359.9368035</v>
      </c>
      <c r="E18" s="57"/>
      <c r="F18" s="57"/>
      <c r="G18" s="57"/>
      <c r="H18" s="57"/>
      <c r="I18" s="57"/>
    </row>
    <row r="19" spans="2:9" x14ac:dyDescent="0.25">
      <c r="B19" s="70" t="s">
        <v>20</v>
      </c>
      <c r="C19" s="67" t="s">
        <v>21</v>
      </c>
      <c r="D19" s="68">
        <f>'Прил.2 Расч стоим'!H14</f>
        <v>878.65591940000013</v>
      </c>
      <c r="E19" s="57"/>
      <c r="F19" s="57"/>
      <c r="G19" s="57"/>
      <c r="H19" s="57"/>
      <c r="I19" s="57"/>
    </row>
    <row r="20" spans="2:9" x14ac:dyDescent="0.25">
      <c r="B20" s="70" t="s">
        <v>22</v>
      </c>
      <c r="C20" s="67" t="s">
        <v>23</v>
      </c>
      <c r="D20" s="68"/>
      <c r="E20" s="57"/>
      <c r="F20" s="57"/>
      <c r="G20" s="57"/>
      <c r="H20" s="57"/>
      <c r="I20" s="57"/>
    </row>
    <row r="21" spans="2:9" x14ac:dyDescent="0.25">
      <c r="B21" s="70" t="s">
        <v>24</v>
      </c>
      <c r="C21" s="71" t="s">
        <v>25</v>
      </c>
      <c r="D21" s="68"/>
      <c r="E21" s="57"/>
      <c r="F21" s="57"/>
      <c r="G21" s="57"/>
      <c r="H21" s="57"/>
      <c r="I21" s="57"/>
    </row>
    <row r="22" spans="2:9" x14ac:dyDescent="0.25">
      <c r="B22" s="36">
        <v>7</v>
      </c>
      <c r="C22" s="71" t="s">
        <v>26</v>
      </c>
      <c r="D22" s="36" t="s">
        <v>27</v>
      </c>
      <c r="E22" s="69"/>
      <c r="F22" s="57"/>
      <c r="G22" s="57"/>
      <c r="H22" s="57"/>
      <c r="I22" s="57"/>
    </row>
    <row r="23" spans="2:9" ht="119.25" customHeight="1" x14ac:dyDescent="0.25">
      <c r="B23" s="36">
        <v>8</v>
      </c>
      <c r="C23" s="72" t="s">
        <v>28</v>
      </c>
      <c r="D23" s="68">
        <f>D17</f>
        <v>1238.5927229000001</v>
      </c>
      <c r="E23" s="57"/>
      <c r="F23" s="57"/>
      <c r="G23" s="57"/>
      <c r="H23" s="57"/>
      <c r="I23" s="57"/>
    </row>
    <row r="24" spans="2:9" ht="47.25" customHeight="1" x14ac:dyDescent="0.25">
      <c r="B24" s="36">
        <v>9</v>
      </c>
      <c r="C24" s="37" t="s">
        <v>29</v>
      </c>
      <c r="D24" s="68">
        <f>D23/D15</f>
        <v>1238.5927229000001</v>
      </c>
      <c r="E24" s="69"/>
      <c r="F24" s="57"/>
      <c r="G24" s="57"/>
      <c r="H24" s="57"/>
      <c r="I24" s="57"/>
    </row>
    <row r="25" spans="2:9" x14ac:dyDescent="0.25">
      <c r="B25" s="36">
        <v>10</v>
      </c>
      <c r="C25" s="67" t="s">
        <v>30</v>
      </c>
      <c r="D25" s="67"/>
      <c r="E25" s="57"/>
      <c r="F25" s="57"/>
      <c r="G25" s="57"/>
      <c r="H25" s="57"/>
      <c r="I25" s="57"/>
    </row>
    <row r="26" spans="2:9" x14ac:dyDescent="0.25">
      <c r="B26" s="73"/>
      <c r="C26" s="74"/>
      <c r="D26" s="74"/>
      <c r="E26" s="57"/>
      <c r="F26" s="57"/>
      <c r="G26" s="57"/>
      <c r="H26" s="57"/>
      <c r="I26" s="57"/>
    </row>
    <row r="27" spans="2:9" x14ac:dyDescent="0.25">
      <c r="B27" s="64"/>
      <c r="E27" s="57"/>
      <c r="F27" s="57"/>
      <c r="G27" s="57"/>
      <c r="H27" s="57"/>
      <c r="I27" s="57"/>
    </row>
    <row r="28" spans="2:9" x14ac:dyDescent="0.25">
      <c r="B28" s="57" t="s">
        <v>31</v>
      </c>
      <c r="E28" s="57"/>
      <c r="F28" s="57"/>
      <c r="G28" s="57"/>
      <c r="H28" s="57"/>
      <c r="I28" s="57"/>
    </row>
    <row r="29" spans="2:9" ht="22.5" customHeight="1" x14ac:dyDescent="0.25">
      <c r="B29" s="82" t="s">
        <v>32</v>
      </c>
      <c r="E29" s="57"/>
      <c r="F29" s="57"/>
      <c r="G29" s="57"/>
      <c r="H29" s="57"/>
      <c r="I29" s="57"/>
    </row>
    <row r="30" spans="2:9" x14ac:dyDescent="0.25">
      <c r="E30" s="57"/>
      <c r="F30" s="57"/>
      <c r="G30" s="57"/>
      <c r="H30" s="57"/>
      <c r="I30" s="57"/>
    </row>
    <row r="31" spans="2:9" x14ac:dyDescent="0.25">
      <c r="B31" s="57" t="s">
        <v>33</v>
      </c>
      <c r="E31" s="57"/>
      <c r="F31" s="57"/>
      <c r="G31" s="57"/>
      <c r="H31" s="57"/>
      <c r="I31" s="57"/>
    </row>
    <row r="32" spans="2:9" ht="22.5" customHeight="1" x14ac:dyDescent="0.25">
      <c r="B32" s="82" t="s">
        <v>34</v>
      </c>
      <c r="E32" s="57"/>
      <c r="F32" s="57"/>
      <c r="G32" s="57"/>
      <c r="H32" s="57"/>
      <c r="I32" s="57"/>
    </row>
    <row r="33" spans="5:9" x14ac:dyDescent="0.25">
      <c r="E33" s="57"/>
      <c r="F33" s="57"/>
      <c r="G33" s="57"/>
      <c r="H33" s="57"/>
      <c r="I33" s="57"/>
    </row>
    <row r="34" spans="5:9" x14ac:dyDescent="0.25">
      <c r="E34" s="57"/>
      <c r="F34" s="57"/>
      <c r="G34" s="57"/>
      <c r="H34" s="57"/>
      <c r="I34" s="57"/>
    </row>
    <row r="35" spans="5:9" x14ac:dyDescent="0.25">
      <c r="E35" s="57"/>
      <c r="F35" s="57"/>
      <c r="G35" s="57"/>
      <c r="H35" s="57"/>
      <c r="I35" s="57"/>
    </row>
  </sheetData>
  <mergeCells count="5">
    <mergeCell ref="B9:D9"/>
    <mergeCell ref="B3:D3"/>
    <mergeCell ref="B4:D4"/>
    <mergeCell ref="B7:D7"/>
    <mergeCell ref="B5:D5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1"/>
  <sheetViews>
    <sheetView view="pageBreakPreview" zoomScale="60" zoomScaleNormal="100" workbookViewId="0">
      <selection activeCell="E17" sqref="E17"/>
    </sheetView>
  </sheetViews>
  <sheetFormatPr defaultRowHeight="15" x14ac:dyDescent="0.25"/>
  <cols>
    <col min="1" max="1" width="5.5703125" customWidth="1"/>
    <col min="2" max="2" width="9.140625" customWidth="1"/>
    <col min="3" max="3" width="35.28515625" customWidth="1"/>
    <col min="4" max="4" width="13.85546875" customWidth="1"/>
    <col min="5" max="5" width="24.8554687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9.140625" customWidth="1"/>
  </cols>
  <sheetData>
    <row r="1" spans="1:10" ht="15.75" customHeight="1" x14ac:dyDescent="0.25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0" ht="15.75" customHeigh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0" ht="15.75" customHeight="1" x14ac:dyDescent="0.25">
      <c r="A3" s="57"/>
      <c r="B3" s="110" t="s">
        <v>35</v>
      </c>
      <c r="C3" s="110"/>
      <c r="D3" s="110"/>
      <c r="E3" s="110"/>
      <c r="F3" s="110"/>
      <c r="G3" s="110"/>
      <c r="H3" s="110"/>
      <c r="I3" s="110"/>
      <c r="J3" s="110"/>
    </row>
    <row r="4" spans="1:10" ht="15.75" customHeight="1" x14ac:dyDescent="0.25">
      <c r="A4" s="57"/>
      <c r="B4" s="111" t="s">
        <v>36</v>
      </c>
      <c r="C4" s="111"/>
      <c r="D4" s="111"/>
      <c r="E4" s="111"/>
      <c r="F4" s="111"/>
      <c r="G4" s="111"/>
      <c r="H4" s="111"/>
      <c r="I4" s="111"/>
      <c r="J4" s="111"/>
    </row>
    <row r="5" spans="1:10" ht="15.75" customHeight="1" x14ac:dyDescent="0.25">
      <c r="A5" s="57"/>
      <c r="B5" s="65"/>
      <c r="C5" s="65"/>
      <c r="D5" s="65"/>
      <c r="E5" s="65"/>
      <c r="F5" s="65"/>
      <c r="G5" s="65"/>
      <c r="H5" s="65"/>
      <c r="I5" s="65"/>
      <c r="J5" s="65"/>
    </row>
    <row r="6" spans="1:10" ht="15.75" customHeight="1" x14ac:dyDescent="0.25">
      <c r="A6" s="57"/>
      <c r="B6" s="115" t="str">
        <f>'Прил.1 Сравнит табл'!B7</f>
        <v>Наименование разрабатываемого показателя УНЦ - Постоянная часть ПС, система периметральной сигнализации ЗПС 110 кВ</v>
      </c>
      <c r="C6" s="115"/>
      <c r="D6" s="115"/>
      <c r="E6" s="115"/>
      <c r="F6" s="115"/>
      <c r="G6" s="115"/>
      <c r="H6" s="115"/>
      <c r="I6" s="115"/>
      <c r="J6" s="115"/>
    </row>
    <row r="7" spans="1:10" ht="15.75" customHeight="1" x14ac:dyDescent="0.25">
      <c r="A7" s="57"/>
      <c r="B7" s="109" t="str">
        <f>'Прил.1 Сравнит табл'!B9</f>
        <v>Единица измерения  — 1 ПС</v>
      </c>
      <c r="C7" s="109"/>
      <c r="D7" s="109"/>
      <c r="E7" s="109"/>
      <c r="F7" s="109"/>
      <c r="G7" s="109"/>
      <c r="H7" s="109"/>
      <c r="I7" s="109"/>
      <c r="J7" s="109"/>
    </row>
    <row r="8" spans="1:10" ht="15.75" customHeight="1" x14ac:dyDescent="0.25">
      <c r="A8" s="57"/>
      <c r="B8" s="63"/>
      <c r="C8" s="57"/>
      <c r="D8" s="57"/>
      <c r="E8" s="57"/>
      <c r="F8" s="57"/>
      <c r="G8" s="57"/>
      <c r="H8" s="57"/>
      <c r="I8" s="57"/>
      <c r="J8" s="57"/>
    </row>
    <row r="9" spans="1:10" ht="15.75" customHeight="1" x14ac:dyDescent="0.25">
      <c r="A9" s="57"/>
      <c r="B9" s="116" t="s">
        <v>5</v>
      </c>
      <c r="C9" s="116" t="s">
        <v>37</v>
      </c>
      <c r="D9" s="116" t="s">
        <v>38</v>
      </c>
      <c r="E9" s="116"/>
      <c r="F9" s="116"/>
      <c r="G9" s="116"/>
      <c r="H9" s="116"/>
      <c r="I9" s="116"/>
      <c r="J9" s="116"/>
    </row>
    <row r="10" spans="1:10" ht="15.75" customHeight="1" x14ac:dyDescent="0.25">
      <c r="A10" s="57"/>
      <c r="B10" s="116"/>
      <c r="C10" s="116"/>
      <c r="D10" s="116" t="s">
        <v>39</v>
      </c>
      <c r="E10" s="116" t="s">
        <v>40</v>
      </c>
      <c r="F10" s="116" t="s">
        <v>41</v>
      </c>
      <c r="G10" s="116"/>
      <c r="H10" s="116"/>
      <c r="I10" s="116"/>
      <c r="J10" s="116"/>
    </row>
    <row r="11" spans="1:10" ht="31.5" customHeight="1" x14ac:dyDescent="0.25">
      <c r="A11" s="57"/>
      <c r="B11" s="116"/>
      <c r="C11" s="116"/>
      <c r="D11" s="116"/>
      <c r="E11" s="116"/>
      <c r="F11" s="36" t="s">
        <v>42</v>
      </c>
      <c r="G11" s="36" t="s">
        <v>43</v>
      </c>
      <c r="H11" s="36" t="s">
        <v>44</v>
      </c>
      <c r="I11" s="36" t="s">
        <v>45</v>
      </c>
      <c r="J11" s="36" t="s">
        <v>46</v>
      </c>
    </row>
    <row r="12" spans="1:10" ht="15.75" customHeight="1" x14ac:dyDescent="0.25">
      <c r="A12" s="57"/>
      <c r="B12" s="100"/>
      <c r="C12" s="101" t="s">
        <v>47</v>
      </c>
      <c r="D12" s="102"/>
      <c r="E12" s="36"/>
      <c r="F12" s="117">
        <f>(Прил.3!H12+Прил.3!H20+Прил.3!H22+Прил.3!H41)*8.11/1000</f>
        <v>359.9368035</v>
      </c>
      <c r="G12" s="118"/>
      <c r="H12" s="103">
        <f>Прил.3!H29*4.78/1000</f>
        <v>878.65591940000013</v>
      </c>
      <c r="I12" s="104"/>
      <c r="J12" s="105">
        <f>F12+H12</f>
        <v>1238.5927229000001</v>
      </c>
    </row>
    <row r="13" spans="1:10" ht="15" customHeight="1" x14ac:dyDescent="0.25">
      <c r="A13" s="57"/>
      <c r="B13" s="119" t="s">
        <v>48</v>
      </c>
      <c r="C13" s="119"/>
      <c r="D13" s="119"/>
      <c r="E13" s="119"/>
      <c r="F13" s="106"/>
      <c r="G13" s="106"/>
      <c r="H13" s="106"/>
      <c r="I13" s="107"/>
      <c r="J13" s="108"/>
    </row>
    <row r="14" spans="1:10" ht="15.75" customHeight="1" x14ac:dyDescent="0.25">
      <c r="A14" s="57"/>
      <c r="B14" s="119" t="s">
        <v>49</v>
      </c>
      <c r="C14" s="119"/>
      <c r="D14" s="119"/>
      <c r="E14" s="119"/>
      <c r="F14" s="113">
        <f>F12</f>
        <v>359.9368035</v>
      </c>
      <c r="G14" s="114"/>
      <c r="H14" s="106">
        <f>H12</f>
        <v>878.65591940000013</v>
      </c>
      <c r="I14" s="107"/>
      <c r="J14" s="108">
        <f>J12</f>
        <v>1238.5927229000001</v>
      </c>
    </row>
    <row r="15" spans="1:10" ht="15.75" customHeight="1" x14ac:dyDescent="0.25">
      <c r="A15" s="57"/>
      <c r="B15" s="57"/>
      <c r="C15" s="57"/>
      <c r="D15" s="57"/>
      <c r="E15" s="57"/>
      <c r="F15" s="57"/>
      <c r="G15" s="57"/>
      <c r="H15" s="57"/>
      <c r="I15" s="57"/>
      <c r="J15" s="57"/>
    </row>
    <row r="17" spans="2:4" ht="15.75" customHeight="1" x14ac:dyDescent="0.25">
      <c r="B17" s="57" t="s">
        <v>31</v>
      </c>
      <c r="C17" s="57"/>
      <c r="D17" s="57"/>
    </row>
    <row r="18" spans="2:4" ht="22.5" customHeight="1" x14ac:dyDescent="0.25">
      <c r="B18" s="82" t="s">
        <v>32</v>
      </c>
      <c r="C18" s="57"/>
      <c r="D18" s="57"/>
    </row>
    <row r="19" spans="2:4" ht="15.75" customHeight="1" x14ac:dyDescent="0.25">
      <c r="B19" s="57"/>
      <c r="C19" s="57"/>
      <c r="D19" s="57"/>
    </row>
    <row r="20" spans="2:4" ht="15.75" customHeight="1" x14ac:dyDescent="0.25">
      <c r="B20" s="57" t="s">
        <v>33</v>
      </c>
      <c r="C20" s="57"/>
      <c r="D20" s="57"/>
    </row>
    <row r="21" spans="2:4" ht="22.5" customHeight="1" x14ac:dyDescent="0.25">
      <c r="B21" s="82" t="s">
        <v>34</v>
      </c>
      <c r="C21" s="57"/>
      <c r="D21" s="57"/>
    </row>
  </sheetData>
  <mergeCells count="14">
    <mergeCell ref="F14:G14"/>
    <mergeCell ref="B3:J3"/>
    <mergeCell ref="B6:J6"/>
    <mergeCell ref="B7:J7"/>
    <mergeCell ref="B4:J4"/>
    <mergeCell ref="B9:B11"/>
    <mergeCell ref="C9:C11"/>
    <mergeCell ref="D9:J9"/>
    <mergeCell ref="D10:D11"/>
    <mergeCell ref="E10:E11"/>
    <mergeCell ref="F10:J10"/>
    <mergeCell ref="F12:G12"/>
    <mergeCell ref="B13:E13"/>
    <mergeCell ref="B14:E14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4:H75"/>
  <sheetViews>
    <sheetView view="pageBreakPreview" zoomScale="55" zoomScaleSheetLayoutView="55" workbookViewId="0">
      <selection activeCell="F184" sqref="F183:F184"/>
    </sheetView>
  </sheetViews>
  <sheetFormatPr defaultRowHeight="15.75" x14ac:dyDescent="0.25"/>
  <cols>
    <col min="1" max="1" width="9.140625" style="57" customWidth="1"/>
    <col min="2" max="2" width="12.5703125" style="57" customWidth="1"/>
    <col min="3" max="3" width="22.42578125" style="57" customWidth="1"/>
    <col min="4" max="4" width="49.7109375" style="57" customWidth="1"/>
    <col min="5" max="5" width="10.140625" style="57" customWidth="1"/>
    <col min="6" max="6" width="20.7109375" style="57" customWidth="1"/>
    <col min="7" max="7" width="16.140625" style="57" customWidth="1"/>
    <col min="8" max="8" width="16.7109375" style="57" customWidth="1"/>
  </cols>
  <sheetData>
    <row r="4" spans="1:8" x14ac:dyDescent="0.25">
      <c r="A4" s="110" t="s">
        <v>50</v>
      </c>
      <c r="B4" s="110"/>
      <c r="C4" s="110"/>
      <c r="D4" s="110"/>
      <c r="E4" s="110"/>
      <c r="F4" s="110"/>
      <c r="G4" s="110"/>
      <c r="H4" s="110"/>
    </row>
    <row r="5" spans="1:8" x14ac:dyDescent="0.25">
      <c r="A5" s="111" t="s">
        <v>51</v>
      </c>
      <c r="B5" s="111"/>
      <c r="C5" s="111"/>
      <c r="D5" s="111"/>
      <c r="E5" s="111"/>
      <c r="F5" s="111"/>
      <c r="G5" s="111"/>
      <c r="H5" s="111"/>
    </row>
    <row r="6" spans="1:8" ht="18.75" customHeight="1" x14ac:dyDescent="0.25">
      <c r="A6" s="63"/>
    </row>
    <row r="7" spans="1:8" x14ac:dyDescent="0.25">
      <c r="A7" s="115" t="str">
        <f>'Прил.1 Сравнит табл'!B7</f>
        <v>Наименование разрабатываемого показателя УНЦ - Постоянная часть ПС, система периметральной сигнализации ЗПС 110 кВ</v>
      </c>
      <c r="B7" s="115"/>
      <c r="C7" s="115"/>
      <c r="D7" s="115"/>
      <c r="E7" s="115"/>
      <c r="F7" s="115"/>
      <c r="G7" s="115"/>
      <c r="H7" s="115"/>
    </row>
    <row r="8" spans="1:8" x14ac:dyDescent="0.25">
      <c r="A8" s="75"/>
      <c r="B8" s="75"/>
      <c r="C8" s="75"/>
      <c r="D8" s="75"/>
      <c r="E8" s="75"/>
      <c r="F8" s="75"/>
      <c r="G8" s="75"/>
      <c r="H8" s="75"/>
    </row>
    <row r="9" spans="1:8" ht="15.75" customHeight="1" x14ac:dyDescent="0.25">
      <c r="A9" s="116" t="s">
        <v>52</v>
      </c>
      <c r="B9" s="116" t="s">
        <v>53</v>
      </c>
      <c r="C9" s="116" t="s">
        <v>54</v>
      </c>
      <c r="D9" s="116" t="s">
        <v>55</v>
      </c>
      <c r="E9" s="116" t="s">
        <v>56</v>
      </c>
      <c r="F9" s="116" t="s">
        <v>57</v>
      </c>
      <c r="G9" s="116" t="s">
        <v>58</v>
      </c>
      <c r="H9" s="116"/>
    </row>
    <row r="10" spans="1:8" x14ac:dyDescent="0.25">
      <c r="A10" s="116"/>
      <c r="B10" s="116"/>
      <c r="C10" s="116"/>
      <c r="D10" s="116"/>
      <c r="E10" s="116"/>
      <c r="F10" s="116"/>
      <c r="G10" s="36" t="s">
        <v>59</v>
      </c>
      <c r="H10" s="36" t="s">
        <v>60</v>
      </c>
    </row>
    <row r="11" spans="1:8" x14ac:dyDescent="0.25">
      <c r="A11" s="76">
        <v>1</v>
      </c>
      <c r="B11" s="76"/>
      <c r="C11" s="76">
        <v>2</v>
      </c>
      <c r="D11" s="76" t="s">
        <v>61</v>
      </c>
      <c r="E11" s="76">
        <v>4</v>
      </c>
      <c r="F11" s="76">
        <v>5</v>
      </c>
      <c r="G11" s="76">
        <v>6</v>
      </c>
      <c r="H11" s="76">
        <v>7</v>
      </c>
    </row>
    <row r="12" spans="1:8" x14ac:dyDescent="0.25">
      <c r="A12" s="120" t="s">
        <v>62</v>
      </c>
      <c r="B12" s="121"/>
      <c r="C12" s="122"/>
      <c r="D12" s="122"/>
      <c r="E12" s="121"/>
      <c r="F12" s="77">
        <f>SUM(F13:F19)</f>
        <v>359.93902429053003</v>
      </c>
      <c r="G12" s="77"/>
      <c r="H12" s="77">
        <f>SUM(H13:H19)</f>
        <v>3512.98</v>
      </c>
    </row>
    <row r="13" spans="1:8" x14ac:dyDescent="0.25">
      <c r="A13" s="78">
        <v>1</v>
      </c>
      <c r="B13" s="88"/>
      <c r="C13" s="79" t="s">
        <v>63</v>
      </c>
      <c r="D13" s="80" t="s">
        <v>64</v>
      </c>
      <c r="E13" s="78" t="s">
        <v>65</v>
      </c>
      <c r="F13" s="78">
        <v>234.41188265919999</v>
      </c>
      <c r="G13" s="81">
        <v>9.4</v>
      </c>
      <c r="H13" s="81">
        <f t="shared" ref="H13:H19" si="0">ROUND(F13*G13,2)</f>
        <v>2203.4699999999998</v>
      </c>
    </row>
    <row r="14" spans="1:8" ht="15" customHeight="1" x14ac:dyDescent="0.25">
      <c r="A14" s="78">
        <v>2</v>
      </c>
      <c r="B14" s="87"/>
      <c r="C14" s="79" t="s">
        <v>66</v>
      </c>
      <c r="D14" s="80" t="s">
        <v>67</v>
      </c>
      <c r="E14" s="78" t="s">
        <v>65</v>
      </c>
      <c r="F14" s="78">
        <v>87.257605196347001</v>
      </c>
      <c r="G14" s="81">
        <v>9.6199999999999992</v>
      </c>
      <c r="H14" s="81">
        <f t="shared" si="0"/>
        <v>839.42</v>
      </c>
    </row>
    <row r="15" spans="1:8" x14ac:dyDescent="0.25">
      <c r="A15" s="78">
        <v>3</v>
      </c>
      <c r="B15" s="87"/>
      <c r="C15" s="79" t="s">
        <v>68</v>
      </c>
      <c r="D15" s="80" t="s">
        <v>69</v>
      </c>
      <c r="E15" s="78" t="s">
        <v>65</v>
      </c>
      <c r="F15" s="78">
        <v>14.526630461499</v>
      </c>
      <c r="G15" s="81">
        <v>9.76</v>
      </c>
      <c r="H15" s="81">
        <f t="shared" si="0"/>
        <v>141.78</v>
      </c>
    </row>
    <row r="16" spans="1:8" x14ac:dyDescent="0.25">
      <c r="A16" s="78">
        <v>4</v>
      </c>
      <c r="B16" s="87"/>
      <c r="C16" s="79" t="s">
        <v>70</v>
      </c>
      <c r="D16" s="80" t="s">
        <v>71</v>
      </c>
      <c r="E16" s="78" t="s">
        <v>65</v>
      </c>
      <c r="F16" s="78">
        <v>2.2040615662334</v>
      </c>
      <c r="G16" s="81">
        <v>8.64</v>
      </c>
      <c r="H16" s="81">
        <f t="shared" si="0"/>
        <v>19.04</v>
      </c>
    </row>
    <row r="17" spans="1:8" x14ac:dyDescent="0.25">
      <c r="A17" s="78">
        <v>5</v>
      </c>
      <c r="B17" s="87"/>
      <c r="C17" s="79" t="s">
        <v>72</v>
      </c>
      <c r="D17" s="80" t="s">
        <v>73</v>
      </c>
      <c r="E17" s="78" t="s">
        <v>65</v>
      </c>
      <c r="F17" s="78">
        <v>1.5743296901667001</v>
      </c>
      <c r="G17" s="81">
        <v>8.86</v>
      </c>
      <c r="H17" s="81">
        <f t="shared" si="0"/>
        <v>13.95</v>
      </c>
    </row>
    <row r="18" spans="1:8" x14ac:dyDescent="0.25">
      <c r="A18" s="78">
        <v>6</v>
      </c>
      <c r="B18" s="87"/>
      <c r="C18" s="79" t="s">
        <v>74</v>
      </c>
      <c r="D18" s="80" t="s">
        <v>75</v>
      </c>
      <c r="E18" s="78" t="s">
        <v>65</v>
      </c>
      <c r="F18" s="78">
        <v>10.01514122753</v>
      </c>
      <c r="G18" s="81">
        <v>15.49</v>
      </c>
      <c r="H18" s="81">
        <f t="shared" si="0"/>
        <v>155.13</v>
      </c>
    </row>
    <row r="19" spans="1:8" x14ac:dyDescent="0.25">
      <c r="A19" s="78">
        <v>7</v>
      </c>
      <c r="B19" s="87"/>
      <c r="C19" s="79" t="s">
        <v>76</v>
      </c>
      <c r="D19" s="80" t="s">
        <v>77</v>
      </c>
      <c r="E19" s="78" t="s">
        <v>65</v>
      </c>
      <c r="F19" s="78">
        <v>9.9493734895483001</v>
      </c>
      <c r="G19" s="81">
        <v>14.09</v>
      </c>
      <c r="H19" s="81">
        <f t="shared" si="0"/>
        <v>140.19</v>
      </c>
    </row>
    <row r="20" spans="1:8" x14ac:dyDescent="0.25">
      <c r="A20" s="120" t="s">
        <v>78</v>
      </c>
      <c r="B20" s="121"/>
      <c r="C20" s="122"/>
      <c r="D20" s="122"/>
      <c r="E20" s="121"/>
      <c r="F20" s="99">
        <f>F21</f>
        <v>9.6860397260273992</v>
      </c>
      <c r="G20" s="77"/>
      <c r="H20" s="77">
        <f>H21</f>
        <v>389.93</v>
      </c>
    </row>
    <row r="21" spans="1:8" x14ac:dyDescent="0.25">
      <c r="A21" s="78">
        <v>8</v>
      </c>
      <c r="B21" s="87"/>
      <c r="C21" s="86">
        <v>2</v>
      </c>
      <c r="D21" s="80" t="s">
        <v>78</v>
      </c>
      <c r="E21" s="78" t="s">
        <v>65</v>
      </c>
      <c r="F21" s="78">
        <v>9.6860397260273992</v>
      </c>
      <c r="G21" s="81"/>
      <c r="H21" s="81">
        <v>389.93</v>
      </c>
    </row>
    <row r="22" spans="1:8" x14ac:dyDescent="0.25">
      <c r="A22" s="120" t="s">
        <v>79</v>
      </c>
      <c r="B22" s="121"/>
      <c r="C22" s="122"/>
      <c r="D22" s="122"/>
      <c r="E22" s="121"/>
      <c r="F22" s="99"/>
      <c r="G22" s="77"/>
      <c r="H22" s="77">
        <f>SUM(H23:H28)</f>
        <v>1103.95</v>
      </c>
    </row>
    <row r="23" spans="1:8" ht="31.5" customHeight="1" x14ac:dyDescent="0.25">
      <c r="A23" s="78">
        <v>9</v>
      </c>
      <c r="B23" s="87"/>
      <c r="C23" s="80" t="s">
        <v>80</v>
      </c>
      <c r="D23" s="80" t="s">
        <v>81</v>
      </c>
      <c r="E23" s="78" t="s">
        <v>82</v>
      </c>
      <c r="F23" s="78">
        <v>4.7670086906403997</v>
      </c>
      <c r="G23" s="81">
        <v>115.4</v>
      </c>
      <c r="H23" s="81">
        <f t="shared" ref="H23:H28" si="1">ROUND(F23*G23,2)</f>
        <v>550.11</v>
      </c>
    </row>
    <row r="24" spans="1:8" x14ac:dyDescent="0.25">
      <c r="A24" s="78">
        <v>10</v>
      </c>
      <c r="B24" s="87"/>
      <c r="C24" s="80" t="s">
        <v>83</v>
      </c>
      <c r="D24" s="80" t="s">
        <v>84</v>
      </c>
      <c r="E24" s="78" t="s">
        <v>82</v>
      </c>
      <c r="F24" s="78">
        <v>4.7854278041314</v>
      </c>
      <c r="G24" s="81">
        <v>65.709999999999994</v>
      </c>
      <c r="H24" s="81">
        <f t="shared" si="1"/>
        <v>314.45</v>
      </c>
    </row>
    <row r="25" spans="1:8" ht="31.5" customHeight="1" x14ac:dyDescent="0.25">
      <c r="A25" s="78">
        <v>11</v>
      </c>
      <c r="B25" s="87"/>
      <c r="C25" s="80" t="s">
        <v>85</v>
      </c>
      <c r="D25" s="80" t="s">
        <v>86</v>
      </c>
      <c r="E25" s="78" t="s">
        <v>82</v>
      </c>
      <c r="F25" s="78">
        <v>57.065610203421997</v>
      </c>
      <c r="G25" s="81">
        <v>3.28</v>
      </c>
      <c r="H25" s="81">
        <f t="shared" si="1"/>
        <v>187.18</v>
      </c>
    </row>
    <row r="26" spans="1:8" ht="31.5" customHeight="1" x14ac:dyDescent="0.25">
      <c r="A26" s="78">
        <v>12</v>
      </c>
      <c r="B26" s="87"/>
      <c r="C26" s="80" t="s">
        <v>87</v>
      </c>
      <c r="D26" s="80" t="s">
        <v>88</v>
      </c>
      <c r="E26" s="78" t="s">
        <v>82</v>
      </c>
      <c r="F26" s="78">
        <v>57.090264394224</v>
      </c>
      <c r="G26" s="81">
        <v>0.9</v>
      </c>
      <c r="H26" s="81">
        <f t="shared" si="1"/>
        <v>51.38</v>
      </c>
    </row>
    <row r="27" spans="1:8" ht="31.5" customHeight="1" x14ac:dyDescent="0.25">
      <c r="A27" s="78">
        <v>13</v>
      </c>
      <c r="B27" s="87"/>
      <c r="C27" s="80" t="s">
        <v>89</v>
      </c>
      <c r="D27" s="80" t="s">
        <v>90</v>
      </c>
      <c r="E27" s="78" t="s">
        <v>82</v>
      </c>
      <c r="F27" s="78">
        <v>6.0843380121455001E-2</v>
      </c>
      <c r="G27" s="81">
        <v>8.1</v>
      </c>
      <c r="H27" s="81">
        <f t="shared" si="1"/>
        <v>0.49</v>
      </c>
    </row>
    <row r="28" spans="1:8" x14ac:dyDescent="0.25">
      <c r="A28" s="78">
        <v>14</v>
      </c>
      <c r="B28" s="87"/>
      <c r="C28" s="80" t="s">
        <v>91</v>
      </c>
      <c r="D28" s="80" t="s">
        <v>92</v>
      </c>
      <c r="E28" s="78" t="s">
        <v>82</v>
      </c>
      <c r="F28" s="78">
        <v>0.14319589171909</v>
      </c>
      <c r="G28" s="81">
        <v>2.36</v>
      </c>
      <c r="H28" s="81">
        <f t="shared" si="1"/>
        <v>0.34</v>
      </c>
    </row>
    <row r="29" spans="1:8" x14ac:dyDescent="0.25">
      <c r="A29" s="120" t="s">
        <v>44</v>
      </c>
      <c r="B29" s="121"/>
      <c r="C29" s="122"/>
      <c r="D29" s="122"/>
      <c r="E29" s="121"/>
      <c r="F29" s="99"/>
      <c r="G29" s="77"/>
      <c r="H29" s="77">
        <f>SUM(H30:H40)</f>
        <v>183819.23</v>
      </c>
    </row>
    <row r="30" spans="1:8" x14ac:dyDescent="0.25">
      <c r="A30" s="78">
        <v>15</v>
      </c>
      <c r="B30" s="87"/>
      <c r="C30" s="80" t="s">
        <v>93</v>
      </c>
      <c r="D30" s="80" t="s">
        <v>94</v>
      </c>
      <c r="E30" s="78" t="s">
        <v>95</v>
      </c>
      <c r="F30" s="78">
        <v>1.8453888356912</v>
      </c>
      <c r="G30" s="81">
        <v>34762.120000000003</v>
      </c>
      <c r="H30" s="81">
        <f t="shared" ref="H30:H40" si="2">ROUND(F30*G30,2)</f>
        <v>64149.63</v>
      </c>
    </row>
    <row r="31" spans="1:8" ht="31.5" customHeight="1" x14ac:dyDescent="0.25">
      <c r="A31" s="78">
        <v>16</v>
      </c>
      <c r="B31" s="87"/>
      <c r="C31" s="80" t="s">
        <v>93</v>
      </c>
      <c r="D31" s="80" t="s">
        <v>96</v>
      </c>
      <c r="E31" s="78" t="s">
        <v>95</v>
      </c>
      <c r="F31" s="78">
        <v>0.30756474781316001</v>
      </c>
      <c r="G31" s="81">
        <v>94533.14</v>
      </c>
      <c r="H31" s="81">
        <f t="shared" si="2"/>
        <v>29075.06</v>
      </c>
    </row>
    <row r="32" spans="1:8" x14ac:dyDescent="0.25">
      <c r="A32" s="78">
        <v>17</v>
      </c>
      <c r="B32" s="87"/>
      <c r="C32" s="80" t="s">
        <v>93</v>
      </c>
      <c r="D32" s="80" t="s">
        <v>97</v>
      </c>
      <c r="E32" s="78" t="s">
        <v>95</v>
      </c>
      <c r="F32" s="78">
        <v>0.61512954989021995</v>
      </c>
      <c r="G32" s="81">
        <v>46328.83</v>
      </c>
      <c r="H32" s="81">
        <f t="shared" si="2"/>
        <v>28498.23</v>
      </c>
    </row>
    <row r="33" spans="1:8" x14ac:dyDescent="0.25">
      <c r="A33" s="78">
        <v>18</v>
      </c>
      <c r="B33" s="87"/>
      <c r="C33" s="80" t="s">
        <v>93</v>
      </c>
      <c r="D33" s="80" t="s">
        <v>98</v>
      </c>
      <c r="E33" s="78" t="s">
        <v>95</v>
      </c>
      <c r="F33" s="78">
        <v>0.30756474781316001</v>
      </c>
      <c r="G33" s="81">
        <v>65606.13</v>
      </c>
      <c r="H33" s="81">
        <f t="shared" si="2"/>
        <v>20178.13</v>
      </c>
    </row>
    <row r="34" spans="1:8" ht="31.5" customHeight="1" x14ac:dyDescent="0.25">
      <c r="A34" s="78">
        <v>19</v>
      </c>
      <c r="B34" s="87"/>
      <c r="C34" s="80" t="s">
        <v>93</v>
      </c>
      <c r="D34" s="80" t="s">
        <v>99</v>
      </c>
      <c r="E34" s="78" t="s">
        <v>95</v>
      </c>
      <c r="F34" s="78">
        <v>0.30756474781316001</v>
      </c>
      <c r="G34" s="81">
        <v>63581.05</v>
      </c>
      <c r="H34" s="81">
        <f t="shared" si="2"/>
        <v>19555.29</v>
      </c>
    </row>
    <row r="35" spans="1:8" x14ac:dyDescent="0.25">
      <c r="A35" s="78">
        <v>20</v>
      </c>
      <c r="B35" s="87"/>
      <c r="C35" s="80" t="s">
        <v>93</v>
      </c>
      <c r="D35" s="80" t="s">
        <v>100</v>
      </c>
      <c r="E35" s="78" t="s">
        <v>95</v>
      </c>
      <c r="F35" s="78">
        <v>0.61512954989021995</v>
      </c>
      <c r="G35" s="81">
        <v>10744.21</v>
      </c>
      <c r="H35" s="81">
        <f t="shared" si="2"/>
        <v>6609.08</v>
      </c>
    </row>
    <row r="36" spans="1:8" ht="31.5" customHeight="1" x14ac:dyDescent="0.25">
      <c r="A36" s="78">
        <v>21</v>
      </c>
      <c r="B36" s="87"/>
      <c r="C36" s="80" t="s">
        <v>93</v>
      </c>
      <c r="D36" s="80" t="s">
        <v>101</v>
      </c>
      <c r="E36" s="78" t="s">
        <v>95</v>
      </c>
      <c r="F36" s="78">
        <v>0.61512954989021995</v>
      </c>
      <c r="G36" s="81">
        <v>10704.61</v>
      </c>
      <c r="H36" s="81">
        <f t="shared" si="2"/>
        <v>6584.72</v>
      </c>
    </row>
    <row r="37" spans="1:8" x14ac:dyDescent="0.25">
      <c r="A37" s="78">
        <v>22</v>
      </c>
      <c r="B37" s="87"/>
      <c r="C37" s="80" t="s">
        <v>93</v>
      </c>
      <c r="D37" s="80" t="s">
        <v>102</v>
      </c>
      <c r="E37" s="78" t="s">
        <v>95</v>
      </c>
      <c r="F37" s="78">
        <v>2.4605120478338001</v>
      </c>
      <c r="G37" s="81">
        <v>1636.18</v>
      </c>
      <c r="H37" s="81">
        <f t="shared" si="2"/>
        <v>4025.84</v>
      </c>
    </row>
    <row r="38" spans="1:8" ht="31.5" customHeight="1" x14ac:dyDescent="0.25">
      <c r="A38" s="78">
        <v>23</v>
      </c>
      <c r="B38" s="87"/>
      <c r="C38" s="80" t="s">
        <v>93</v>
      </c>
      <c r="D38" s="80" t="s">
        <v>103</v>
      </c>
      <c r="E38" s="78" t="s">
        <v>95</v>
      </c>
      <c r="F38" s="78">
        <v>0.30756474781316001</v>
      </c>
      <c r="G38" s="81">
        <v>7736.38</v>
      </c>
      <c r="H38" s="81">
        <f t="shared" si="2"/>
        <v>2379.44</v>
      </c>
    </row>
    <row r="39" spans="1:8" x14ac:dyDescent="0.25">
      <c r="A39" s="78">
        <v>24</v>
      </c>
      <c r="B39" s="87"/>
      <c r="C39" s="80" t="s">
        <v>93</v>
      </c>
      <c r="D39" s="80" t="s">
        <v>104</v>
      </c>
      <c r="E39" s="78" t="s">
        <v>95</v>
      </c>
      <c r="F39" s="78">
        <v>0.61512954989021995</v>
      </c>
      <c r="G39" s="81">
        <v>2635.12</v>
      </c>
      <c r="H39" s="81">
        <f t="shared" si="2"/>
        <v>1620.94</v>
      </c>
    </row>
    <row r="40" spans="1:8" x14ac:dyDescent="0.25">
      <c r="A40" s="78">
        <v>25</v>
      </c>
      <c r="B40" s="87"/>
      <c r="C40" s="80" t="s">
        <v>93</v>
      </c>
      <c r="D40" s="80" t="s">
        <v>105</v>
      </c>
      <c r="E40" s="78" t="s">
        <v>95</v>
      </c>
      <c r="F40" s="78">
        <v>0.61512954989021995</v>
      </c>
      <c r="G40" s="81">
        <v>1857.93</v>
      </c>
      <c r="H40" s="81">
        <f t="shared" si="2"/>
        <v>1142.8699999999999</v>
      </c>
    </row>
    <row r="41" spans="1:8" x14ac:dyDescent="0.25">
      <c r="A41" s="120" t="s">
        <v>106</v>
      </c>
      <c r="B41" s="121"/>
      <c r="C41" s="122"/>
      <c r="D41" s="122"/>
      <c r="E41" s="121"/>
      <c r="F41" s="99"/>
      <c r="G41" s="77"/>
      <c r="H41" s="77">
        <f>SUM(H42:H68)</f>
        <v>39374.99</v>
      </c>
    </row>
    <row r="42" spans="1:8" ht="31.5" customHeight="1" x14ac:dyDescent="0.25">
      <c r="A42" s="78">
        <v>26</v>
      </c>
      <c r="B42" s="87"/>
      <c r="C42" s="80" t="s">
        <v>107</v>
      </c>
      <c r="D42" s="80" t="s">
        <v>108</v>
      </c>
      <c r="E42" s="78" t="s">
        <v>109</v>
      </c>
      <c r="F42" s="78">
        <v>1.2917883613440999</v>
      </c>
      <c r="G42" s="81">
        <v>18047.849999999999</v>
      </c>
      <c r="H42" s="81">
        <f t="shared" ref="H42:H68" si="3">ROUND(F42*G42,2)</f>
        <v>23314</v>
      </c>
    </row>
    <row r="43" spans="1:8" ht="31.5" customHeight="1" x14ac:dyDescent="0.25">
      <c r="A43" s="78">
        <v>27</v>
      </c>
      <c r="B43" s="87"/>
      <c r="C43" s="80" t="s">
        <v>110</v>
      </c>
      <c r="D43" s="80" t="s">
        <v>111</v>
      </c>
      <c r="E43" s="78" t="s">
        <v>109</v>
      </c>
      <c r="F43" s="78">
        <v>0.86119168856138995</v>
      </c>
      <c r="G43" s="81">
        <v>6920.41</v>
      </c>
      <c r="H43" s="81">
        <f t="shared" si="3"/>
        <v>5959.8</v>
      </c>
    </row>
    <row r="44" spans="1:8" ht="47.25" customHeight="1" x14ac:dyDescent="0.25">
      <c r="A44" s="78">
        <v>28</v>
      </c>
      <c r="B44" s="87"/>
      <c r="C44" s="80" t="s">
        <v>112</v>
      </c>
      <c r="D44" s="80" t="s">
        <v>113</v>
      </c>
      <c r="E44" s="78" t="s">
        <v>114</v>
      </c>
      <c r="F44" s="78">
        <v>614.88070366070997</v>
      </c>
      <c r="G44" s="81">
        <v>3.89</v>
      </c>
      <c r="H44" s="81">
        <f t="shared" si="3"/>
        <v>2391.89</v>
      </c>
    </row>
    <row r="45" spans="1:8" ht="78.75" customHeight="1" x14ac:dyDescent="0.25">
      <c r="A45" s="78">
        <v>29</v>
      </c>
      <c r="B45" s="87"/>
      <c r="C45" s="80" t="s">
        <v>115</v>
      </c>
      <c r="D45" s="80" t="s">
        <v>116</v>
      </c>
      <c r="E45" s="78" t="s">
        <v>117</v>
      </c>
      <c r="F45" s="78">
        <v>78.743117400445996</v>
      </c>
      <c r="G45" s="81">
        <v>22.61</v>
      </c>
      <c r="H45" s="81">
        <f t="shared" si="3"/>
        <v>1780.38</v>
      </c>
    </row>
    <row r="46" spans="1:8" ht="15" customHeight="1" x14ac:dyDescent="0.25">
      <c r="A46" s="78">
        <v>30</v>
      </c>
      <c r="B46" s="87"/>
      <c r="C46" s="80" t="s">
        <v>118</v>
      </c>
      <c r="D46" s="80" t="s">
        <v>119</v>
      </c>
      <c r="E46" s="78" t="s">
        <v>114</v>
      </c>
      <c r="F46" s="78">
        <v>184.58182740262001</v>
      </c>
      <c r="G46" s="81">
        <v>8.3699999999999992</v>
      </c>
      <c r="H46" s="81">
        <f t="shared" si="3"/>
        <v>1544.95</v>
      </c>
    </row>
    <row r="47" spans="1:8" ht="63" customHeight="1" x14ac:dyDescent="0.25">
      <c r="A47" s="78">
        <v>31</v>
      </c>
      <c r="B47" s="87"/>
      <c r="C47" s="80" t="s">
        <v>120</v>
      </c>
      <c r="D47" s="80" t="s">
        <v>121</v>
      </c>
      <c r="E47" s="78" t="s">
        <v>114</v>
      </c>
      <c r="F47" s="78">
        <v>9.5108855366966996</v>
      </c>
      <c r="G47" s="81">
        <v>156.97999999999999</v>
      </c>
      <c r="H47" s="81">
        <f t="shared" si="3"/>
        <v>1493.02</v>
      </c>
    </row>
    <row r="48" spans="1:8" ht="31.5" customHeight="1" x14ac:dyDescent="0.25">
      <c r="A48" s="78">
        <v>32</v>
      </c>
      <c r="B48" s="87"/>
      <c r="C48" s="80" t="s">
        <v>122</v>
      </c>
      <c r="D48" s="80" t="s">
        <v>123</v>
      </c>
      <c r="E48" s="78" t="s">
        <v>109</v>
      </c>
      <c r="F48" s="78">
        <v>0.22452279868248001</v>
      </c>
      <c r="G48" s="81">
        <v>3708.36</v>
      </c>
      <c r="H48" s="81">
        <f t="shared" si="3"/>
        <v>832.61</v>
      </c>
    </row>
    <row r="49" spans="1:8" ht="15" customHeight="1" x14ac:dyDescent="0.25">
      <c r="A49" s="78">
        <v>33</v>
      </c>
      <c r="B49" s="87"/>
      <c r="C49" s="80" t="s">
        <v>124</v>
      </c>
      <c r="D49" s="80" t="s">
        <v>125</v>
      </c>
      <c r="E49" s="78" t="s">
        <v>126</v>
      </c>
      <c r="F49" s="78">
        <v>1.1887646054619E-2</v>
      </c>
      <c r="G49" s="81">
        <v>68050</v>
      </c>
      <c r="H49" s="81">
        <f t="shared" si="3"/>
        <v>808.95</v>
      </c>
    </row>
    <row r="50" spans="1:8" ht="31.5" customHeight="1" x14ac:dyDescent="0.25">
      <c r="A50" s="78">
        <v>34</v>
      </c>
      <c r="B50" s="87"/>
      <c r="C50" s="80" t="s">
        <v>127</v>
      </c>
      <c r="D50" s="80" t="s">
        <v>128</v>
      </c>
      <c r="E50" s="78" t="s">
        <v>109</v>
      </c>
      <c r="F50" s="78">
        <v>0.2460547103903</v>
      </c>
      <c r="G50" s="81">
        <v>2719.53</v>
      </c>
      <c r="H50" s="81">
        <f t="shared" si="3"/>
        <v>669.15</v>
      </c>
    </row>
    <row r="51" spans="1:8" ht="31.5" customHeight="1" x14ac:dyDescent="0.25">
      <c r="A51" s="78">
        <v>35</v>
      </c>
      <c r="B51" s="87"/>
      <c r="C51" s="80" t="s">
        <v>129</v>
      </c>
      <c r="D51" s="80" t="s">
        <v>130</v>
      </c>
      <c r="E51" s="78" t="s">
        <v>131</v>
      </c>
      <c r="F51" s="78">
        <v>4.0537769471812997</v>
      </c>
      <c r="G51" s="81">
        <v>83</v>
      </c>
      <c r="H51" s="81">
        <f t="shared" si="3"/>
        <v>336.46</v>
      </c>
    </row>
    <row r="52" spans="1:8" x14ac:dyDescent="0.25">
      <c r="A52" s="78">
        <v>36</v>
      </c>
      <c r="B52" s="87"/>
      <c r="C52" s="80" t="s">
        <v>132</v>
      </c>
      <c r="D52" s="80" t="s">
        <v>133</v>
      </c>
      <c r="E52" s="78" t="s">
        <v>134</v>
      </c>
      <c r="F52" s="78">
        <v>3.3068992416561001</v>
      </c>
      <c r="G52" s="81">
        <v>28.93</v>
      </c>
      <c r="H52" s="81">
        <f t="shared" si="3"/>
        <v>95.67</v>
      </c>
    </row>
    <row r="53" spans="1:8" ht="31.5" customHeight="1" x14ac:dyDescent="0.25">
      <c r="A53" s="78">
        <v>37</v>
      </c>
      <c r="B53" s="87"/>
      <c r="C53" s="80" t="s">
        <v>135</v>
      </c>
      <c r="D53" s="80" t="s">
        <v>136</v>
      </c>
      <c r="E53" s="78" t="s">
        <v>137</v>
      </c>
      <c r="F53" s="78">
        <v>70.689156391251004</v>
      </c>
      <c r="G53" s="81">
        <v>1</v>
      </c>
      <c r="H53" s="81">
        <f t="shared" si="3"/>
        <v>70.69</v>
      </c>
    </row>
    <row r="54" spans="1:8" x14ac:dyDescent="0.25">
      <c r="A54" s="78">
        <v>38</v>
      </c>
      <c r="B54" s="87"/>
      <c r="C54" s="80" t="s">
        <v>138</v>
      </c>
      <c r="D54" s="80" t="s">
        <v>139</v>
      </c>
      <c r="E54" s="78" t="s">
        <v>140</v>
      </c>
      <c r="F54" s="78">
        <v>2.281447511458</v>
      </c>
      <c r="G54" s="81">
        <v>6.9</v>
      </c>
      <c r="H54" s="81">
        <f t="shared" si="3"/>
        <v>15.74</v>
      </c>
    </row>
    <row r="55" spans="1:8" ht="31.5" customHeight="1" x14ac:dyDescent="0.25">
      <c r="A55" s="78">
        <v>39</v>
      </c>
      <c r="B55" s="87"/>
      <c r="C55" s="80" t="s">
        <v>141</v>
      </c>
      <c r="D55" s="80" t="s">
        <v>142</v>
      </c>
      <c r="E55" s="78" t="s">
        <v>134</v>
      </c>
      <c r="F55" s="78">
        <v>0.39372848023149998</v>
      </c>
      <c r="G55" s="81">
        <v>38.340000000000003</v>
      </c>
      <c r="H55" s="81">
        <f t="shared" si="3"/>
        <v>15.1</v>
      </c>
    </row>
    <row r="56" spans="1:8" ht="47.25" customHeight="1" x14ac:dyDescent="0.25">
      <c r="A56" s="78">
        <v>40</v>
      </c>
      <c r="B56" s="87"/>
      <c r="C56" s="80" t="s">
        <v>143</v>
      </c>
      <c r="D56" s="80" t="s">
        <v>144</v>
      </c>
      <c r="E56" s="78" t="s">
        <v>126</v>
      </c>
      <c r="F56" s="78">
        <v>2.1529747917609001E-3</v>
      </c>
      <c r="G56" s="81">
        <v>6834.81</v>
      </c>
      <c r="H56" s="81">
        <f t="shared" si="3"/>
        <v>14.72</v>
      </c>
    </row>
    <row r="57" spans="1:8" x14ac:dyDescent="0.25">
      <c r="A57" s="78">
        <v>41</v>
      </c>
      <c r="B57" s="87"/>
      <c r="C57" s="80" t="s">
        <v>145</v>
      </c>
      <c r="D57" s="80" t="s">
        <v>146</v>
      </c>
      <c r="E57" s="78" t="s">
        <v>134</v>
      </c>
      <c r="F57" s="78">
        <v>0.92315735116898001</v>
      </c>
      <c r="G57" s="81">
        <v>12.6</v>
      </c>
      <c r="H57" s="81">
        <f t="shared" si="3"/>
        <v>11.63</v>
      </c>
    </row>
    <row r="58" spans="1:8" x14ac:dyDescent="0.25">
      <c r="A58" s="78">
        <v>42</v>
      </c>
      <c r="B58" s="87"/>
      <c r="C58" s="80" t="s">
        <v>147</v>
      </c>
      <c r="D58" s="80" t="s">
        <v>148</v>
      </c>
      <c r="E58" s="78" t="s">
        <v>126</v>
      </c>
      <c r="F58" s="78">
        <v>1.4266993265758001E-3</v>
      </c>
      <c r="G58" s="81">
        <v>7826.9</v>
      </c>
      <c r="H58" s="81">
        <f t="shared" si="3"/>
        <v>11.17</v>
      </c>
    </row>
    <row r="59" spans="1:8" ht="31.5" customHeight="1" x14ac:dyDescent="0.25">
      <c r="A59" s="78">
        <v>43</v>
      </c>
      <c r="B59" s="87"/>
      <c r="C59" s="80" t="s">
        <v>149</v>
      </c>
      <c r="D59" s="80" t="s">
        <v>150</v>
      </c>
      <c r="E59" s="78" t="s">
        <v>126</v>
      </c>
      <c r="F59" s="78">
        <v>6.1466038156996996E-5</v>
      </c>
      <c r="G59" s="81">
        <v>65750</v>
      </c>
      <c r="H59" s="81">
        <f t="shared" si="3"/>
        <v>4.04</v>
      </c>
    </row>
    <row r="60" spans="1:8" ht="31.5" customHeight="1" x14ac:dyDescent="0.25">
      <c r="A60" s="78">
        <v>44</v>
      </c>
      <c r="B60" s="87"/>
      <c r="C60" s="80" t="s">
        <v>151</v>
      </c>
      <c r="D60" s="80" t="s">
        <v>152</v>
      </c>
      <c r="E60" s="78" t="s">
        <v>134</v>
      </c>
      <c r="F60" s="78">
        <v>7.3250207638067E-2</v>
      </c>
      <c r="G60" s="81">
        <v>25.76</v>
      </c>
      <c r="H60" s="81">
        <f t="shared" si="3"/>
        <v>1.89</v>
      </c>
    </row>
    <row r="61" spans="1:8" x14ac:dyDescent="0.25">
      <c r="A61" s="78">
        <v>45</v>
      </c>
      <c r="B61" s="87"/>
      <c r="C61" s="80" t="s">
        <v>153</v>
      </c>
      <c r="D61" s="80" t="s">
        <v>154</v>
      </c>
      <c r="E61" s="78" t="s">
        <v>126</v>
      </c>
      <c r="F61" s="78">
        <v>2.0254772054964002E-3</v>
      </c>
      <c r="G61" s="81">
        <v>729.98</v>
      </c>
      <c r="H61" s="81">
        <f t="shared" si="3"/>
        <v>1.48</v>
      </c>
    </row>
    <row r="62" spans="1:8" x14ac:dyDescent="0.25">
      <c r="A62" s="78">
        <v>46</v>
      </c>
      <c r="B62" s="87"/>
      <c r="C62" s="80" t="s">
        <v>155</v>
      </c>
      <c r="D62" s="80" t="s">
        <v>156</v>
      </c>
      <c r="E62" s="78" t="s">
        <v>95</v>
      </c>
      <c r="F62" s="78">
        <v>3.0782040708827001</v>
      </c>
      <c r="G62" s="81">
        <v>0.27</v>
      </c>
      <c r="H62" s="81">
        <f t="shared" si="3"/>
        <v>0.83</v>
      </c>
    </row>
    <row r="63" spans="1:8" x14ac:dyDescent="0.25">
      <c r="A63" s="78">
        <v>47</v>
      </c>
      <c r="B63" s="87"/>
      <c r="C63" s="80" t="s">
        <v>157</v>
      </c>
      <c r="D63" s="80" t="s">
        <v>158</v>
      </c>
      <c r="E63" s="78" t="s">
        <v>126</v>
      </c>
      <c r="F63" s="78">
        <v>3.6858969965007997E-5</v>
      </c>
      <c r="G63" s="81">
        <v>10315.01</v>
      </c>
      <c r="H63" s="81">
        <f t="shared" si="3"/>
        <v>0.38</v>
      </c>
    </row>
    <row r="64" spans="1:8" x14ac:dyDescent="0.25">
      <c r="A64" s="78">
        <v>48</v>
      </c>
      <c r="B64" s="87"/>
      <c r="C64" s="80" t="s">
        <v>159</v>
      </c>
      <c r="D64" s="80" t="s">
        <v>160</v>
      </c>
      <c r="E64" s="78" t="s">
        <v>126</v>
      </c>
      <c r="F64" s="78">
        <v>6.4684444433910998E-6</v>
      </c>
      <c r="G64" s="81">
        <v>28300.400000000001</v>
      </c>
      <c r="H64" s="81">
        <f t="shared" si="3"/>
        <v>0.18</v>
      </c>
    </row>
    <row r="65" spans="1:8" x14ac:dyDescent="0.25">
      <c r="A65" s="78">
        <v>49</v>
      </c>
      <c r="B65" s="87"/>
      <c r="C65" s="80" t="s">
        <v>161</v>
      </c>
      <c r="D65" s="80" t="s">
        <v>162</v>
      </c>
      <c r="E65" s="78" t="s">
        <v>134</v>
      </c>
      <c r="F65" s="78">
        <v>5.0762364824489996E-3</v>
      </c>
      <c r="G65" s="81">
        <v>27.74</v>
      </c>
      <c r="H65" s="81">
        <f t="shared" si="3"/>
        <v>0.14000000000000001</v>
      </c>
    </row>
    <row r="66" spans="1:8" x14ac:dyDescent="0.25">
      <c r="A66" s="78">
        <v>50</v>
      </c>
      <c r="B66" s="87"/>
      <c r="C66" s="80" t="s">
        <v>163</v>
      </c>
      <c r="D66" s="80" t="s">
        <v>164</v>
      </c>
      <c r="E66" s="78" t="s">
        <v>126</v>
      </c>
      <c r="F66" s="78">
        <v>3.6060192720157001E-6</v>
      </c>
      <c r="G66" s="81">
        <v>15620</v>
      </c>
      <c r="H66" s="81">
        <f t="shared" si="3"/>
        <v>0.06</v>
      </c>
    </row>
    <row r="67" spans="1:8" x14ac:dyDescent="0.25">
      <c r="A67" s="78">
        <v>51</v>
      </c>
      <c r="B67" s="87"/>
      <c r="C67" s="80" t="s">
        <v>165</v>
      </c>
      <c r="D67" s="80" t="s">
        <v>166</v>
      </c>
      <c r="E67" s="78" t="s">
        <v>134</v>
      </c>
      <c r="F67" s="78">
        <v>2.9895775618711002E-3</v>
      </c>
      <c r="G67" s="81">
        <v>9.42</v>
      </c>
      <c r="H67" s="81">
        <f t="shared" si="3"/>
        <v>0.03</v>
      </c>
    </row>
    <row r="68" spans="1:8" x14ac:dyDescent="0.25">
      <c r="A68" s="78">
        <v>52</v>
      </c>
      <c r="B68" s="87"/>
      <c r="C68" s="80" t="s">
        <v>167</v>
      </c>
      <c r="D68" s="80" t="s">
        <v>168</v>
      </c>
      <c r="E68" s="78" t="s">
        <v>134</v>
      </c>
      <c r="F68" s="78">
        <v>4.2220884679492997E-3</v>
      </c>
      <c r="G68" s="81">
        <v>6.67</v>
      </c>
      <c r="H68" s="81">
        <f t="shared" si="3"/>
        <v>0.03</v>
      </c>
    </row>
    <row r="71" spans="1:8" x14ac:dyDescent="0.25">
      <c r="B71" s="57" t="s">
        <v>31</v>
      </c>
    </row>
    <row r="72" spans="1:8" x14ac:dyDescent="0.25">
      <c r="B72" s="64" t="s">
        <v>32</v>
      </c>
    </row>
    <row r="74" spans="1:8" x14ac:dyDescent="0.25">
      <c r="B74" s="57" t="s">
        <v>33</v>
      </c>
    </row>
    <row r="75" spans="1:8" x14ac:dyDescent="0.25">
      <c r="B75" s="64" t="s">
        <v>34</v>
      </c>
    </row>
  </sheetData>
  <mergeCells count="15">
    <mergeCell ref="A12:E12"/>
    <mergeCell ref="A20:E20"/>
    <mergeCell ref="A22:E22"/>
    <mergeCell ref="A41:E41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9:E29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I50"/>
  <sheetViews>
    <sheetView view="pageBreakPreview" workbookViewId="0">
      <selection activeCell="D46" sqref="D46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8" width="9.140625" customWidth="1"/>
    <col min="9" max="9" width="13.5703125" customWidth="1"/>
    <col min="10" max="10" width="9.140625" customWidth="1"/>
  </cols>
  <sheetData>
    <row r="1" spans="2:5" x14ac:dyDescent="0.25">
      <c r="B1" s="6"/>
      <c r="C1" s="6"/>
      <c r="D1" s="6"/>
      <c r="E1" s="6"/>
    </row>
    <row r="2" spans="2:5" x14ac:dyDescent="0.25">
      <c r="B2" s="6"/>
      <c r="C2" s="6"/>
      <c r="D2" s="6"/>
      <c r="E2" s="15" t="s">
        <v>169</v>
      </c>
    </row>
    <row r="3" spans="2:5" x14ac:dyDescent="0.25">
      <c r="B3" s="6"/>
      <c r="C3" s="6"/>
      <c r="D3" s="6"/>
      <c r="E3" s="6"/>
    </row>
    <row r="4" spans="2:5" x14ac:dyDescent="0.25">
      <c r="B4" s="6"/>
      <c r="C4" s="6"/>
      <c r="D4" s="6"/>
      <c r="E4" s="6"/>
    </row>
    <row r="5" spans="2:5" x14ac:dyDescent="0.25">
      <c r="B5" s="123" t="s">
        <v>170</v>
      </c>
      <c r="C5" s="123"/>
      <c r="D5" s="123"/>
      <c r="E5" s="123"/>
    </row>
    <row r="6" spans="2:5" x14ac:dyDescent="0.25">
      <c r="B6" s="16"/>
      <c r="C6" s="6"/>
      <c r="D6" s="6"/>
      <c r="E6" s="6"/>
    </row>
    <row r="7" spans="2:5" ht="39.75" customHeight="1" x14ac:dyDescent="0.25">
      <c r="B7" s="124" t="str">
        <f>'Прил.1 Сравнит табл'!B7</f>
        <v>Наименование разрабатываемого показателя УНЦ - Постоянная часть ПС, система периметральной сигнализации ЗПС 110 кВ</v>
      </c>
      <c r="C7" s="124"/>
      <c r="D7" s="124"/>
      <c r="E7" s="124"/>
    </row>
    <row r="8" spans="2:5" x14ac:dyDescent="0.25">
      <c r="B8" s="125" t="str">
        <f>'Прил.1 Сравнит табл'!B9</f>
        <v>Единица измерения  — 1 ПС</v>
      </c>
      <c r="C8" s="125"/>
      <c r="D8" s="125"/>
      <c r="E8" s="125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171</v>
      </c>
      <c r="C10" s="2" t="s">
        <v>172</v>
      </c>
      <c r="D10" s="2" t="s">
        <v>173</v>
      </c>
      <c r="E10" s="2" t="s">
        <v>174</v>
      </c>
    </row>
    <row r="11" spans="2:5" x14ac:dyDescent="0.25">
      <c r="B11" s="7" t="s">
        <v>175</v>
      </c>
      <c r="C11" s="41">
        <f>'Прил.5 Расчет СМР и ОБ'!J16</f>
        <v>158046.5</v>
      </c>
      <c r="D11" s="40">
        <f t="shared" ref="D11:D18" si="0">C11/$C$24</f>
        <v>0.21053312630606191</v>
      </c>
      <c r="E11" s="40">
        <f t="shared" ref="E11:E18" si="1">C11/$C$40</f>
        <v>6.8903300322755351E-2</v>
      </c>
    </row>
    <row r="12" spans="2:5" x14ac:dyDescent="0.25">
      <c r="B12" s="7" t="s">
        <v>176</v>
      </c>
      <c r="C12" s="41">
        <f>'Прил.5 Расчет СМР и ОБ'!J24</f>
        <v>14166.82</v>
      </c>
      <c r="D12" s="40">
        <f t="shared" si="0"/>
        <v>1.8871565674755494E-2</v>
      </c>
      <c r="E12" s="40">
        <f t="shared" si="1"/>
        <v>6.1762876943077952E-3</v>
      </c>
    </row>
    <row r="13" spans="2:5" x14ac:dyDescent="0.25">
      <c r="B13" s="7" t="s">
        <v>177</v>
      </c>
      <c r="C13" s="41">
        <f>'Прил.5 Расчет СМР и ОБ'!J28</f>
        <v>703.11999999999989</v>
      </c>
      <c r="D13" s="40">
        <f t="shared" si="0"/>
        <v>9.3662340999843866E-4</v>
      </c>
      <c r="E13" s="40">
        <f t="shared" si="1"/>
        <v>3.0653819301873649E-4</v>
      </c>
    </row>
    <row r="14" spans="2:5" x14ac:dyDescent="0.25">
      <c r="B14" s="7" t="s">
        <v>178</v>
      </c>
      <c r="C14" s="41">
        <f>C13+C12</f>
        <v>14869.939999999999</v>
      </c>
      <c r="D14" s="40">
        <f t="shared" si="0"/>
        <v>1.980818908475393E-2</v>
      </c>
      <c r="E14" s="40">
        <f t="shared" si="1"/>
        <v>6.482825887326531E-3</v>
      </c>
    </row>
    <row r="15" spans="2:5" x14ac:dyDescent="0.25">
      <c r="B15" s="7" t="s">
        <v>179</v>
      </c>
      <c r="C15" s="41">
        <f>'Прил.5 Расчет СМР и ОБ'!J18</f>
        <v>17270.02</v>
      </c>
      <c r="D15" s="40">
        <f t="shared" si="0"/>
        <v>2.3005326293010067E-2</v>
      </c>
      <c r="E15" s="40">
        <f t="shared" si="1"/>
        <v>7.5291852375091598E-3</v>
      </c>
    </row>
    <row r="16" spans="2:5" x14ac:dyDescent="0.25">
      <c r="B16" s="7" t="s">
        <v>180</v>
      </c>
      <c r="C16" s="41">
        <f>'Прил.5 Расчет СМР и ОБ'!J51</f>
        <v>281329.27</v>
      </c>
      <c r="D16" s="40">
        <f t="shared" si="0"/>
        <v>0.3747576234494418</v>
      </c>
      <c r="E16" s="40">
        <f t="shared" si="1"/>
        <v>0.12265070836995143</v>
      </c>
    </row>
    <row r="17" spans="2:5" x14ac:dyDescent="0.25">
      <c r="B17" s="7" t="s">
        <v>181</v>
      </c>
      <c r="C17" s="41">
        <f>'Прил.5 Расчет СМР и ОБ'!J76</f>
        <v>45748.259999999987</v>
      </c>
      <c r="D17" s="40">
        <f t="shared" si="0"/>
        <v>6.0941078738615269E-2</v>
      </c>
      <c r="E17" s="40">
        <f t="shared" si="1"/>
        <v>1.9944801675604931E-2</v>
      </c>
    </row>
    <row r="18" spans="2:5" x14ac:dyDescent="0.25">
      <c r="B18" s="7" t="s">
        <v>182</v>
      </c>
      <c r="C18" s="41">
        <f>C17+C16</f>
        <v>327077.53000000003</v>
      </c>
      <c r="D18" s="40">
        <f t="shared" si="0"/>
        <v>0.43569870218805706</v>
      </c>
      <c r="E18" s="40">
        <f t="shared" si="1"/>
        <v>0.14259551004555637</v>
      </c>
    </row>
    <row r="19" spans="2:5" x14ac:dyDescent="0.25">
      <c r="B19" s="7" t="s">
        <v>183</v>
      </c>
      <c r="C19" s="41">
        <f>C18+C14+C11</f>
        <v>499993.97000000003</v>
      </c>
      <c r="D19" s="40"/>
      <c r="E19" s="7"/>
    </row>
    <row r="20" spans="2:5" x14ac:dyDescent="0.25">
      <c r="B20" s="7" t="s">
        <v>184</v>
      </c>
      <c r="C20" s="41">
        <f>ROUND(C21*(C11+C15),2)</f>
        <v>85905.09</v>
      </c>
      <c r="D20" s="40">
        <f>C20/$C$24</f>
        <v>0.11443383537948398</v>
      </c>
      <c r="E20" s="40">
        <f>C20/$C$40</f>
        <v>3.7451915831880664E-2</v>
      </c>
    </row>
    <row r="21" spans="2:5" x14ac:dyDescent="0.25">
      <c r="B21" s="7" t="s">
        <v>185</v>
      </c>
      <c r="C21" s="42">
        <v>0.49</v>
      </c>
      <c r="D21" s="40"/>
      <c r="E21" s="7"/>
    </row>
    <row r="22" spans="2:5" x14ac:dyDescent="0.25">
      <c r="B22" s="7" t="s">
        <v>186</v>
      </c>
      <c r="C22" s="41">
        <f>ROUND(C23*(C11+C15),2)</f>
        <v>164797.53</v>
      </c>
      <c r="D22" s="40">
        <f>C22/$C$24</f>
        <v>0.219526147041643</v>
      </c>
      <c r="E22" s="40">
        <f>C22/$C$40</f>
        <v>7.1846536949810871E-2</v>
      </c>
    </row>
    <row r="23" spans="2:5" x14ac:dyDescent="0.25">
      <c r="B23" s="7" t="s">
        <v>187</v>
      </c>
      <c r="C23" s="42">
        <v>0.94</v>
      </c>
      <c r="D23" s="40"/>
      <c r="E23" s="7"/>
    </row>
    <row r="24" spans="2:5" x14ac:dyDescent="0.25">
      <c r="B24" s="7" t="s">
        <v>188</v>
      </c>
      <c r="C24" s="41">
        <f>C19+C20+C22</f>
        <v>750696.59000000008</v>
      </c>
      <c r="D24" s="40">
        <f>C24/$C$24</f>
        <v>1</v>
      </c>
      <c r="E24" s="40">
        <f>C24/$C$40</f>
        <v>0.3272800890373298</v>
      </c>
    </row>
    <row r="25" spans="2:5" ht="25.5" customHeight="1" x14ac:dyDescent="0.25">
      <c r="B25" s="7" t="s">
        <v>189</v>
      </c>
      <c r="C25" s="41">
        <f>'Прил.5 Расчет СМР и ОБ'!J42</f>
        <v>1328253.4800000002</v>
      </c>
      <c r="D25" s="40"/>
      <c r="E25" s="40">
        <f>C25/$C$40</f>
        <v>0.57907671753050483</v>
      </c>
    </row>
    <row r="26" spans="2:5" ht="25.5" customHeight="1" x14ac:dyDescent="0.25">
      <c r="B26" s="7" t="s">
        <v>190</v>
      </c>
      <c r="C26" s="41">
        <f>'Прил.5 Расчет СМР и ОБ'!J43</f>
        <v>1328253.5</v>
      </c>
      <c r="D26" s="40"/>
      <c r="E26" s="40">
        <f>C26/$C$40</f>
        <v>0.57907672624987538</v>
      </c>
    </row>
    <row r="27" spans="2:5" x14ac:dyDescent="0.25">
      <c r="B27" s="7" t="s">
        <v>191</v>
      </c>
      <c r="C27" s="39">
        <f>C24+C25</f>
        <v>2078950.0700000003</v>
      </c>
      <c r="D27" s="40"/>
      <c r="E27" s="40">
        <f>C27/$C$40</f>
        <v>0.90635680656783468</v>
      </c>
    </row>
    <row r="28" spans="2:5" ht="33" customHeight="1" x14ac:dyDescent="0.25">
      <c r="B28" s="7" t="s">
        <v>192</v>
      </c>
      <c r="C28" s="7"/>
      <c r="D28" s="7"/>
      <c r="E28" s="7"/>
    </row>
    <row r="29" spans="2:5" ht="25.5" customHeight="1" x14ac:dyDescent="0.25">
      <c r="B29" s="7" t="s">
        <v>193</v>
      </c>
      <c r="C29" s="39">
        <f>ROUND(C24*3.9%,2)</f>
        <v>29277.17</v>
      </c>
      <c r="D29" s="7"/>
      <c r="E29" s="40">
        <f t="shared" ref="E29:E40" si="2">C29/$C$40</f>
        <v>1.2763924776001766E-2</v>
      </c>
    </row>
    <row r="30" spans="2:5" ht="38.25" customHeight="1" x14ac:dyDescent="0.25">
      <c r="B30" s="91" t="s">
        <v>194</v>
      </c>
      <c r="C30" s="92">
        <f>ROUND((C24+C29)*2.1%,2)</f>
        <v>16379.45</v>
      </c>
      <c r="D30" s="91"/>
      <c r="E30" s="40">
        <f t="shared" si="2"/>
        <v>7.1409247434872343E-3</v>
      </c>
    </row>
    <row r="31" spans="2:5" x14ac:dyDescent="0.25">
      <c r="B31" s="91" t="s">
        <v>195</v>
      </c>
      <c r="C31" s="92">
        <v>51410</v>
      </c>
      <c r="D31" s="91"/>
      <c r="E31" s="40">
        <f t="shared" si="2"/>
        <v>2.2413142142298958E-2</v>
      </c>
    </row>
    <row r="32" spans="2:5" ht="25.5" customHeight="1" x14ac:dyDescent="0.25">
      <c r="B32" s="91" t="s">
        <v>196</v>
      </c>
      <c r="C32" s="92">
        <v>0</v>
      </c>
      <c r="D32" s="91"/>
      <c r="E32" s="40">
        <f t="shared" si="2"/>
        <v>0</v>
      </c>
    </row>
    <row r="33" spans="2:9" ht="25.5" customHeight="1" x14ac:dyDescent="0.25">
      <c r="B33" s="91" t="s">
        <v>197</v>
      </c>
      <c r="C33" s="92">
        <v>0</v>
      </c>
      <c r="D33" s="91"/>
      <c r="E33" s="40">
        <f t="shared" si="2"/>
        <v>0</v>
      </c>
    </row>
    <row r="34" spans="2:9" ht="51" customHeight="1" x14ac:dyDescent="0.25">
      <c r="B34" s="7" t="s">
        <v>198</v>
      </c>
      <c r="C34" s="39">
        <v>0</v>
      </c>
      <c r="D34" s="7"/>
      <c r="E34" s="40">
        <f t="shared" si="2"/>
        <v>0</v>
      </c>
    </row>
    <row r="35" spans="2:9" ht="76.5" customHeight="1" x14ac:dyDescent="0.25">
      <c r="B35" s="7" t="s">
        <v>199</v>
      </c>
      <c r="C35" s="39">
        <v>0</v>
      </c>
      <c r="D35" s="7"/>
      <c r="E35" s="40">
        <f t="shared" si="2"/>
        <v>0</v>
      </c>
    </row>
    <row r="36" spans="2:9" ht="25.5" customHeight="1" x14ac:dyDescent="0.25">
      <c r="B36" s="7" t="s">
        <v>200</v>
      </c>
      <c r="C36" s="39">
        <f>ROUND(SUM(C27:C35)*2.14%,2)</f>
        <v>46566.76</v>
      </c>
      <c r="D36" s="7"/>
      <c r="E36" s="40">
        <f t="shared" si="2"/>
        <v>2.0301641917648737E-2</v>
      </c>
      <c r="I36" s="17"/>
    </row>
    <row r="37" spans="2:9" x14ac:dyDescent="0.25">
      <c r="B37" s="7" t="s">
        <v>201</v>
      </c>
      <c r="C37" s="39">
        <f>ROUND(SUM(C27:C35)*0.2%,2)</f>
        <v>4352.03</v>
      </c>
      <c r="D37" s="7"/>
      <c r="E37" s="40">
        <f t="shared" si="2"/>
        <v>1.8973481228856124E-3</v>
      </c>
      <c r="I37" s="17"/>
    </row>
    <row r="38" spans="2:9" ht="38.25" customHeight="1" x14ac:dyDescent="0.25">
      <c r="B38" s="7" t="s">
        <v>202</v>
      </c>
      <c r="C38" s="41">
        <f>SUM(C27:C37)</f>
        <v>2226935.48</v>
      </c>
      <c r="D38" s="7"/>
      <c r="E38" s="40">
        <f t="shared" si="2"/>
        <v>0.9708737882701568</v>
      </c>
    </row>
    <row r="39" spans="2:9" ht="13.5" customHeight="1" x14ac:dyDescent="0.25">
      <c r="B39" s="7" t="s">
        <v>203</v>
      </c>
      <c r="C39" s="41">
        <f>ROUND(C38*3%,2)</f>
        <v>66808.06</v>
      </c>
      <c r="D39" s="7"/>
      <c r="E39" s="40">
        <f t="shared" si="2"/>
        <v>2.9126211729843171E-2</v>
      </c>
    </row>
    <row r="40" spans="2:9" x14ac:dyDescent="0.25">
      <c r="B40" s="7" t="s">
        <v>204</v>
      </c>
      <c r="C40" s="41">
        <f>C39+C38</f>
        <v>2293743.54</v>
      </c>
      <c r="D40" s="7"/>
      <c r="E40" s="40">
        <f t="shared" si="2"/>
        <v>1</v>
      </c>
    </row>
    <row r="41" spans="2:9" x14ac:dyDescent="0.25">
      <c r="B41" s="7" t="s">
        <v>205</v>
      </c>
      <c r="C41" s="41">
        <f>C40/'Прил.5 Расчет СМР и ОБ'!E83</f>
        <v>2293743.54</v>
      </c>
      <c r="D41" s="7"/>
      <c r="E41" s="7"/>
    </row>
    <row r="42" spans="2:9" x14ac:dyDescent="0.25">
      <c r="B42" s="18"/>
      <c r="C42" s="6"/>
      <c r="D42" s="6"/>
      <c r="E42" s="6"/>
    </row>
    <row r="43" spans="2:9" x14ac:dyDescent="0.25">
      <c r="B43" s="6" t="s">
        <v>31</v>
      </c>
      <c r="C43" s="1"/>
      <c r="D43" s="6"/>
      <c r="E43" s="6"/>
    </row>
    <row r="44" spans="2:9" x14ac:dyDescent="0.25">
      <c r="B44" s="58" t="s">
        <v>32</v>
      </c>
      <c r="C44" s="1"/>
      <c r="D44" s="6"/>
      <c r="E44" s="6"/>
    </row>
    <row r="45" spans="2:9" x14ac:dyDescent="0.25">
      <c r="B45" s="6"/>
      <c r="C45" s="1"/>
      <c r="D45" s="6"/>
      <c r="E45" s="6"/>
    </row>
    <row r="46" spans="2:9" x14ac:dyDescent="0.25">
      <c r="B46" s="6" t="s">
        <v>33</v>
      </c>
      <c r="C46" s="1"/>
      <c r="D46" s="6"/>
      <c r="E46" s="6"/>
    </row>
    <row r="47" spans="2:9" x14ac:dyDescent="0.25">
      <c r="B47" s="58" t="s">
        <v>34</v>
      </c>
      <c r="C47" s="1"/>
      <c r="D47" s="6"/>
      <c r="E47" s="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J90"/>
  <sheetViews>
    <sheetView tabSelected="1" view="pageBreakPreview" zoomScale="55" zoomScaleSheetLayoutView="55" workbookViewId="0">
      <selection activeCell="AF41" sqref="AF41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</cols>
  <sheetData>
    <row r="2" spans="1:10" ht="15.75" customHeight="1" x14ac:dyDescent="0.25">
      <c r="I2" s="57"/>
      <c r="J2" s="56" t="s">
        <v>206</v>
      </c>
    </row>
    <row r="4" spans="1:10" s="6" customFormat="1" ht="12.75" customHeight="1" x14ac:dyDescent="0.2">
      <c r="A4" s="123" t="s">
        <v>207</v>
      </c>
      <c r="B4" s="123"/>
      <c r="C4" s="123"/>
      <c r="D4" s="123"/>
      <c r="E4" s="123"/>
      <c r="F4" s="123"/>
      <c r="G4" s="123"/>
      <c r="H4" s="123"/>
      <c r="I4" s="43"/>
      <c r="J4" s="43"/>
    </row>
    <row r="5" spans="1:10" s="6" customFormat="1" ht="12.75" customHeigh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0" s="6" customFormat="1" ht="41.25" customHeight="1" x14ac:dyDescent="0.2">
      <c r="A6" s="83" t="s">
        <v>208</v>
      </c>
      <c r="B6" s="84"/>
      <c r="C6" s="84"/>
      <c r="D6" s="139" t="s">
        <v>209</v>
      </c>
      <c r="E6" s="139"/>
      <c r="F6" s="139"/>
      <c r="G6" s="139"/>
      <c r="H6" s="139"/>
      <c r="I6" s="139"/>
      <c r="J6" s="139"/>
    </row>
    <row r="7" spans="1:10" s="6" customFormat="1" ht="12.75" customHeight="1" x14ac:dyDescent="0.2">
      <c r="A7" s="139" t="str">
        <f>'Прил.1 Сравнит табл'!B9</f>
        <v>Единица измерения  — 1 ПС</v>
      </c>
      <c r="B7" s="124"/>
      <c r="C7" s="124"/>
      <c r="D7" s="124"/>
      <c r="E7" s="124"/>
      <c r="F7" s="124"/>
      <c r="G7" s="124"/>
      <c r="H7" s="124"/>
      <c r="I7" s="85"/>
      <c r="J7" s="85"/>
    </row>
    <row r="8" spans="1:10" s="6" customFormat="1" ht="12.75" customHeight="1" x14ac:dyDescent="0.2"/>
    <row r="9" spans="1:10" ht="27" customHeight="1" x14ac:dyDescent="0.25">
      <c r="A9" s="126" t="s">
        <v>210</v>
      </c>
      <c r="B9" s="126" t="s">
        <v>54</v>
      </c>
      <c r="C9" s="126" t="s">
        <v>171</v>
      </c>
      <c r="D9" s="126" t="s">
        <v>56</v>
      </c>
      <c r="E9" s="127" t="s">
        <v>211</v>
      </c>
      <c r="F9" s="129" t="s">
        <v>58</v>
      </c>
      <c r="G9" s="130"/>
      <c r="H9" s="127" t="s">
        <v>212</v>
      </c>
      <c r="I9" s="129" t="s">
        <v>213</v>
      </c>
      <c r="J9" s="130"/>
    </row>
    <row r="10" spans="1:10" ht="28.5" customHeight="1" x14ac:dyDescent="0.25">
      <c r="A10" s="126"/>
      <c r="B10" s="126"/>
      <c r="C10" s="126"/>
      <c r="D10" s="126"/>
      <c r="E10" s="128"/>
      <c r="F10" s="2" t="s">
        <v>214</v>
      </c>
      <c r="G10" s="2" t="s">
        <v>60</v>
      </c>
      <c r="H10" s="128"/>
      <c r="I10" s="2" t="s">
        <v>214</v>
      </c>
      <c r="J10" s="2" t="s">
        <v>60</v>
      </c>
    </row>
    <row r="11" spans="1:10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0" x14ac:dyDescent="0.25">
      <c r="A12" s="2"/>
      <c r="B12" s="140" t="s">
        <v>215</v>
      </c>
      <c r="C12" s="131"/>
      <c r="D12" s="126"/>
      <c r="E12" s="132"/>
      <c r="F12" s="133"/>
      <c r="G12" s="133"/>
      <c r="H12" s="141"/>
      <c r="I12" s="44"/>
      <c r="J12" s="44"/>
    </row>
    <row r="13" spans="1:10" ht="25.5" customHeight="1" x14ac:dyDescent="0.25">
      <c r="A13" s="2">
        <v>1</v>
      </c>
      <c r="B13" s="47" t="s">
        <v>216</v>
      </c>
      <c r="C13" s="3" t="s">
        <v>217</v>
      </c>
      <c r="D13" s="2" t="s">
        <v>218</v>
      </c>
      <c r="E13" s="46">
        <v>339.97450957345001</v>
      </c>
      <c r="F13" s="14">
        <v>9.51</v>
      </c>
      <c r="G13" s="14">
        <f>SUM(Прил.3!H13:H17)</f>
        <v>3217.66</v>
      </c>
      <c r="H13" s="45">
        <f>G13/$G$16</f>
        <v>0.91593461961070088</v>
      </c>
      <c r="I13" s="14">
        <f>ФОТр.тек.!E13</f>
        <v>439.09244974661999</v>
      </c>
      <c r="J13" s="14">
        <f>ROUND(I13*E13,2)</f>
        <v>149280.24</v>
      </c>
    </row>
    <row r="14" spans="1:10" x14ac:dyDescent="0.25">
      <c r="A14" s="2">
        <v>2</v>
      </c>
      <c r="B14" s="47" t="s">
        <v>74</v>
      </c>
      <c r="C14" s="3" t="s">
        <v>75</v>
      </c>
      <c r="D14" s="2" t="s">
        <v>65</v>
      </c>
      <c r="E14" s="46">
        <v>10.01514122753</v>
      </c>
      <c r="F14" s="14">
        <f>Прил.3!G18</f>
        <v>15.49</v>
      </c>
      <c r="G14" s="14">
        <f>Прил.3!H18</f>
        <v>155.13</v>
      </c>
      <c r="H14" s="45">
        <f>G14/$G$16</f>
        <v>4.4159090003358971E-2</v>
      </c>
      <c r="I14" s="14">
        <f>ФОТр.тек.!E13</f>
        <v>439.09244974661999</v>
      </c>
      <c r="J14" s="14">
        <f>ROUND(I14*E14,2)</f>
        <v>4397.57</v>
      </c>
    </row>
    <row r="15" spans="1:10" x14ac:dyDescent="0.25">
      <c r="A15" s="2">
        <v>3</v>
      </c>
      <c r="B15" s="47" t="s">
        <v>76</v>
      </c>
      <c r="C15" s="3" t="s">
        <v>77</v>
      </c>
      <c r="D15" s="2" t="s">
        <v>65</v>
      </c>
      <c r="E15" s="46">
        <v>9.9493734895483001</v>
      </c>
      <c r="F15" s="14">
        <f>Прил.3!G19</f>
        <v>14.09</v>
      </c>
      <c r="G15" s="14">
        <f>Прил.3!H19</f>
        <v>140.19</v>
      </c>
      <c r="H15" s="45">
        <f>G15/$G$16</f>
        <v>3.9906290385940138E-2</v>
      </c>
      <c r="I15" s="14">
        <f>ФОТр.тек.!E13</f>
        <v>439.09244974661999</v>
      </c>
      <c r="J15" s="14">
        <f>ROUND(I15*E15,2)</f>
        <v>4368.6899999999996</v>
      </c>
    </row>
    <row r="16" spans="1:10" s="1" customFormat="1" ht="25.5" customHeight="1" x14ac:dyDescent="0.2">
      <c r="A16" s="2"/>
      <c r="B16" s="2"/>
      <c r="C16" s="5" t="s">
        <v>219</v>
      </c>
      <c r="D16" s="2" t="s">
        <v>218</v>
      </c>
      <c r="E16" s="46">
        <f>SUM(E13:E15)</f>
        <v>359.93902429052832</v>
      </c>
      <c r="F16" s="14"/>
      <c r="G16" s="14">
        <f>SUM(G13:G15)</f>
        <v>3512.98</v>
      </c>
      <c r="H16" s="45">
        <v>1</v>
      </c>
      <c r="I16" s="14"/>
      <c r="J16" s="14">
        <f>SUM(J13:J15)</f>
        <v>158046.5</v>
      </c>
    </row>
    <row r="17" spans="1:10" s="1" customFormat="1" ht="14.25" customHeight="1" x14ac:dyDescent="0.2">
      <c r="A17" s="2"/>
      <c r="B17" s="131" t="s">
        <v>78</v>
      </c>
      <c r="C17" s="131"/>
      <c r="D17" s="126"/>
      <c r="E17" s="132"/>
      <c r="F17" s="133"/>
      <c r="G17" s="133"/>
      <c r="H17" s="141"/>
      <c r="I17" s="44"/>
      <c r="J17" s="44"/>
    </row>
    <row r="18" spans="1:10" s="1" customFormat="1" ht="14.25" customHeight="1" x14ac:dyDescent="0.2">
      <c r="A18" s="2">
        <v>4</v>
      </c>
      <c r="B18" s="2">
        <v>2</v>
      </c>
      <c r="C18" s="3" t="s">
        <v>78</v>
      </c>
      <c r="D18" s="2" t="s">
        <v>218</v>
      </c>
      <c r="E18" s="46">
        <v>9.6860397260273992</v>
      </c>
      <c r="F18" s="14">
        <f>G18/E18</f>
        <v>40.256906953645611</v>
      </c>
      <c r="G18" s="14">
        <f>Прил.3!H21</f>
        <v>389.93</v>
      </c>
      <c r="H18" s="45">
        <v>1</v>
      </c>
      <c r="I18" s="14">
        <f>ROUND(F18*Прил.10!D10,2)</f>
        <v>1782.98</v>
      </c>
      <c r="J18" s="14">
        <f>ROUND(I18*E18,2)</f>
        <v>17270.02</v>
      </c>
    </row>
    <row r="19" spans="1:10" s="1" customFormat="1" ht="14.25" customHeight="1" x14ac:dyDescent="0.2">
      <c r="A19" s="2"/>
      <c r="B19" s="140" t="s">
        <v>79</v>
      </c>
      <c r="C19" s="131"/>
      <c r="D19" s="126"/>
      <c r="E19" s="132"/>
      <c r="F19" s="133"/>
      <c r="G19" s="133"/>
      <c r="H19" s="134"/>
      <c r="I19" s="45"/>
      <c r="J19" s="45"/>
    </row>
    <row r="20" spans="1:10" s="1" customFormat="1" ht="14.25" customHeight="1" x14ac:dyDescent="0.2">
      <c r="A20" s="2"/>
      <c r="B20" s="131" t="s">
        <v>220</v>
      </c>
      <c r="C20" s="131"/>
      <c r="D20" s="126"/>
      <c r="E20" s="132"/>
      <c r="F20" s="133"/>
      <c r="G20" s="133"/>
      <c r="H20" s="141"/>
      <c r="I20" s="44"/>
      <c r="J20" s="44"/>
    </row>
    <row r="21" spans="1:10" s="1" customFormat="1" ht="25.5" customHeight="1" x14ac:dyDescent="0.2">
      <c r="A21" s="2">
        <v>5</v>
      </c>
      <c r="B21" s="47" t="s">
        <v>80</v>
      </c>
      <c r="C21" s="3" t="s">
        <v>81</v>
      </c>
      <c r="D21" s="2" t="s">
        <v>82</v>
      </c>
      <c r="E21" s="46">
        <v>4.7670086906403997</v>
      </c>
      <c r="F21" s="9">
        <v>115.4</v>
      </c>
      <c r="G21" s="14">
        <f>ROUND(E21*F21,2)</f>
        <v>550.11</v>
      </c>
      <c r="H21" s="45">
        <f>G21/$G$29</f>
        <v>0.49831061189365461</v>
      </c>
      <c r="I21" s="14">
        <f>ROUND(F21*Прил.10!$D$11,2)</f>
        <v>1554.44</v>
      </c>
      <c r="J21" s="14">
        <f>ROUND(I21*E21,2)</f>
        <v>7410.03</v>
      </c>
    </row>
    <row r="22" spans="1:10" s="1" customFormat="1" ht="25.5" customHeight="1" x14ac:dyDescent="0.2">
      <c r="A22" s="2">
        <v>6</v>
      </c>
      <c r="B22" s="47" t="s">
        <v>83</v>
      </c>
      <c r="C22" s="3" t="s">
        <v>84</v>
      </c>
      <c r="D22" s="2" t="s">
        <v>82</v>
      </c>
      <c r="E22" s="46">
        <v>4.7854278041314</v>
      </c>
      <c r="F22" s="9">
        <v>65.709999999999994</v>
      </c>
      <c r="G22" s="14">
        <f>ROUND(E22*F22,2)</f>
        <v>314.45</v>
      </c>
      <c r="H22" s="45">
        <f>G22/$G$29</f>
        <v>0.28484079894922776</v>
      </c>
      <c r="I22" s="14">
        <f>ROUND(F22*Прил.10!$D$11,2)</f>
        <v>885.11</v>
      </c>
      <c r="J22" s="14">
        <f>ROUND(I22*E22,2)</f>
        <v>4235.63</v>
      </c>
    </row>
    <row r="23" spans="1:10" s="1" customFormat="1" ht="25.5" customHeight="1" x14ac:dyDescent="0.2">
      <c r="A23" s="2">
        <v>7</v>
      </c>
      <c r="B23" s="47" t="s">
        <v>85</v>
      </c>
      <c r="C23" s="3" t="s">
        <v>86</v>
      </c>
      <c r="D23" s="2" t="s">
        <v>82</v>
      </c>
      <c r="E23" s="46">
        <v>57.065610203421997</v>
      </c>
      <c r="F23" s="9">
        <v>3.28</v>
      </c>
      <c r="G23" s="14">
        <f>ROUND(E23*F23,2)</f>
        <v>187.18</v>
      </c>
      <c r="H23" s="45">
        <f>G23/$G$29</f>
        <v>0.1695547805607138</v>
      </c>
      <c r="I23" s="14">
        <f>ROUND(F23*Прил.10!$D$11,2)</f>
        <v>44.18</v>
      </c>
      <c r="J23" s="14">
        <f>ROUND(I23*E23,2)</f>
        <v>2521.16</v>
      </c>
    </row>
    <row r="24" spans="1:10" s="1" customFormat="1" ht="14.25" customHeight="1" x14ac:dyDescent="0.2">
      <c r="B24" s="2"/>
      <c r="C24" s="3" t="s">
        <v>221</v>
      </c>
      <c r="D24" s="2"/>
      <c r="E24" s="48"/>
      <c r="F24" s="14"/>
      <c r="G24" s="14">
        <f>SUM(G21:G23)</f>
        <v>1051.74</v>
      </c>
      <c r="H24" s="45">
        <f>G24/G29</f>
        <v>0.95270619140359614</v>
      </c>
      <c r="I24" s="14"/>
      <c r="J24" s="14">
        <f>SUM(J21:J23)</f>
        <v>14166.82</v>
      </c>
    </row>
    <row r="25" spans="1:10" s="1" customFormat="1" ht="25.5" hidden="1" customHeight="1" outlineLevel="1" x14ac:dyDescent="0.2">
      <c r="A25" s="2">
        <v>8</v>
      </c>
      <c r="B25" s="47" t="s">
        <v>87</v>
      </c>
      <c r="C25" s="3" t="s">
        <v>88</v>
      </c>
      <c r="D25" s="2" t="s">
        <v>82</v>
      </c>
      <c r="E25" s="46">
        <v>57.090264394224</v>
      </c>
      <c r="F25" s="9">
        <v>0.9</v>
      </c>
      <c r="G25" s="14">
        <f>ROUND(E25*F25,2)</f>
        <v>51.38</v>
      </c>
      <c r="H25" s="45">
        <f>G25/$G$29</f>
        <v>4.6541962951220615E-2</v>
      </c>
      <c r="I25" s="14">
        <f>ROUND(F25*Прил.10!$D$11,2)</f>
        <v>12.12</v>
      </c>
      <c r="J25" s="14">
        <f>ROUND(I25*E25,2)</f>
        <v>691.93</v>
      </c>
    </row>
    <row r="26" spans="1:10" s="1" customFormat="1" ht="25.5" hidden="1" customHeight="1" outlineLevel="1" x14ac:dyDescent="0.2">
      <c r="A26" s="2">
        <v>9</v>
      </c>
      <c r="B26" s="47" t="s">
        <v>89</v>
      </c>
      <c r="C26" s="3" t="s">
        <v>90</v>
      </c>
      <c r="D26" s="2" t="s">
        <v>82</v>
      </c>
      <c r="E26" s="46">
        <v>6.0843380121455001E-2</v>
      </c>
      <c r="F26" s="9">
        <v>8.1</v>
      </c>
      <c r="G26" s="14">
        <f>ROUND(E26*F26,2)</f>
        <v>0.49</v>
      </c>
      <c r="H26" s="45">
        <f>G26/$G$29</f>
        <v>4.4386068209610938E-4</v>
      </c>
      <c r="I26" s="14">
        <f>ROUND(F26*Прил.10!$D$11,2)</f>
        <v>109.11</v>
      </c>
      <c r="J26" s="14">
        <f>ROUND(I26*E26,2)</f>
        <v>6.64</v>
      </c>
    </row>
    <row r="27" spans="1:10" s="1" customFormat="1" ht="14.25" hidden="1" customHeight="1" outlineLevel="1" x14ac:dyDescent="0.2">
      <c r="A27" s="2">
        <v>10</v>
      </c>
      <c r="B27" s="47" t="s">
        <v>91</v>
      </c>
      <c r="C27" s="3" t="s">
        <v>92</v>
      </c>
      <c r="D27" s="2" t="s">
        <v>82</v>
      </c>
      <c r="E27" s="46">
        <v>0.14319589171909</v>
      </c>
      <c r="F27" s="9">
        <v>2.36</v>
      </c>
      <c r="G27" s="14">
        <f>ROUND(E27*F27,2)</f>
        <v>0.34</v>
      </c>
      <c r="H27" s="45">
        <f>G27/$G$29</f>
        <v>3.0798496308709637E-4</v>
      </c>
      <c r="I27" s="14">
        <f>ROUND(F27*Прил.10!$D$11,2)</f>
        <v>31.79</v>
      </c>
      <c r="J27" s="14">
        <f>ROUND(I27*E27,2)</f>
        <v>4.55</v>
      </c>
    </row>
    <row r="28" spans="1:10" s="1" customFormat="1" ht="14.25" customHeight="1" collapsed="1" x14ac:dyDescent="0.2">
      <c r="A28" s="2"/>
      <c r="B28" s="2"/>
      <c r="C28" s="3" t="s">
        <v>222</v>
      </c>
      <c r="D28" s="2"/>
      <c r="E28" s="49"/>
      <c r="F28" s="14"/>
      <c r="G28" s="14">
        <f>SUM(G25:G27)</f>
        <v>52.210000000000008</v>
      </c>
      <c r="H28" s="45">
        <f>G28/G29</f>
        <v>4.7293808596403829E-2</v>
      </c>
      <c r="I28" s="14"/>
      <c r="J28" s="14">
        <f>SUM(J25:J27)</f>
        <v>703.11999999999989</v>
      </c>
    </row>
    <row r="29" spans="1:10" s="1" customFormat="1" ht="25.5" customHeight="1" x14ac:dyDescent="0.2">
      <c r="A29" s="2"/>
      <c r="B29" s="50"/>
      <c r="C29" s="51" t="s">
        <v>223</v>
      </c>
      <c r="D29" s="50"/>
      <c r="E29" s="52"/>
      <c r="F29" s="53"/>
      <c r="G29" s="53">
        <f>G24+G28</f>
        <v>1103.95</v>
      </c>
      <c r="H29" s="54">
        <v>1</v>
      </c>
      <c r="I29" s="53"/>
      <c r="J29" s="53">
        <f>J24+J28</f>
        <v>14869.939999999999</v>
      </c>
    </row>
    <row r="30" spans="1:10" x14ac:dyDescent="0.25">
      <c r="A30" s="61"/>
      <c r="B30" s="135" t="s">
        <v>224</v>
      </c>
      <c r="C30" s="135"/>
      <c r="D30" s="135"/>
      <c r="E30" s="135"/>
      <c r="F30" s="135"/>
      <c r="G30" s="135"/>
      <c r="H30" s="135"/>
      <c r="I30" s="135"/>
      <c r="J30" s="135"/>
    </row>
    <row r="31" spans="1:10" ht="15" customHeight="1" x14ac:dyDescent="0.25">
      <c r="A31" s="2"/>
      <c r="B31" s="131" t="s">
        <v>225</v>
      </c>
      <c r="C31" s="131"/>
      <c r="D31" s="131"/>
      <c r="E31" s="131"/>
      <c r="F31" s="131"/>
      <c r="G31" s="131"/>
      <c r="H31" s="131"/>
      <c r="I31" s="131"/>
      <c r="J31" s="131"/>
    </row>
    <row r="32" spans="1:10" ht="25.5" customHeight="1" x14ac:dyDescent="0.25">
      <c r="A32" s="2">
        <v>11</v>
      </c>
      <c r="B32" s="47" t="s">
        <v>93</v>
      </c>
      <c r="C32" s="3" t="s">
        <v>94</v>
      </c>
      <c r="D32" s="2" t="s">
        <v>95</v>
      </c>
      <c r="E32" s="46">
        <v>1.8453888356912</v>
      </c>
      <c r="F32" s="4">
        <f>ROUND(I32/Прил.10!$D$13,2)</f>
        <v>34762.120000000003</v>
      </c>
      <c r="G32" s="14">
        <f>ROUND(E32*F32,2)</f>
        <v>64149.63</v>
      </c>
      <c r="H32" s="45">
        <f t="shared" ref="H32:H41" si="0">G32/$G$42</f>
        <v>0.30233436941382191</v>
      </c>
      <c r="I32" s="14">
        <f>6.26*34762.12</f>
        <v>217610.87119999999</v>
      </c>
      <c r="J32" s="14">
        <f>ROUND(I32*E32,2)</f>
        <v>401576.67</v>
      </c>
    </row>
    <row r="33" spans="1:10" x14ac:dyDescent="0.25">
      <c r="A33" s="2">
        <v>12</v>
      </c>
      <c r="B33" s="47" t="s">
        <v>226</v>
      </c>
      <c r="C33" s="3" t="s">
        <v>227</v>
      </c>
      <c r="D33" s="2" t="s">
        <v>228</v>
      </c>
      <c r="E33" s="46">
        <v>0.30756474781316001</v>
      </c>
      <c r="F33" s="4">
        <v>167693</v>
      </c>
      <c r="G33" s="14">
        <f>ROUND(E33*F33,2)</f>
        <v>51576.46</v>
      </c>
      <c r="H33" s="45">
        <f t="shared" si="0"/>
        <v>0.24307757520498885</v>
      </c>
      <c r="I33" s="14">
        <f>ROUND(F33*Прил.10!$D$13,2)</f>
        <v>1049758.18</v>
      </c>
      <c r="J33" s="14">
        <f>ROUND(I33*E33,2)</f>
        <v>322868.61</v>
      </c>
    </row>
    <row r="34" spans="1:10" ht="63.75" customHeight="1" x14ac:dyDescent="0.25">
      <c r="A34" s="2">
        <v>13</v>
      </c>
      <c r="B34" s="47" t="s">
        <v>229</v>
      </c>
      <c r="C34" s="3" t="s">
        <v>230</v>
      </c>
      <c r="D34" s="2" t="s">
        <v>228</v>
      </c>
      <c r="E34" s="46">
        <v>0.30756477693621997</v>
      </c>
      <c r="F34" s="4">
        <v>123565.7</v>
      </c>
      <c r="G34" s="14">
        <f>ROUND(E34*F34,2)</f>
        <v>38004.46</v>
      </c>
      <c r="H34" s="45">
        <f t="shared" si="0"/>
        <v>0.17911333937565685</v>
      </c>
      <c r="I34" s="14">
        <f>ROUND(F34*Прил.10!$D$13,2)</f>
        <v>773521.28</v>
      </c>
      <c r="J34" s="14">
        <f>ROUND(I34*E34,2)</f>
        <v>237907.9</v>
      </c>
    </row>
    <row r="35" spans="1:10" x14ac:dyDescent="0.25">
      <c r="A35" s="2">
        <v>14</v>
      </c>
      <c r="B35" s="47" t="s">
        <v>231</v>
      </c>
      <c r="C35" s="3" t="s">
        <v>232</v>
      </c>
      <c r="D35" s="2" t="s">
        <v>95</v>
      </c>
      <c r="E35" s="46">
        <v>0.61512954989021995</v>
      </c>
      <c r="F35" s="4">
        <v>45204.3</v>
      </c>
      <c r="G35" s="14">
        <f>ROUND(E35*F35,2)</f>
        <v>27806.5</v>
      </c>
      <c r="H35" s="45">
        <f t="shared" si="0"/>
        <v>0.13105080486209256</v>
      </c>
      <c r="I35" s="14">
        <f>ROUND(F35*Прил.10!$D$13,2)</f>
        <v>282978.92</v>
      </c>
      <c r="J35" s="14">
        <f>ROUND(I35*E35,2)</f>
        <v>174068.7</v>
      </c>
    </row>
    <row r="36" spans="1:10" x14ac:dyDescent="0.25">
      <c r="A36" s="62"/>
      <c r="B36" s="2"/>
      <c r="C36" s="3" t="s">
        <v>233</v>
      </c>
      <c r="D36" s="2"/>
      <c r="E36" s="46"/>
      <c r="F36" s="4"/>
      <c r="G36" s="14">
        <f>SUM(G32:G35)</f>
        <v>181537.05</v>
      </c>
      <c r="H36" s="45">
        <f t="shared" si="0"/>
        <v>0.85557608885656011</v>
      </c>
      <c r="I36" s="14"/>
      <c r="J36" s="14">
        <f>SUM(J32:J35)</f>
        <v>1136421.8800000001</v>
      </c>
    </row>
    <row r="37" spans="1:10" ht="38.25" hidden="1" customHeight="1" outlineLevel="1" x14ac:dyDescent="0.25">
      <c r="A37" s="2">
        <v>15</v>
      </c>
      <c r="B37" s="2" t="s">
        <v>234</v>
      </c>
      <c r="C37" s="3" t="s">
        <v>235</v>
      </c>
      <c r="D37" s="2" t="s">
        <v>95</v>
      </c>
      <c r="E37" s="46">
        <v>1.2302587324851</v>
      </c>
      <c r="F37" s="4">
        <v>10196.26</v>
      </c>
      <c r="G37" s="14">
        <f>ROUND(E37*F37,2)</f>
        <v>12544.04</v>
      </c>
      <c r="H37" s="45">
        <f t="shared" si="0"/>
        <v>5.9119505806997777E-2</v>
      </c>
      <c r="I37" s="14">
        <f>ROUND(F37*Прил.10!$D$13,2)</f>
        <v>63828.59</v>
      </c>
      <c r="J37" s="14">
        <f>ROUND(I37*E37,2)</f>
        <v>78525.679999999993</v>
      </c>
    </row>
    <row r="38" spans="1:10" ht="25.5" hidden="1" customHeight="1" outlineLevel="1" x14ac:dyDescent="0.25">
      <c r="A38" s="2">
        <v>16</v>
      </c>
      <c r="B38" s="2" t="s">
        <v>236</v>
      </c>
      <c r="C38" s="3" t="s">
        <v>237</v>
      </c>
      <c r="D38" s="2" t="s">
        <v>95</v>
      </c>
      <c r="E38" s="46">
        <v>0.30756471579061001</v>
      </c>
      <c r="F38" s="4">
        <v>37158.83</v>
      </c>
      <c r="G38" s="14">
        <f>ROUND(E38*F38,2)</f>
        <v>11428.74</v>
      </c>
      <c r="H38" s="45">
        <f t="shared" si="0"/>
        <v>5.3863146226946643E-2</v>
      </c>
      <c r="I38" s="14">
        <f>ROUND(F38*Прил.10!$D$13,2)</f>
        <v>232614.28</v>
      </c>
      <c r="J38" s="14">
        <f>ROUND(I38*E38,2)</f>
        <v>71543.94</v>
      </c>
    </row>
    <row r="39" spans="1:10" ht="38.25" hidden="1" customHeight="1" outlineLevel="1" x14ac:dyDescent="0.25">
      <c r="A39" s="2">
        <v>17</v>
      </c>
      <c r="B39" s="2" t="s">
        <v>238</v>
      </c>
      <c r="C39" s="3" t="s">
        <v>239</v>
      </c>
      <c r="D39" s="2" t="s">
        <v>95</v>
      </c>
      <c r="E39" s="46">
        <v>2.4605120478338001</v>
      </c>
      <c r="F39" s="4">
        <v>2122.7199999999998</v>
      </c>
      <c r="G39" s="14">
        <f>ROUND(E39*F39,2)</f>
        <v>5222.9799999999996</v>
      </c>
      <c r="H39" s="45">
        <f t="shared" si="0"/>
        <v>2.4615673773348397E-2</v>
      </c>
      <c r="I39" s="14">
        <f>ROUND(F39*Прил.10!$D$13,2)</f>
        <v>13288.23</v>
      </c>
      <c r="J39" s="14">
        <f>ROUND(I39*E39,2)</f>
        <v>32695.85</v>
      </c>
    </row>
    <row r="40" spans="1:10" ht="25.5" hidden="1" customHeight="1" outlineLevel="1" x14ac:dyDescent="0.25">
      <c r="A40" s="2">
        <v>18</v>
      </c>
      <c r="B40" s="2" t="s">
        <v>240</v>
      </c>
      <c r="C40" s="3" t="s">
        <v>241</v>
      </c>
      <c r="D40" s="2" t="s">
        <v>95</v>
      </c>
      <c r="E40" s="46">
        <v>0.30756521368723999</v>
      </c>
      <c r="F40" s="4">
        <v>4708.8</v>
      </c>
      <c r="G40" s="14">
        <f>ROUND(E40*F40,2)</f>
        <v>1448.26</v>
      </c>
      <c r="H40" s="45">
        <f t="shared" si="0"/>
        <v>6.825585336147094E-3</v>
      </c>
      <c r="I40" s="14">
        <f>ROUND(F40*Прил.10!$D$13,2)</f>
        <v>29477.09</v>
      </c>
      <c r="J40" s="14">
        <f>ROUND(I40*E40,2)</f>
        <v>9066.1299999999992</v>
      </c>
    </row>
    <row r="41" spans="1:10" collapsed="1" x14ac:dyDescent="0.25">
      <c r="A41" s="62"/>
      <c r="B41" s="2"/>
      <c r="C41" s="3" t="s">
        <v>242</v>
      </c>
      <c r="D41" s="2"/>
      <c r="E41" s="49"/>
      <c r="F41" s="4"/>
      <c r="G41" s="14">
        <f>SUM(G37:G40)</f>
        <v>30644.019999999997</v>
      </c>
      <c r="H41" s="45">
        <f t="shared" si="0"/>
        <v>0.14442391114343989</v>
      </c>
      <c r="I41" s="14"/>
      <c r="J41" s="14">
        <f>SUM(J37:J40)</f>
        <v>191831.6</v>
      </c>
    </row>
    <row r="42" spans="1:10" x14ac:dyDescent="0.25">
      <c r="A42" s="2"/>
      <c r="B42" s="2"/>
      <c r="C42" s="5" t="s">
        <v>243</v>
      </c>
      <c r="D42" s="2"/>
      <c r="E42" s="49"/>
      <c r="F42" s="4"/>
      <c r="G42" s="14">
        <f>G36+G41</f>
        <v>212181.06999999998</v>
      </c>
      <c r="H42" s="45">
        <f>(G36+G41)/G42</f>
        <v>1</v>
      </c>
      <c r="I42" s="14"/>
      <c r="J42" s="14">
        <f>J41+J36</f>
        <v>1328253.4800000002</v>
      </c>
    </row>
    <row r="43" spans="1:10" ht="25.5" customHeight="1" x14ac:dyDescent="0.25">
      <c r="A43" s="2"/>
      <c r="B43" s="2"/>
      <c r="C43" s="3" t="s">
        <v>244</v>
      </c>
      <c r="D43" s="2"/>
      <c r="E43" s="49"/>
      <c r="F43" s="4"/>
      <c r="G43" s="14">
        <f>'Прил.6 Расчет ОБ'!G22</f>
        <v>212181.07</v>
      </c>
      <c r="H43" s="45">
        <f>G43/$G$42</f>
        <v>1.0000000000000002</v>
      </c>
      <c r="I43" s="14"/>
      <c r="J43" s="14">
        <f>ROUND(G43*Прил.10!$D$13,2)</f>
        <v>1328253.5</v>
      </c>
    </row>
    <row r="44" spans="1:10" s="1" customFormat="1" ht="14.25" customHeight="1" x14ac:dyDescent="0.2">
      <c r="A44" s="60"/>
      <c r="B44" s="136" t="s">
        <v>106</v>
      </c>
      <c r="C44" s="137"/>
      <c r="D44" s="137"/>
      <c r="E44" s="137"/>
      <c r="F44" s="137"/>
      <c r="G44" s="137"/>
      <c r="H44" s="137"/>
      <c r="I44" s="137"/>
      <c r="J44" s="138"/>
    </row>
    <row r="45" spans="1:10" s="1" customFormat="1" ht="14.25" customHeight="1" x14ac:dyDescent="0.2">
      <c r="A45" s="2"/>
      <c r="B45" s="131" t="s">
        <v>245</v>
      </c>
      <c r="C45" s="131"/>
      <c r="D45" s="126"/>
      <c r="E45" s="132"/>
      <c r="F45" s="133"/>
      <c r="G45" s="133"/>
      <c r="H45" s="134"/>
      <c r="I45" s="45"/>
      <c r="J45" s="45"/>
    </row>
    <row r="46" spans="1:10" s="1" customFormat="1" ht="25.5" customHeight="1" x14ac:dyDescent="0.2">
      <c r="A46" s="2">
        <v>19</v>
      </c>
      <c r="B46" s="47" t="s">
        <v>107</v>
      </c>
      <c r="C46" s="3" t="s">
        <v>108</v>
      </c>
      <c r="D46" s="2" t="s">
        <v>109</v>
      </c>
      <c r="E46" s="46">
        <v>1.2917883613440999</v>
      </c>
      <c r="F46" s="9">
        <v>18047.849999999999</v>
      </c>
      <c r="G46" s="14">
        <f>ROUND(E46*F46,2)</f>
        <v>23314</v>
      </c>
      <c r="H46" s="45">
        <f t="shared" ref="H46:H75" si="1">G46/$G$77</f>
        <v>0.57309168139504585</v>
      </c>
      <c r="I46" s="14">
        <f>ROUND(F46*Прил.10!$D$12,2)</f>
        <v>145104.71</v>
      </c>
      <c r="J46" s="14">
        <f>ROUND(I46*E46,2)</f>
        <v>187444.58</v>
      </c>
    </row>
    <row r="47" spans="1:10" s="1" customFormat="1" ht="25.5" customHeight="1" x14ac:dyDescent="0.2">
      <c r="A47" s="2">
        <v>20</v>
      </c>
      <c r="B47" s="47" t="s">
        <v>110</v>
      </c>
      <c r="C47" s="3" t="s">
        <v>111</v>
      </c>
      <c r="D47" s="2" t="s">
        <v>109</v>
      </c>
      <c r="E47" s="46">
        <v>0.86119168856138995</v>
      </c>
      <c r="F47" s="9">
        <v>6920.41</v>
      </c>
      <c r="G47" s="14">
        <f>ROUND(E47*F47,2)</f>
        <v>5959.8</v>
      </c>
      <c r="H47" s="45">
        <f t="shared" si="1"/>
        <v>0.14650046336013531</v>
      </c>
      <c r="I47" s="14">
        <f>ROUND(F47*Прил.10!$D$12,2)</f>
        <v>55640.1</v>
      </c>
      <c r="J47" s="14">
        <f>ROUND(I47*E47,2)</f>
        <v>47916.79</v>
      </c>
    </row>
    <row r="48" spans="1:10" s="1" customFormat="1" ht="38.25" customHeight="1" x14ac:dyDescent="0.2">
      <c r="A48" s="2">
        <v>21</v>
      </c>
      <c r="B48" s="47" t="s">
        <v>112</v>
      </c>
      <c r="C48" s="3" t="s">
        <v>113</v>
      </c>
      <c r="D48" s="2" t="s">
        <v>114</v>
      </c>
      <c r="E48" s="46">
        <v>614.88070366070997</v>
      </c>
      <c r="F48" s="9">
        <v>3.89</v>
      </c>
      <c r="G48" s="14">
        <f>ROUND(E48*F48,2)</f>
        <v>2391.89</v>
      </c>
      <c r="H48" s="45">
        <f t="shared" si="1"/>
        <v>5.8796099417174071E-2</v>
      </c>
      <c r="I48" s="14">
        <f>ROUND(F48*Прил.10!$D$12,2)</f>
        <v>31.28</v>
      </c>
      <c r="J48" s="14">
        <f>ROUND(I48*E48,2)</f>
        <v>19233.47</v>
      </c>
    </row>
    <row r="49" spans="1:10" s="1" customFormat="1" ht="63.75" customHeight="1" x14ac:dyDescent="0.2">
      <c r="A49" s="2">
        <v>22</v>
      </c>
      <c r="B49" s="47" t="s">
        <v>115</v>
      </c>
      <c r="C49" s="3" t="s">
        <v>116</v>
      </c>
      <c r="D49" s="2" t="s">
        <v>117</v>
      </c>
      <c r="E49" s="46">
        <v>78.743117400445996</v>
      </c>
      <c r="F49" s="9">
        <v>22.61</v>
      </c>
      <c r="G49" s="14">
        <f>ROUND(E49*F49,2)</f>
        <v>1780.38</v>
      </c>
      <c r="H49" s="45">
        <f t="shared" si="1"/>
        <v>4.3764303325131329E-2</v>
      </c>
      <c r="I49" s="14">
        <f>ROUND(F49*Прил.10!$D$12,2)</f>
        <v>181.78</v>
      </c>
      <c r="J49" s="14">
        <f>ROUND(I49*E49,2)</f>
        <v>14313.92</v>
      </c>
    </row>
    <row r="50" spans="1:10" s="1" customFormat="1" ht="38.25" customHeight="1" x14ac:dyDescent="0.2">
      <c r="A50" s="2">
        <v>23</v>
      </c>
      <c r="B50" s="47" t="s">
        <v>118</v>
      </c>
      <c r="C50" s="3" t="s">
        <v>119</v>
      </c>
      <c r="D50" s="2" t="s">
        <v>114</v>
      </c>
      <c r="E50" s="46">
        <v>184.58182740262001</v>
      </c>
      <c r="F50" s="9">
        <v>8.3699999999999992</v>
      </c>
      <c r="G50" s="14">
        <f>ROUND(E50*F50,2)</f>
        <v>1544.95</v>
      </c>
      <c r="H50" s="45">
        <f t="shared" si="1"/>
        <v>3.7977095014638251E-2</v>
      </c>
      <c r="I50" s="14">
        <f>ROUND(F50*Прил.10!$D$12,2)</f>
        <v>67.290000000000006</v>
      </c>
      <c r="J50" s="14">
        <f>ROUND(I50*E50,2)</f>
        <v>12420.51</v>
      </c>
    </row>
    <row r="51" spans="1:10" s="1" customFormat="1" ht="14.25" customHeight="1" x14ac:dyDescent="0.2">
      <c r="B51" s="2"/>
      <c r="C51" s="3" t="s">
        <v>246</v>
      </c>
      <c r="D51" s="2"/>
      <c r="E51" s="46"/>
      <c r="F51" s="4"/>
      <c r="G51" s="14">
        <f>SUM(G46:G50)</f>
        <v>34991.019999999997</v>
      </c>
      <c r="H51" s="45">
        <f t="shared" si="1"/>
        <v>0.86012964251212476</v>
      </c>
      <c r="I51" s="14"/>
      <c r="J51" s="14">
        <f>SUM(J46:J50)</f>
        <v>281329.27</v>
      </c>
    </row>
    <row r="52" spans="1:10" s="1" customFormat="1" ht="51" hidden="1" customHeight="1" outlineLevel="1" x14ac:dyDescent="0.2">
      <c r="A52" s="2">
        <v>24</v>
      </c>
      <c r="B52" s="59" t="s">
        <v>120</v>
      </c>
      <c r="C52" s="3" t="s">
        <v>121</v>
      </c>
      <c r="D52" s="2" t="s">
        <v>114</v>
      </c>
      <c r="E52" s="46">
        <v>9.5108855366966996</v>
      </c>
      <c r="F52" s="9">
        <v>156.97999999999999</v>
      </c>
      <c r="G52" s="14">
        <f t="shared" ref="G52:G75" si="2">ROUND(F52*E52,2)</f>
        <v>1493.02</v>
      </c>
      <c r="H52" s="45">
        <f t="shared" si="1"/>
        <v>3.6700580859416292E-2</v>
      </c>
      <c r="I52" s="14">
        <f>ROUND(F52*Прил.10!$D$12,2)</f>
        <v>1262.1199999999999</v>
      </c>
      <c r="J52" s="14">
        <f t="shared" ref="J52:J75" si="3">ROUND(I52*E52,2)</f>
        <v>12003.88</v>
      </c>
    </row>
    <row r="53" spans="1:10" s="1" customFormat="1" ht="25.5" hidden="1" customHeight="1" outlineLevel="1" x14ac:dyDescent="0.2">
      <c r="A53" s="2">
        <v>25</v>
      </c>
      <c r="B53" s="47" t="s">
        <v>122</v>
      </c>
      <c r="C53" s="3" t="s">
        <v>123</v>
      </c>
      <c r="D53" s="2" t="s">
        <v>109</v>
      </c>
      <c r="E53" s="46">
        <v>0.22452279868248001</v>
      </c>
      <c r="F53" s="9">
        <v>3708.36</v>
      </c>
      <c r="G53" s="14">
        <f t="shared" si="2"/>
        <v>832.61</v>
      </c>
      <c r="H53" s="45">
        <f t="shared" si="1"/>
        <v>2.0466752373952523E-2</v>
      </c>
      <c r="I53" s="14">
        <f>ROUND(F53*Прил.10!$D$12,2)</f>
        <v>29815.21</v>
      </c>
      <c r="J53" s="14">
        <f t="shared" si="3"/>
        <v>6694.19</v>
      </c>
    </row>
    <row r="54" spans="1:10" s="1" customFormat="1" ht="25.5" hidden="1" customHeight="1" outlineLevel="1" x14ac:dyDescent="0.2">
      <c r="A54" s="2">
        <v>26</v>
      </c>
      <c r="B54" s="47" t="s">
        <v>124</v>
      </c>
      <c r="C54" s="3" t="s">
        <v>125</v>
      </c>
      <c r="D54" s="2" t="s">
        <v>126</v>
      </c>
      <c r="E54" s="46">
        <v>1.1887646054619E-2</v>
      </c>
      <c r="F54" s="9">
        <v>68050</v>
      </c>
      <c r="G54" s="14">
        <f t="shared" si="2"/>
        <v>808.95</v>
      </c>
      <c r="H54" s="45">
        <f t="shared" si="1"/>
        <v>1.988515551447724E-2</v>
      </c>
      <c r="I54" s="14">
        <f>ROUND(F54*Прил.10!$D$12,2)</f>
        <v>547122</v>
      </c>
      <c r="J54" s="14">
        <f t="shared" si="3"/>
        <v>6503.99</v>
      </c>
    </row>
    <row r="55" spans="1:10" s="1" customFormat="1" ht="25.5" hidden="1" customHeight="1" outlineLevel="1" x14ac:dyDescent="0.2">
      <c r="A55" s="2">
        <v>27</v>
      </c>
      <c r="B55" s="47" t="s">
        <v>247</v>
      </c>
      <c r="C55" s="3" t="s">
        <v>248</v>
      </c>
      <c r="D55" s="2" t="s">
        <v>228</v>
      </c>
      <c r="E55" s="46">
        <v>0.61514147433347</v>
      </c>
      <c r="F55" s="9">
        <v>1249.83</v>
      </c>
      <c r="G55" s="14">
        <f t="shared" si="2"/>
        <v>768.82</v>
      </c>
      <c r="H55" s="45">
        <f t="shared" si="1"/>
        <v>1.8898702345806775E-2</v>
      </c>
      <c r="I55" s="14">
        <f>ROUND(F55*Прил.10!$D$12,2)</f>
        <v>10048.629999999999</v>
      </c>
      <c r="J55" s="14">
        <f t="shared" si="3"/>
        <v>6181.33</v>
      </c>
    </row>
    <row r="56" spans="1:10" s="1" customFormat="1" ht="25.5" hidden="1" customHeight="1" outlineLevel="1" x14ac:dyDescent="0.2">
      <c r="A56" s="2">
        <v>28</v>
      </c>
      <c r="B56" s="47" t="s">
        <v>127</v>
      </c>
      <c r="C56" s="3" t="s">
        <v>128</v>
      </c>
      <c r="D56" s="2" t="s">
        <v>109</v>
      </c>
      <c r="E56" s="46">
        <v>0.2460547103903</v>
      </c>
      <c r="F56" s="9">
        <v>2719.53</v>
      </c>
      <c r="G56" s="14">
        <f t="shared" si="2"/>
        <v>669.15</v>
      </c>
      <c r="H56" s="45">
        <f t="shared" si="1"/>
        <v>1.6448670267028179E-2</v>
      </c>
      <c r="I56" s="14">
        <f>ROUND(F56*Прил.10!$D$12,2)</f>
        <v>21865.02</v>
      </c>
      <c r="J56" s="14">
        <f t="shared" si="3"/>
        <v>5379.99</v>
      </c>
    </row>
    <row r="57" spans="1:10" s="1" customFormat="1" ht="14.25" hidden="1" customHeight="1" outlineLevel="1" x14ac:dyDescent="0.2">
      <c r="A57" s="2">
        <v>29</v>
      </c>
      <c r="B57" s="47" t="s">
        <v>249</v>
      </c>
      <c r="C57" s="3" t="s">
        <v>250</v>
      </c>
      <c r="D57" s="2" t="s">
        <v>95</v>
      </c>
      <c r="E57" s="46">
        <v>0.61513268172563995</v>
      </c>
      <c r="F57" s="9">
        <v>873.46</v>
      </c>
      <c r="G57" s="14">
        <f t="shared" si="2"/>
        <v>537.29</v>
      </c>
      <c r="H57" s="45">
        <f t="shared" si="1"/>
        <v>1.3207361649512918E-2</v>
      </c>
      <c r="I57" s="14">
        <f>ROUND(F57*Прил.10!$D$12,2)</f>
        <v>7022.62</v>
      </c>
      <c r="J57" s="14">
        <f t="shared" si="3"/>
        <v>4319.84</v>
      </c>
    </row>
    <row r="58" spans="1:10" s="1" customFormat="1" ht="25.5" hidden="1" customHeight="1" outlineLevel="1" x14ac:dyDescent="0.2">
      <c r="A58" s="2">
        <v>30</v>
      </c>
      <c r="B58" s="47" t="s">
        <v>129</v>
      </c>
      <c r="C58" s="3" t="s">
        <v>130</v>
      </c>
      <c r="D58" s="2" t="s">
        <v>131</v>
      </c>
      <c r="E58" s="46">
        <v>4.0537769471812997</v>
      </c>
      <c r="F58" s="9">
        <v>83</v>
      </c>
      <c r="G58" s="14">
        <f t="shared" si="2"/>
        <v>336.46</v>
      </c>
      <c r="H58" s="45">
        <f t="shared" si="1"/>
        <v>8.2706711470437125E-3</v>
      </c>
      <c r="I58" s="14">
        <f>ROUND(F58*Прил.10!$D$12,2)</f>
        <v>667.32</v>
      </c>
      <c r="J58" s="14">
        <f t="shared" si="3"/>
        <v>2705.17</v>
      </c>
    </row>
    <row r="59" spans="1:10" s="1" customFormat="1" ht="14.25" hidden="1" customHeight="1" outlineLevel="1" x14ac:dyDescent="0.2">
      <c r="A59" s="2">
        <v>31</v>
      </c>
      <c r="B59" s="47" t="s">
        <v>132</v>
      </c>
      <c r="C59" s="3" t="s">
        <v>133</v>
      </c>
      <c r="D59" s="2" t="s">
        <v>134</v>
      </c>
      <c r="E59" s="46">
        <v>3.3068992416561001</v>
      </c>
      <c r="F59" s="9">
        <v>28.93</v>
      </c>
      <c r="G59" s="14">
        <f t="shared" si="2"/>
        <v>95.67</v>
      </c>
      <c r="H59" s="45">
        <f t="shared" si="1"/>
        <v>2.3517063206255485E-3</v>
      </c>
      <c r="I59" s="14">
        <f>ROUND(F59*Прил.10!$D$12,2)</f>
        <v>232.6</v>
      </c>
      <c r="J59" s="14">
        <f t="shared" si="3"/>
        <v>769.18</v>
      </c>
    </row>
    <row r="60" spans="1:10" s="1" customFormat="1" ht="25.5" hidden="1" customHeight="1" outlineLevel="1" x14ac:dyDescent="0.2">
      <c r="A60" s="2">
        <v>32</v>
      </c>
      <c r="B60" s="47" t="s">
        <v>135</v>
      </c>
      <c r="C60" s="3" t="s">
        <v>136</v>
      </c>
      <c r="D60" s="2" t="s">
        <v>137</v>
      </c>
      <c r="E60" s="46">
        <v>70.689156391251004</v>
      </c>
      <c r="F60" s="9">
        <v>1</v>
      </c>
      <c r="G60" s="14">
        <f t="shared" si="2"/>
        <v>70.69</v>
      </c>
      <c r="H60" s="45">
        <f t="shared" si="1"/>
        <v>1.7376619609597577E-3</v>
      </c>
      <c r="I60" s="14">
        <f>ROUND(F60*Прил.10!$D$12,2)</f>
        <v>8.0399999999999991</v>
      </c>
      <c r="J60" s="14">
        <f t="shared" si="3"/>
        <v>568.34</v>
      </c>
    </row>
    <row r="61" spans="1:10" s="1" customFormat="1" ht="14.25" hidden="1" customHeight="1" outlineLevel="1" x14ac:dyDescent="0.2">
      <c r="A61" s="2">
        <v>33</v>
      </c>
      <c r="B61" s="47" t="s">
        <v>138</v>
      </c>
      <c r="C61" s="3" t="s">
        <v>139</v>
      </c>
      <c r="D61" s="2" t="s">
        <v>140</v>
      </c>
      <c r="E61" s="46">
        <v>2.281447511458</v>
      </c>
      <c r="F61" s="9">
        <v>6.9</v>
      </c>
      <c r="G61" s="14">
        <f t="shared" si="2"/>
        <v>15.74</v>
      </c>
      <c r="H61" s="45">
        <f t="shared" si="1"/>
        <v>3.8691185833224765E-4</v>
      </c>
      <c r="I61" s="14">
        <f>ROUND(F61*Прил.10!$D$12,2)</f>
        <v>55.48</v>
      </c>
      <c r="J61" s="14">
        <f t="shared" si="3"/>
        <v>126.57</v>
      </c>
    </row>
    <row r="62" spans="1:10" s="1" customFormat="1" ht="25.5" hidden="1" customHeight="1" outlineLevel="1" x14ac:dyDescent="0.2">
      <c r="A62" s="2">
        <v>34</v>
      </c>
      <c r="B62" s="47" t="s">
        <v>141</v>
      </c>
      <c r="C62" s="3" t="s">
        <v>142</v>
      </c>
      <c r="D62" s="2" t="s">
        <v>134</v>
      </c>
      <c r="E62" s="46">
        <v>0.39372848023149998</v>
      </c>
      <c r="F62" s="9">
        <v>38.340000000000003</v>
      </c>
      <c r="G62" s="14">
        <f t="shared" si="2"/>
        <v>15.1</v>
      </c>
      <c r="H62" s="45">
        <f t="shared" si="1"/>
        <v>3.711797370277598E-4</v>
      </c>
      <c r="I62" s="14">
        <f>ROUND(F62*Прил.10!$D$12,2)</f>
        <v>308.25</v>
      </c>
      <c r="J62" s="14">
        <f t="shared" si="3"/>
        <v>121.37</v>
      </c>
    </row>
    <row r="63" spans="1:10" s="1" customFormat="1" ht="51" hidden="1" customHeight="1" outlineLevel="1" x14ac:dyDescent="0.2">
      <c r="A63" s="2">
        <v>35</v>
      </c>
      <c r="B63" s="47" t="s">
        <v>143</v>
      </c>
      <c r="C63" s="3" t="s">
        <v>144</v>
      </c>
      <c r="D63" s="2" t="s">
        <v>126</v>
      </c>
      <c r="E63" s="46">
        <v>2.1529747917609001E-3</v>
      </c>
      <c r="F63" s="9">
        <v>6834.81</v>
      </c>
      <c r="G63" s="14">
        <f t="shared" si="2"/>
        <v>14.72</v>
      </c>
      <c r="H63" s="45">
        <f t="shared" si="1"/>
        <v>3.6183879000322019E-4</v>
      </c>
      <c r="I63" s="14">
        <f>ROUND(F63*Прил.10!$D$12,2)</f>
        <v>54951.87</v>
      </c>
      <c r="J63" s="14">
        <f t="shared" si="3"/>
        <v>118.31</v>
      </c>
    </row>
    <row r="64" spans="1:10" s="1" customFormat="1" ht="14.25" hidden="1" customHeight="1" outlineLevel="1" x14ac:dyDescent="0.2">
      <c r="A64" s="2">
        <v>36</v>
      </c>
      <c r="B64" s="47" t="s">
        <v>145</v>
      </c>
      <c r="C64" s="3" t="s">
        <v>146</v>
      </c>
      <c r="D64" s="2" t="s">
        <v>134</v>
      </c>
      <c r="E64" s="46">
        <v>0.92315735116898001</v>
      </c>
      <c r="F64" s="9">
        <v>12.6</v>
      </c>
      <c r="G64" s="14">
        <f t="shared" si="2"/>
        <v>11.63</v>
      </c>
      <c r="H64" s="45">
        <f t="shared" si="1"/>
        <v>2.8588214182998986E-4</v>
      </c>
      <c r="I64" s="14">
        <f>ROUND(F64*Прил.10!$D$12,2)</f>
        <v>101.3</v>
      </c>
      <c r="J64" s="14">
        <f t="shared" si="3"/>
        <v>93.52</v>
      </c>
    </row>
    <row r="65" spans="1:10" s="1" customFormat="1" ht="14.25" hidden="1" customHeight="1" outlineLevel="1" x14ac:dyDescent="0.2">
      <c r="A65" s="2">
        <v>37</v>
      </c>
      <c r="B65" s="47" t="s">
        <v>147</v>
      </c>
      <c r="C65" s="3" t="s">
        <v>148</v>
      </c>
      <c r="D65" s="2" t="s">
        <v>126</v>
      </c>
      <c r="E65" s="46">
        <v>1.4266993265758001E-3</v>
      </c>
      <c r="F65" s="9">
        <v>7826.9</v>
      </c>
      <c r="G65" s="14">
        <f t="shared" si="2"/>
        <v>11.17</v>
      </c>
      <c r="H65" s="45">
        <f t="shared" si="1"/>
        <v>2.7457467964238922E-4</v>
      </c>
      <c r="I65" s="14">
        <f>ROUND(F65*Прил.10!$D$12,2)</f>
        <v>62928.28</v>
      </c>
      <c r="J65" s="14">
        <f t="shared" si="3"/>
        <v>89.78</v>
      </c>
    </row>
    <row r="66" spans="1:10" s="1" customFormat="1" ht="25.5" hidden="1" customHeight="1" outlineLevel="1" x14ac:dyDescent="0.2">
      <c r="A66" s="2">
        <v>38</v>
      </c>
      <c r="B66" s="47" t="s">
        <v>149</v>
      </c>
      <c r="C66" s="3" t="s">
        <v>150</v>
      </c>
      <c r="D66" s="2" t="s">
        <v>126</v>
      </c>
      <c r="E66" s="48">
        <v>6.1466038156996996E-5</v>
      </c>
      <c r="F66" s="9">
        <v>65750</v>
      </c>
      <c r="G66" s="14">
        <f t="shared" si="2"/>
        <v>4.04</v>
      </c>
      <c r="H66" s="45">
        <f t="shared" si="1"/>
        <v>9.9309015734579459E-5</v>
      </c>
      <c r="I66" s="14">
        <f>ROUND(F66*Прил.10!$D$12,2)</f>
        <v>528630</v>
      </c>
      <c r="J66" s="14">
        <f t="shared" si="3"/>
        <v>32.49</v>
      </c>
    </row>
    <row r="67" spans="1:10" s="1" customFormat="1" ht="25.5" hidden="1" customHeight="1" outlineLevel="1" x14ac:dyDescent="0.2">
      <c r="A67" s="2">
        <v>39</v>
      </c>
      <c r="B67" s="47" t="s">
        <v>151</v>
      </c>
      <c r="C67" s="3" t="s">
        <v>152</v>
      </c>
      <c r="D67" s="2" t="s">
        <v>134</v>
      </c>
      <c r="E67" s="46">
        <v>7.3250207638067E-2</v>
      </c>
      <c r="F67" s="9">
        <v>25.76</v>
      </c>
      <c r="G67" s="14">
        <f t="shared" si="2"/>
        <v>1.89</v>
      </c>
      <c r="H67" s="45">
        <f t="shared" si="1"/>
        <v>4.6458920727315633E-5</v>
      </c>
      <c r="I67" s="14">
        <f>ROUND(F67*Прил.10!$D$12,2)</f>
        <v>207.11</v>
      </c>
      <c r="J67" s="14">
        <f t="shared" si="3"/>
        <v>15.17</v>
      </c>
    </row>
    <row r="68" spans="1:10" s="1" customFormat="1" ht="14.25" hidden="1" customHeight="1" outlineLevel="1" x14ac:dyDescent="0.2">
      <c r="A68" s="2">
        <v>40</v>
      </c>
      <c r="B68" s="47" t="s">
        <v>153</v>
      </c>
      <c r="C68" s="3" t="s">
        <v>154</v>
      </c>
      <c r="D68" s="2" t="s">
        <v>126</v>
      </c>
      <c r="E68" s="46">
        <v>2.0254772054964002E-3</v>
      </c>
      <c r="F68" s="9">
        <v>729.98</v>
      </c>
      <c r="G68" s="14">
        <f t="shared" si="2"/>
        <v>1.48</v>
      </c>
      <c r="H68" s="45">
        <f t="shared" si="1"/>
        <v>3.6380530516628112E-5</v>
      </c>
      <c r="I68" s="14">
        <f>ROUND(F68*Прил.10!$D$12,2)</f>
        <v>5869.04</v>
      </c>
      <c r="J68" s="14">
        <f t="shared" si="3"/>
        <v>11.89</v>
      </c>
    </row>
    <row r="69" spans="1:10" s="1" customFormat="1" ht="14.25" hidden="1" customHeight="1" outlineLevel="1" x14ac:dyDescent="0.2">
      <c r="A69" s="2">
        <v>41</v>
      </c>
      <c r="B69" s="47" t="s">
        <v>155</v>
      </c>
      <c r="C69" s="3" t="s">
        <v>156</v>
      </c>
      <c r="D69" s="2" t="s">
        <v>95</v>
      </c>
      <c r="E69" s="46">
        <v>3.0782040708827001</v>
      </c>
      <c r="F69" s="9">
        <v>0.27</v>
      </c>
      <c r="G69" s="14">
        <f t="shared" si="2"/>
        <v>0.83</v>
      </c>
      <c r="H69" s="45">
        <f t="shared" si="1"/>
        <v>2.0402594816757659E-5</v>
      </c>
      <c r="I69" s="14">
        <f>ROUND(F69*Прил.10!$D$12,2)</f>
        <v>2.17</v>
      </c>
      <c r="J69" s="14">
        <f t="shared" si="3"/>
        <v>6.68</v>
      </c>
    </row>
    <row r="70" spans="1:10" s="1" customFormat="1" ht="14.25" hidden="1" customHeight="1" outlineLevel="1" x14ac:dyDescent="0.2">
      <c r="A70" s="2">
        <v>42</v>
      </c>
      <c r="B70" s="47" t="s">
        <v>157</v>
      </c>
      <c r="C70" s="3" t="s">
        <v>158</v>
      </c>
      <c r="D70" s="2" t="s">
        <v>126</v>
      </c>
      <c r="E70" s="48">
        <v>3.6858969965007997E-5</v>
      </c>
      <c r="F70" s="9">
        <v>10315.01</v>
      </c>
      <c r="G70" s="14">
        <f t="shared" si="2"/>
        <v>0.38</v>
      </c>
      <c r="H70" s="45">
        <f t="shared" si="1"/>
        <v>9.3409470245396516E-6</v>
      </c>
      <c r="I70" s="14">
        <f>ROUND(F70*Прил.10!$D$12,2)</f>
        <v>82932.679999999993</v>
      </c>
      <c r="J70" s="14">
        <f t="shared" si="3"/>
        <v>3.06</v>
      </c>
    </row>
    <row r="71" spans="1:10" s="1" customFormat="1" ht="14.25" hidden="1" customHeight="1" outlineLevel="1" x14ac:dyDescent="0.2">
      <c r="A71" s="2">
        <v>43</v>
      </c>
      <c r="B71" s="47" t="s">
        <v>159</v>
      </c>
      <c r="C71" s="3" t="s">
        <v>160</v>
      </c>
      <c r="D71" s="2" t="s">
        <v>126</v>
      </c>
      <c r="E71" s="98">
        <v>6.4684444433910998E-6</v>
      </c>
      <c r="F71" s="9">
        <v>28300.400000000001</v>
      </c>
      <c r="G71" s="14">
        <f t="shared" si="2"/>
        <v>0.18</v>
      </c>
      <c r="H71" s="45">
        <f t="shared" si="1"/>
        <v>4.4246591168872032E-6</v>
      </c>
      <c r="I71" s="14">
        <f>ROUND(F71*Прил.10!$D$12,2)</f>
        <v>227535.22</v>
      </c>
      <c r="J71" s="14">
        <f t="shared" si="3"/>
        <v>1.47</v>
      </c>
    </row>
    <row r="72" spans="1:10" s="1" customFormat="1" ht="14.25" hidden="1" customHeight="1" outlineLevel="1" x14ac:dyDescent="0.2">
      <c r="A72" s="2">
        <v>44</v>
      </c>
      <c r="B72" s="47" t="s">
        <v>161</v>
      </c>
      <c r="C72" s="3" t="s">
        <v>162</v>
      </c>
      <c r="D72" s="2" t="s">
        <v>134</v>
      </c>
      <c r="E72" s="46">
        <v>5.0762364824489996E-3</v>
      </c>
      <c r="F72" s="9">
        <v>27.74</v>
      </c>
      <c r="G72" s="14">
        <f t="shared" si="2"/>
        <v>0.14000000000000001</v>
      </c>
      <c r="H72" s="45">
        <f t="shared" si="1"/>
        <v>3.4414015353567139E-6</v>
      </c>
      <c r="I72" s="14">
        <f>ROUND(F72*Прил.10!$D$12,2)</f>
        <v>223.03</v>
      </c>
      <c r="J72" s="14">
        <f t="shared" si="3"/>
        <v>1.1299999999999999</v>
      </c>
    </row>
    <row r="73" spans="1:10" s="1" customFormat="1" ht="14.25" hidden="1" customHeight="1" outlineLevel="1" x14ac:dyDescent="0.2">
      <c r="A73" s="2">
        <v>45</v>
      </c>
      <c r="B73" s="47" t="s">
        <v>163</v>
      </c>
      <c r="C73" s="3" t="s">
        <v>164</v>
      </c>
      <c r="D73" s="2" t="s">
        <v>126</v>
      </c>
      <c r="E73" s="98">
        <v>3.6060192720157001E-6</v>
      </c>
      <c r="F73" s="9">
        <v>15620</v>
      </c>
      <c r="G73" s="14">
        <f t="shared" si="2"/>
        <v>0.06</v>
      </c>
      <c r="H73" s="45">
        <f t="shared" si="1"/>
        <v>1.4748863722957343E-6</v>
      </c>
      <c r="I73" s="14">
        <f>ROUND(F73*Прил.10!$D$12,2)</f>
        <v>125584.8</v>
      </c>
      <c r="J73" s="14">
        <f t="shared" si="3"/>
        <v>0.45</v>
      </c>
    </row>
    <row r="74" spans="1:10" s="1" customFormat="1" ht="14.25" hidden="1" customHeight="1" outlineLevel="1" x14ac:dyDescent="0.2">
      <c r="A74" s="2">
        <v>46</v>
      </c>
      <c r="B74" s="47" t="s">
        <v>165</v>
      </c>
      <c r="C74" s="3" t="s">
        <v>166</v>
      </c>
      <c r="D74" s="2" t="s">
        <v>134</v>
      </c>
      <c r="E74" s="46">
        <v>2.9895775618711002E-3</v>
      </c>
      <c r="F74" s="9">
        <v>9.42</v>
      </c>
      <c r="G74" s="14">
        <f t="shared" si="2"/>
        <v>0.03</v>
      </c>
      <c r="H74" s="45">
        <f t="shared" si="1"/>
        <v>7.3744318614786716E-7</v>
      </c>
      <c r="I74" s="14">
        <f>ROUND(F74*Прил.10!$D$12,2)</f>
        <v>75.739999999999995</v>
      </c>
      <c r="J74" s="14">
        <f t="shared" si="3"/>
        <v>0.23</v>
      </c>
    </row>
    <row r="75" spans="1:10" s="1" customFormat="1" ht="14.25" hidden="1" customHeight="1" outlineLevel="1" x14ac:dyDescent="0.2">
      <c r="A75" s="2">
        <v>47</v>
      </c>
      <c r="B75" s="47" t="s">
        <v>167</v>
      </c>
      <c r="C75" s="3" t="s">
        <v>168</v>
      </c>
      <c r="D75" s="2" t="s">
        <v>134</v>
      </c>
      <c r="E75" s="46">
        <v>4.2220884679492997E-3</v>
      </c>
      <c r="F75" s="9">
        <v>6.67</v>
      </c>
      <c r="G75" s="14">
        <f t="shared" si="2"/>
        <v>0.03</v>
      </c>
      <c r="H75" s="45">
        <f t="shared" si="1"/>
        <v>7.3744318614786716E-7</v>
      </c>
      <c r="I75" s="14">
        <f>ROUND(F75*Прил.10!$D$12,2)</f>
        <v>53.63</v>
      </c>
      <c r="J75" s="14">
        <f t="shared" si="3"/>
        <v>0.23</v>
      </c>
    </row>
    <row r="76" spans="1:10" s="1" customFormat="1" ht="14.25" customHeight="1" collapsed="1" x14ac:dyDescent="0.2">
      <c r="A76" s="2"/>
      <c r="B76" s="2"/>
      <c r="C76" s="3" t="s">
        <v>251</v>
      </c>
      <c r="D76" s="2"/>
      <c r="E76" s="49"/>
      <c r="F76" s="4"/>
      <c r="G76" s="14">
        <f>SUM(G52:G75)</f>
        <v>5690.0800000000008</v>
      </c>
      <c r="H76" s="45">
        <f>G76/G77</f>
        <v>0.13987035748787524</v>
      </c>
      <c r="I76" s="14"/>
      <c r="J76" s="14">
        <f>SUM(J52:J75)</f>
        <v>45748.259999999987</v>
      </c>
    </row>
    <row r="77" spans="1:10" s="1" customFormat="1" ht="14.25" customHeight="1" x14ac:dyDescent="0.2">
      <c r="A77" s="2"/>
      <c r="B77" s="2"/>
      <c r="C77" s="5" t="s">
        <v>252</v>
      </c>
      <c r="D77" s="2"/>
      <c r="E77" s="49"/>
      <c r="F77" s="4"/>
      <c r="G77" s="14">
        <f>G51+G76</f>
        <v>40681.1</v>
      </c>
      <c r="H77" s="45">
        <v>1</v>
      </c>
      <c r="I77" s="4"/>
      <c r="J77" s="14">
        <f>J51+J76</f>
        <v>327077.53000000003</v>
      </c>
    </row>
    <row r="78" spans="1:10" s="1" customFormat="1" ht="14.25" customHeight="1" x14ac:dyDescent="0.2">
      <c r="A78" s="2"/>
      <c r="B78" s="2"/>
      <c r="C78" s="3" t="s">
        <v>253</v>
      </c>
      <c r="D78" s="2"/>
      <c r="E78" s="49"/>
      <c r="F78" s="4"/>
      <c r="G78" s="14">
        <f>G16+G29+G77</f>
        <v>45298.03</v>
      </c>
      <c r="H78" s="45"/>
      <c r="I78" s="4"/>
      <c r="J78" s="14">
        <f>J16+J29+J77</f>
        <v>499993.97000000003</v>
      </c>
    </row>
    <row r="79" spans="1:10" s="1" customFormat="1" ht="14.25" customHeight="1" x14ac:dyDescent="0.2">
      <c r="A79" s="2"/>
      <c r="B79" s="2"/>
      <c r="C79" s="3" t="s">
        <v>254</v>
      </c>
      <c r="D79" s="2" t="s">
        <v>255</v>
      </c>
      <c r="E79" s="55">
        <f>ROUND(G79/(G16+G18),2)</f>
        <v>2.87</v>
      </c>
      <c r="F79" s="4"/>
      <c r="G79" s="14">
        <v>11207.74</v>
      </c>
      <c r="H79" s="45"/>
      <c r="I79" s="4"/>
      <c r="J79" s="14">
        <f>ROUND(E79*(J16+J18),2)</f>
        <v>503158.41</v>
      </c>
    </row>
    <row r="80" spans="1:10" s="1" customFormat="1" ht="14.25" customHeight="1" x14ac:dyDescent="0.2">
      <c r="A80" s="2"/>
      <c r="B80" s="2"/>
      <c r="C80" s="3" t="s">
        <v>256</v>
      </c>
      <c r="D80" s="2" t="s">
        <v>255</v>
      </c>
      <c r="E80" s="55">
        <f>ROUND(G80/(G16+G18),2)</f>
        <v>1.5</v>
      </c>
      <c r="F80" s="4"/>
      <c r="G80" s="14">
        <v>5836.44</v>
      </c>
      <c r="H80" s="45"/>
      <c r="I80" s="4"/>
      <c r="J80" s="14">
        <f>ROUND(E80*(J16+J18),2)</f>
        <v>262974.78000000003</v>
      </c>
    </row>
    <row r="81" spans="1:10" s="1" customFormat="1" ht="14.25" customHeight="1" x14ac:dyDescent="0.2">
      <c r="A81" s="2"/>
      <c r="B81" s="2"/>
      <c r="C81" s="3" t="s">
        <v>257</v>
      </c>
      <c r="D81" s="2"/>
      <c r="E81" s="49"/>
      <c r="F81" s="4"/>
      <c r="G81" s="14">
        <f>G16+G29+G77+G79+G80</f>
        <v>62342.21</v>
      </c>
      <c r="H81" s="45"/>
      <c r="I81" s="4"/>
      <c r="J81" s="14">
        <f>J16+J29+J77+J79+J80</f>
        <v>1266127.1600000001</v>
      </c>
    </row>
    <row r="82" spans="1:10" s="1" customFormat="1" ht="14.25" customHeight="1" x14ac:dyDescent="0.2">
      <c r="A82" s="2"/>
      <c r="B82" s="2"/>
      <c r="C82" s="3" t="s">
        <v>258</v>
      </c>
      <c r="D82" s="2"/>
      <c r="E82" s="49"/>
      <c r="F82" s="4"/>
      <c r="G82" s="14">
        <f>G81+G42</f>
        <v>274523.27999999997</v>
      </c>
      <c r="H82" s="45"/>
      <c r="I82" s="4"/>
      <c r="J82" s="14">
        <f>J81+J42</f>
        <v>2594380.6400000006</v>
      </c>
    </row>
    <row r="83" spans="1:10" s="1" customFormat="1" ht="14.25" customHeight="1" x14ac:dyDescent="0.2">
      <c r="A83" s="2"/>
      <c r="B83" s="2"/>
      <c r="C83" s="3" t="s">
        <v>205</v>
      </c>
      <c r="D83" s="2" t="s">
        <v>259</v>
      </c>
      <c r="E83" s="89">
        <v>1</v>
      </c>
      <c r="F83" s="4"/>
      <c r="G83" s="14">
        <f>G82/E83</f>
        <v>274523.27999999997</v>
      </c>
      <c r="H83" s="45"/>
      <c r="I83" s="4"/>
      <c r="J83" s="14">
        <f>J82/E83</f>
        <v>2594380.6400000006</v>
      </c>
    </row>
    <row r="85" spans="1:10" s="1" customFormat="1" ht="14.25" customHeight="1" x14ac:dyDescent="0.2">
      <c r="A85" s="10"/>
    </row>
    <row r="86" spans="1:10" s="1" customFormat="1" ht="14.25" customHeight="1" x14ac:dyDescent="0.2">
      <c r="A86" s="6" t="s">
        <v>31</v>
      </c>
    </row>
    <row r="87" spans="1:10" s="1" customFormat="1" ht="14.25" customHeight="1" x14ac:dyDescent="0.2">
      <c r="A87" s="58" t="s">
        <v>32</v>
      </c>
    </row>
    <row r="88" spans="1:10" s="1" customFormat="1" ht="14.25" customHeight="1" x14ac:dyDescent="0.2">
      <c r="A88" s="6"/>
    </row>
    <row r="89" spans="1:10" s="1" customFormat="1" ht="14.25" customHeight="1" x14ac:dyDescent="0.2">
      <c r="A89" s="6" t="s">
        <v>33</v>
      </c>
    </row>
    <row r="90" spans="1:10" s="1" customFormat="1" ht="14.25" customHeight="1" x14ac:dyDescent="0.2">
      <c r="A90" s="58" t="s">
        <v>34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B45:H45"/>
    <mergeCell ref="B30:J30"/>
    <mergeCell ref="B44:J44"/>
    <mergeCell ref="I9:J9"/>
    <mergeCell ref="D6:J6"/>
    <mergeCell ref="B19:H19"/>
    <mergeCell ref="B20:H20"/>
    <mergeCell ref="B31:J31"/>
    <mergeCell ref="B12:H12"/>
    <mergeCell ref="B17:H17"/>
    <mergeCell ref="A7:H7"/>
    <mergeCell ref="A4:H4"/>
    <mergeCell ref="A9:A10"/>
    <mergeCell ref="B9:B10"/>
    <mergeCell ref="C9:C10"/>
    <mergeCell ref="D9:D10"/>
    <mergeCell ref="E9:E10"/>
    <mergeCell ref="F9:G9"/>
    <mergeCell ref="H9:H10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1" manualBreakCount="1">
    <brk id="34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9"/>
  <sheetViews>
    <sheetView view="pageBreakPreview" topLeftCell="A19" workbookViewId="0">
      <selection activeCell="F27" sqref="F27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46" t="s">
        <v>260</v>
      </c>
      <c r="B1" s="146"/>
      <c r="C1" s="146"/>
      <c r="D1" s="146"/>
      <c r="E1" s="146"/>
      <c r="F1" s="146"/>
      <c r="G1" s="146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23" t="s">
        <v>261</v>
      </c>
      <c r="B5" s="123"/>
      <c r="C5" s="123"/>
      <c r="D5" s="123"/>
      <c r="E5" s="123"/>
      <c r="F5" s="123"/>
      <c r="G5" s="123"/>
    </row>
    <row r="6" spans="1:7" ht="64.5" customHeight="1" x14ac:dyDescent="0.25">
      <c r="A6" s="112" t="str">
        <f>'Прил.1 Сравнит табл'!B7</f>
        <v>Наименование разрабатываемого показателя УНЦ - Постоянная часть ПС, система периметральной сигнализации ЗПС 110 кВ</v>
      </c>
      <c r="B6" s="112"/>
      <c r="C6" s="112"/>
      <c r="D6" s="112"/>
      <c r="E6" s="112"/>
      <c r="F6" s="112"/>
      <c r="G6" s="112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47" t="s">
        <v>210</v>
      </c>
      <c r="B8" s="147" t="s">
        <v>54</v>
      </c>
      <c r="C8" s="147" t="s">
        <v>171</v>
      </c>
      <c r="D8" s="147" t="s">
        <v>56</v>
      </c>
      <c r="E8" s="127" t="s">
        <v>211</v>
      </c>
      <c r="F8" s="147" t="s">
        <v>58</v>
      </c>
      <c r="G8" s="147"/>
    </row>
    <row r="9" spans="1:7" x14ac:dyDescent="0.25">
      <c r="A9" s="147"/>
      <c r="B9" s="147"/>
      <c r="C9" s="147"/>
      <c r="D9" s="147"/>
      <c r="E9" s="128"/>
      <c r="F9" s="2" t="s">
        <v>214</v>
      </c>
      <c r="G9" s="2" t="s">
        <v>60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42" t="s">
        <v>262</v>
      </c>
      <c r="C11" s="143"/>
      <c r="D11" s="143"/>
      <c r="E11" s="143"/>
      <c r="F11" s="143"/>
      <c r="G11" s="144"/>
    </row>
    <row r="12" spans="1:7" ht="27" customHeight="1" x14ac:dyDescent="0.25">
      <c r="A12" s="2"/>
      <c r="B12" s="5"/>
      <c r="C12" s="3" t="s">
        <v>263</v>
      </c>
      <c r="D12" s="5"/>
      <c r="E12" s="8"/>
      <c r="F12" s="4"/>
      <c r="G12" s="4">
        <v>0</v>
      </c>
    </row>
    <row r="13" spans="1:7" x14ac:dyDescent="0.25">
      <c r="A13" s="2"/>
      <c r="B13" s="131" t="s">
        <v>264</v>
      </c>
      <c r="C13" s="131"/>
      <c r="D13" s="131"/>
      <c r="E13" s="145"/>
      <c r="F13" s="133"/>
      <c r="G13" s="133"/>
    </row>
    <row r="14" spans="1:7" ht="25.5" customHeight="1" x14ac:dyDescent="0.25">
      <c r="A14" s="2">
        <v>1</v>
      </c>
      <c r="B14" s="89" t="str">
        <f>'Прил.5 Расчет СМР и ОБ'!B32</f>
        <v>Прайс из СД ОП</v>
      </c>
      <c r="C14" s="90" t="str">
        <f>'Прил.5 Расчет СМР и ОБ'!C32</f>
        <v>Чувствительный элемент броня(180м) ЧЕБ-2</v>
      </c>
      <c r="D14" s="89" t="str">
        <f>'Прил.5 Расчет СМР и ОБ'!D32</f>
        <v>шт</v>
      </c>
      <c r="E14" s="89">
        <f>'Прил.5 Расчет СМР и ОБ'!E32</f>
        <v>1.8453888356912</v>
      </c>
      <c r="F14" s="14">
        <f>'Прил.5 Расчет СМР и ОБ'!F32</f>
        <v>34762.120000000003</v>
      </c>
      <c r="G14" s="14">
        <f t="shared" ref="G14:G21" si="0">ROUND(E14*F14,2)</f>
        <v>64149.63</v>
      </c>
    </row>
    <row r="15" spans="1:7" x14ac:dyDescent="0.25">
      <c r="A15" s="2">
        <v>2</v>
      </c>
      <c r="B15" s="89" t="str">
        <f>'Прил.5 Расчет СМР и ОБ'!B33</f>
        <v>61.3.05.04-0002</v>
      </c>
      <c r="C15" s="90" t="str">
        <f>'Прил.5 Расчет СМР и ОБ'!C33</f>
        <v>Сервер HP ProLiant DL360</v>
      </c>
      <c r="D15" s="89" t="str">
        <f>'Прил.5 Расчет СМР и ОБ'!D33</f>
        <v>компл</v>
      </c>
      <c r="E15" s="89">
        <f>'Прил.5 Расчет СМР и ОБ'!E33</f>
        <v>0.30756474781316001</v>
      </c>
      <c r="F15" s="14">
        <f>'Прил.5 Расчет СМР и ОБ'!F33</f>
        <v>167693</v>
      </c>
      <c r="G15" s="14">
        <f t="shared" si="0"/>
        <v>51576.46</v>
      </c>
    </row>
    <row r="16" spans="1:7" ht="63.75" customHeight="1" x14ac:dyDescent="0.25">
      <c r="A16" s="2">
        <v>3</v>
      </c>
      <c r="B16" s="89" t="str">
        <f>'Прил.5 Расчет СМР и ОБ'!B34</f>
        <v>62.1.02.10-0124</v>
      </c>
      <c r="C16" s="90" t="str">
        <f>'Прил.5 Расчет СМР и ОБ'!C34</f>
        <v>Шкаф ВРУ-3 Prisma Plus P "Schneider Electric" IP30, IK08, размером (с цоколем 100 мм) 2107х706х650 мм, с установленной и скоммутированной аппаратурой ввода-вывода (16 автоматов)</v>
      </c>
      <c r="D16" s="89" t="str">
        <f>'Прил.5 Расчет СМР и ОБ'!D34</f>
        <v>компл</v>
      </c>
      <c r="E16" s="89">
        <f>'Прил.5 Расчет СМР и ОБ'!E34</f>
        <v>0.30756477693621997</v>
      </c>
      <c r="F16" s="14">
        <f>'Прил.5 Расчет СМР и ОБ'!F34</f>
        <v>123565.7</v>
      </c>
      <c r="G16" s="14">
        <f t="shared" si="0"/>
        <v>38004.46</v>
      </c>
    </row>
    <row r="17" spans="1:7" x14ac:dyDescent="0.25">
      <c r="A17" s="2">
        <v>4</v>
      </c>
      <c r="B17" s="89" t="str">
        <f>'Прил.5 Расчет СМР и ОБ'!B35</f>
        <v>61.3.01.02-0001</v>
      </c>
      <c r="C17" s="90" t="str">
        <f>'Прил.5 Расчет СМР и ОБ'!C35</f>
        <v>Блок распознавания инцидентов VIP T</v>
      </c>
      <c r="D17" s="89" t="str">
        <f>'Прил.5 Расчет СМР и ОБ'!D35</f>
        <v>шт</v>
      </c>
      <c r="E17" s="89">
        <f>'Прил.5 Расчет СМР и ОБ'!E35</f>
        <v>0.61512954989021995</v>
      </c>
      <c r="F17" s="14">
        <f>'Прил.5 Расчет СМР и ОБ'!F35</f>
        <v>45204.3</v>
      </c>
      <c r="G17" s="14">
        <f t="shared" si="0"/>
        <v>27806.5</v>
      </c>
    </row>
    <row r="18" spans="1:7" ht="38.25" customHeight="1" x14ac:dyDescent="0.25">
      <c r="A18" s="2">
        <v>5</v>
      </c>
      <c r="B18" s="89" t="str">
        <f>'Прил.5 Расчет СМР и ОБ'!B37</f>
        <v>61.2.07.02-0095</v>
      </c>
      <c r="C18" s="90" t="str">
        <f>'Прил.5 Расчет СМР и ОБ'!C37</f>
        <v>Блок центральный системный, 2 канала оповещения, 4 зоны оповещения, 2 речевых процессора, марка "ЦСБ"</v>
      </c>
      <c r="D18" s="89" t="str">
        <f>'Прил.5 Расчет СМР и ОБ'!D37</f>
        <v>шт</v>
      </c>
      <c r="E18" s="89">
        <f>'Прил.5 Расчет СМР и ОБ'!E37</f>
        <v>1.2302587324851</v>
      </c>
      <c r="F18" s="14">
        <f>'Прил.5 Расчет СМР и ОБ'!F37</f>
        <v>10196.26</v>
      </c>
      <c r="G18" s="14">
        <f t="shared" si="0"/>
        <v>12544.04</v>
      </c>
    </row>
    <row r="19" spans="1:7" ht="25.5" customHeight="1" x14ac:dyDescent="0.25">
      <c r="A19" s="2">
        <v>6</v>
      </c>
      <c r="B19" s="89" t="str">
        <f>'Прил.5 Расчет СМР и ОБ'!B38</f>
        <v>61.2.07.05-0067</v>
      </c>
      <c r="C19" s="90" t="str">
        <f>'Прил.5 Расчет СМР и ОБ'!C38</f>
        <v>Модуль центральный ECB с Ethernet интерфейсом</v>
      </c>
      <c r="D19" s="89" t="str">
        <f>'Прил.5 Расчет СМР и ОБ'!D38</f>
        <v>шт</v>
      </c>
      <c r="E19" s="89">
        <f>'Прил.5 Расчет СМР и ОБ'!E38</f>
        <v>0.30756471579061001</v>
      </c>
      <c r="F19" s="14">
        <f>'Прил.5 Расчет СМР и ОБ'!F38</f>
        <v>37158.83</v>
      </c>
      <c r="G19" s="14">
        <f t="shared" si="0"/>
        <v>11428.74</v>
      </c>
    </row>
    <row r="20" spans="1:7" ht="38.25" customHeight="1" x14ac:dyDescent="0.25">
      <c r="A20" s="2">
        <v>7</v>
      </c>
      <c r="B20" s="89" t="str">
        <f>'Прил.5 Расчет СМР и ОБ'!B39</f>
        <v>61.2.01.03-0019</v>
      </c>
      <c r="C20" s="90" t="str">
        <f>'Прил.5 Расчет СМР и ОБ'!C39</f>
        <v>Извещатель охранный инфракрасный пассивный: "Пирон-1", взрывозащитное исполнение</v>
      </c>
      <c r="D20" s="89" t="str">
        <f>'Прил.5 Расчет СМР и ОБ'!D39</f>
        <v>шт</v>
      </c>
      <c r="E20" s="89">
        <f>'Прил.5 Расчет СМР и ОБ'!E39</f>
        <v>2.4605120478338001</v>
      </c>
      <c r="F20" s="14">
        <f>'Прил.5 Расчет СМР и ОБ'!F39</f>
        <v>2122.7199999999998</v>
      </c>
      <c r="G20" s="14">
        <f t="shared" si="0"/>
        <v>5222.9799999999996</v>
      </c>
    </row>
    <row r="21" spans="1:7" ht="25.5" customHeight="1" x14ac:dyDescent="0.25">
      <c r="A21" s="2">
        <v>8</v>
      </c>
      <c r="B21" s="89" t="str">
        <f>'Прил.5 Расчет СМР и ОБ'!B40</f>
        <v>61.3.04.01-0001</v>
      </c>
      <c r="C21" s="90" t="str">
        <f>'Прил.5 Расчет СМР и ОБ'!C40</f>
        <v>Плата дочерняя IPO IP500 TRNK PRI UNVRSL DUAL</v>
      </c>
      <c r="D21" s="89" t="str">
        <f>'Прил.5 Расчет СМР и ОБ'!D40</f>
        <v>шт</v>
      </c>
      <c r="E21" s="89">
        <f>'Прил.5 Расчет СМР и ОБ'!E40</f>
        <v>0.30756521368723999</v>
      </c>
      <c r="F21" s="14">
        <f>'Прил.5 Расчет СМР и ОБ'!F40</f>
        <v>4708.8</v>
      </c>
      <c r="G21" s="14">
        <f t="shared" si="0"/>
        <v>1448.26</v>
      </c>
    </row>
    <row r="22" spans="1:7" ht="25.5" customHeight="1" x14ac:dyDescent="0.25">
      <c r="A22" s="2"/>
      <c r="B22" s="12"/>
      <c r="C22" s="12" t="s">
        <v>265</v>
      </c>
      <c r="D22" s="12"/>
      <c r="E22" s="13"/>
      <c r="F22" s="4"/>
      <c r="G22" s="14">
        <f>SUM(G14:G21)</f>
        <v>212181.07</v>
      </c>
    </row>
    <row r="23" spans="1:7" ht="19.5" customHeight="1" x14ac:dyDescent="0.25">
      <c r="A23" s="2"/>
      <c r="B23" s="3"/>
      <c r="C23" s="3" t="s">
        <v>266</v>
      </c>
      <c r="D23" s="3"/>
      <c r="E23" s="9"/>
      <c r="F23" s="4"/>
      <c r="G23" s="14">
        <f>G12+G22</f>
        <v>212181.07</v>
      </c>
    </row>
    <row r="24" spans="1:7" x14ac:dyDescent="0.25">
      <c r="A24" s="10"/>
      <c r="B24" s="11"/>
      <c r="C24" s="10"/>
      <c r="D24" s="10"/>
      <c r="E24" s="10"/>
      <c r="F24" s="10"/>
      <c r="G24" s="10"/>
    </row>
    <row r="25" spans="1:7" x14ac:dyDescent="0.25">
      <c r="A25" s="6" t="s">
        <v>31</v>
      </c>
      <c r="B25" s="1"/>
      <c r="C25" s="1"/>
      <c r="D25" s="10"/>
      <c r="E25" s="10"/>
      <c r="F25" s="10"/>
      <c r="G25" s="10"/>
    </row>
    <row r="26" spans="1:7" x14ac:dyDescent="0.25">
      <c r="A26" s="58" t="s">
        <v>32</v>
      </c>
      <c r="B26" s="1"/>
      <c r="C26" s="1"/>
      <c r="D26" s="10"/>
      <c r="E26" s="10"/>
      <c r="F26" s="10"/>
      <c r="G26" s="10"/>
    </row>
    <row r="27" spans="1:7" x14ac:dyDescent="0.25">
      <c r="A27" s="6"/>
      <c r="B27" s="1"/>
      <c r="C27" s="1"/>
      <c r="D27" s="10"/>
      <c r="E27" s="10"/>
      <c r="F27" s="10"/>
      <c r="G27" s="10"/>
    </row>
    <row r="28" spans="1:7" x14ac:dyDescent="0.25">
      <c r="A28" s="6" t="s">
        <v>33</v>
      </c>
      <c r="B28" s="1"/>
      <c r="C28" s="1"/>
      <c r="D28" s="10"/>
      <c r="E28" s="10"/>
      <c r="F28" s="10"/>
      <c r="G28" s="10"/>
    </row>
    <row r="29" spans="1:7" x14ac:dyDescent="0.25">
      <c r="A29" s="58" t="s">
        <v>34</v>
      </c>
      <c r="B29" s="1"/>
      <c r="C29" s="1"/>
      <c r="D29" s="10"/>
      <c r="E29" s="10"/>
      <c r="F29" s="10"/>
      <c r="G29" s="10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7"/>
  <sheetViews>
    <sheetView view="pageBreakPreview" workbookViewId="0">
      <selection activeCell="C15" sqref="C15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57"/>
      <c r="B1" s="57"/>
      <c r="C1" s="57"/>
      <c r="D1" s="57" t="s">
        <v>267</v>
      </c>
    </row>
    <row r="2" spans="1:4" ht="15.75" customHeight="1" x14ac:dyDescent="0.25">
      <c r="A2" s="57"/>
      <c r="B2" s="57"/>
      <c r="C2" s="57"/>
      <c r="D2" s="57"/>
    </row>
    <row r="3" spans="1:4" ht="15.75" customHeight="1" x14ac:dyDescent="0.25">
      <c r="A3" s="57"/>
      <c r="B3" s="93" t="s">
        <v>268</v>
      </c>
      <c r="C3" s="57"/>
      <c r="D3" s="57"/>
    </row>
    <row r="4" spans="1:4" ht="15.75" customHeight="1" x14ac:dyDescent="0.25">
      <c r="A4" s="57"/>
      <c r="B4" s="57"/>
      <c r="C4" s="57"/>
      <c r="D4" s="57"/>
    </row>
    <row r="5" spans="1:4" ht="31.5" customHeight="1" x14ac:dyDescent="0.25">
      <c r="A5" s="148" t="s">
        <v>269</v>
      </c>
      <c r="B5" s="148"/>
      <c r="C5" s="148"/>
      <c r="D5" s="94" t="str">
        <f>'Прил.5 Расчет СМР и ОБ'!D6:J6</f>
        <v>Постоянная часть ПС, система периметральной сигнализации ЗПС 110 кВ</v>
      </c>
    </row>
    <row r="6" spans="1:4" ht="15.75" customHeight="1" x14ac:dyDescent="0.25">
      <c r="A6" s="57" t="s">
        <v>4</v>
      </c>
      <c r="B6" s="57"/>
      <c r="C6" s="57"/>
      <c r="D6" s="57"/>
    </row>
    <row r="7" spans="1:4" ht="15.75" customHeight="1" x14ac:dyDescent="0.25">
      <c r="A7" s="57"/>
      <c r="B7" s="57"/>
      <c r="C7" s="57"/>
      <c r="D7" s="57"/>
    </row>
    <row r="8" spans="1:4" x14ac:dyDescent="0.25">
      <c r="A8" s="116" t="s">
        <v>270</v>
      </c>
      <c r="B8" s="116" t="s">
        <v>271</v>
      </c>
      <c r="C8" s="116" t="s">
        <v>272</v>
      </c>
      <c r="D8" s="116" t="s">
        <v>273</v>
      </c>
    </row>
    <row r="9" spans="1:4" x14ac:dyDescent="0.25">
      <c r="A9" s="116"/>
      <c r="B9" s="116"/>
      <c r="C9" s="116"/>
      <c r="D9" s="116"/>
    </row>
    <row r="10" spans="1:4" ht="15.75" customHeight="1" x14ac:dyDescent="0.25">
      <c r="A10" s="36">
        <v>1</v>
      </c>
      <c r="B10" s="36">
        <v>2</v>
      </c>
      <c r="C10" s="36">
        <v>3</v>
      </c>
      <c r="D10" s="36">
        <v>4</v>
      </c>
    </row>
    <row r="11" spans="1:4" ht="63" customHeight="1" x14ac:dyDescent="0.25">
      <c r="A11" s="36" t="s">
        <v>274</v>
      </c>
      <c r="B11" s="36" t="s">
        <v>275</v>
      </c>
      <c r="C11" s="95" t="s">
        <v>276</v>
      </c>
      <c r="D11" s="96">
        <f>'Прил.4 РМ'!C41/1000</f>
        <v>2293.7435399999999</v>
      </c>
    </row>
    <row r="13" spans="1:4" x14ac:dyDescent="0.25">
      <c r="A13" s="6" t="s">
        <v>277</v>
      </c>
      <c r="B13" s="1"/>
      <c r="C13" s="1"/>
      <c r="D13" s="10"/>
    </row>
    <row r="14" spans="1:4" x14ac:dyDescent="0.25">
      <c r="A14" s="58" t="s">
        <v>32</v>
      </c>
      <c r="B14" s="1"/>
      <c r="C14" s="1"/>
      <c r="D14" s="10"/>
    </row>
    <row r="15" spans="1:4" x14ac:dyDescent="0.25">
      <c r="A15" s="6"/>
      <c r="B15" s="1"/>
      <c r="C15" s="1"/>
      <c r="D15" s="10"/>
    </row>
    <row r="16" spans="1:4" x14ac:dyDescent="0.25">
      <c r="A16" s="6" t="s">
        <v>33</v>
      </c>
      <c r="B16" s="1"/>
      <c r="C16" s="1"/>
      <c r="D16" s="10"/>
    </row>
    <row r="17" spans="1:4" x14ac:dyDescent="0.25">
      <c r="A17" s="58" t="s">
        <v>34</v>
      </c>
      <c r="B17" s="1"/>
      <c r="C17" s="1"/>
      <c r="D17" s="1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0"/>
  <sheetViews>
    <sheetView view="pageBreakPreview" topLeftCell="A7" zoomScale="60" zoomScaleNormal="100" workbookViewId="0">
      <selection activeCell="C24" sqref="C24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10" t="s">
        <v>278</v>
      </c>
      <c r="C4" s="110"/>
      <c r="D4" s="110"/>
    </row>
    <row r="5" spans="2:5" ht="18.75" customHeight="1" x14ac:dyDescent="0.25">
      <c r="B5" s="34"/>
    </row>
    <row r="6" spans="2:5" ht="15.75" customHeight="1" x14ac:dyDescent="0.25">
      <c r="B6" s="111" t="s">
        <v>279</v>
      </c>
      <c r="C6" s="111"/>
      <c r="D6" s="111"/>
    </row>
    <row r="7" spans="2:5" x14ac:dyDescent="0.25">
      <c r="B7" s="149"/>
      <c r="C7" s="149"/>
      <c r="D7" s="149"/>
      <c r="E7" s="149"/>
    </row>
    <row r="8" spans="2:5" ht="47.25" customHeight="1" x14ac:dyDescent="0.25">
      <c r="B8" s="36" t="s">
        <v>280</v>
      </c>
      <c r="C8" s="36" t="s">
        <v>281</v>
      </c>
      <c r="D8" s="36" t="s">
        <v>282</v>
      </c>
    </row>
    <row r="9" spans="2:5" ht="15.75" customHeight="1" x14ac:dyDescent="0.25">
      <c r="B9" s="36">
        <v>1</v>
      </c>
      <c r="C9" s="36">
        <v>2</v>
      </c>
      <c r="D9" s="36">
        <v>3</v>
      </c>
    </row>
    <row r="10" spans="2:5" ht="31.5" customHeight="1" x14ac:dyDescent="0.25">
      <c r="B10" s="36" t="s">
        <v>283</v>
      </c>
      <c r="C10" s="36" t="s">
        <v>284</v>
      </c>
      <c r="D10" s="36">
        <v>44.29</v>
      </c>
    </row>
    <row r="11" spans="2:5" ht="31.5" customHeight="1" x14ac:dyDescent="0.25">
      <c r="B11" s="36" t="s">
        <v>285</v>
      </c>
      <c r="C11" s="36" t="s">
        <v>284</v>
      </c>
      <c r="D11" s="36">
        <v>13.47</v>
      </c>
    </row>
    <row r="12" spans="2:5" ht="31.5" customHeight="1" x14ac:dyDescent="0.25">
      <c r="B12" s="36" t="s">
        <v>286</v>
      </c>
      <c r="C12" s="36" t="s">
        <v>284</v>
      </c>
      <c r="D12" s="36">
        <v>8.0399999999999991</v>
      </c>
    </row>
    <row r="13" spans="2:5" ht="31.5" customHeight="1" x14ac:dyDescent="0.25">
      <c r="B13" s="36" t="s">
        <v>287</v>
      </c>
      <c r="C13" s="37" t="s">
        <v>288</v>
      </c>
      <c r="D13" s="36">
        <v>6.26</v>
      </c>
    </row>
    <row r="14" spans="2:5" ht="78.75" customHeight="1" x14ac:dyDescent="0.25">
      <c r="B14" s="36" t="s">
        <v>289</v>
      </c>
      <c r="C14" s="36" t="s">
        <v>290</v>
      </c>
      <c r="D14" s="38">
        <v>3.9E-2</v>
      </c>
    </row>
    <row r="15" spans="2:5" ht="78.75" customHeight="1" x14ac:dyDescent="0.25">
      <c r="B15" s="36" t="s">
        <v>291</v>
      </c>
      <c r="C15" s="36" t="s">
        <v>292</v>
      </c>
      <c r="D15" s="38">
        <v>2.1000000000000001E-2</v>
      </c>
    </row>
    <row r="16" spans="2:5" ht="15.75" customHeight="1" x14ac:dyDescent="0.25">
      <c r="B16" s="36" t="s">
        <v>195</v>
      </c>
      <c r="C16" s="36"/>
      <c r="D16" s="36"/>
    </row>
    <row r="17" spans="2:4" ht="31.5" customHeight="1" x14ac:dyDescent="0.25">
      <c r="B17" s="36" t="s">
        <v>293</v>
      </c>
      <c r="C17" s="36" t="s">
        <v>294</v>
      </c>
      <c r="D17" s="38">
        <v>2.1399999999999999E-2</v>
      </c>
    </row>
    <row r="18" spans="2:4" ht="31.5" customHeight="1" x14ac:dyDescent="0.25">
      <c r="B18" s="36" t="s">
        <v>201</v>
      </c>
      <c r="C18" s="36" t="s">
        <v>295</v>
      </c>
      <c r="D18" s="38">
        <v>2E-3</v>
      </c>
    </row>
    <row r="19" spans="2:4" ht="24" customHeight="1" x14ac:dyDescent="0.25">
      <c r="B19" s="36" t="s">
        <v>203</v>
      </c>
      <c r="C19" s="36" t="s">
        <v>296</v>
      </c>
      <c r="D19" s="38">
        <v>0.03</v>
      </c>
    </row>
    <row r="20" spans="2:4" ht="18.75" customHeight="1" x14ac:dyDescent="0.25">
      <c r="B20" s="35"/>
    </row>
    <row r="21" spans="2:4" ht="18.75" customHeight="1" x14ac:dyDescent="0.25">
      <c r="B21" s="35"/>
    </row>
    <row r="22" spans="2:4" ht="18.75" customHeight="1" x14ac:dyDescent="0.25">
      <c r="B22" s="35"/>
    </row>
    <row r="23" spans="2:4" ht="18.75" customHeight="1" x14ac:dyDescent="0.25">
      <c r="B23" s="35"/>
    </row>
    <row r="26" spans="2:4" x14ac:dyDescent="0.25">
      <c r="B26" s="6" t="s">
        <v>31</v>
      </c>
      <c r="C26" s="1"/>
    </row>
    <row r="27" spans="2:4" x14ac:dyDescent="0.25">
      <c r="B27" s="58" t="s">
        <v>32</v>
      </c>
      <c r="C27" s="1"/>
    </row>
    <row r="28" spans="2:4" x14ac:dyDescent="0.25">
      <c r="B28" s="6"/>
      <c r="C28" s="1"/>
    </row>
    <row r="29" spans="2:4" x14ac:dyDescent="0.25">
      <c r="B29" s="6" t="s">
        <v>33</v>
      </c>
      <c r="C29" s="1"/>
    </row>
    <row r="30" spans="2:4" x14ac:dyDescent="0.25">
      <c r="B30" s="58" t="s">
        <v>34</v>
      </c>
      <c r="C30" s="1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J13" sqref="J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50" t="s">
        <v>297</v>
      </c>
      <c r="B2" s="150"/>
      <c r="C2" s="150"/>
      <c r="D2" s="150"/>
      <c r="E2" s="150"/>
      <c r="F2" s="150"/>
    </row>
    <row r="4" spans="1:7" ht="18" customHeight="1" x14ac:dyDescent="0.25">
      <c r="A4" s="19" t="s">
        <v>298</v>
      </c>
    </row>
    <row r="5" spans="1:7" x14ac:dyDescent="0.25">
      <c r="A5" s="20" t="s">
        <v>210</v>
      </c>
      <c r="B5" s="20" t="s">
        <v>299</v>
      </c>
      <c r="C5" s="20" t="s">
        <v>300</v>
      </c>
      <c r="D5" s="20" t="s">
        <v>301</v>
      </c>
      <c r="E5" s="20" t="s">
        <v>302</v>
      </c>
      <c r="F5" s="20" t="s">
        <v>303</v>
      </c>
    </row>
    <row r="6" spans="1:7" x14ac:dyDescent="0.25">
      <c r="A6" s="20">
        <v>1</v>
      </c>
      <c r="B6" s="20">
        <v>2</v>
      </c>
      <c r="C6" s="20">
        <v>3</v>
      </c>
      <c r="D6" s="20">
        <v>4</v>
      </c>
      <c r="E6" s="20">
        <v>5</v>
      </c>
      <c r="F6" s="20">
        <v>6</v>
      </c>
    </row>
    <row r="7" spans="1:7" ht="90" customHeight="1" x14ac:dyDescent="0.25">
      <c r="A7" s="21" t="s">
        <v>304</v>
      </c>
      <c r="B7" s="23" t="s">
        <v>305</v>
      </c>
      <c r="C7" s="22" t="s">
        <v>306</v>
      </c>
      <c r="D7" s="22" t="s">
        <v>307</v>
      </c>
      <c r="E7" s="24">
        <v>47872.94</v>
      </c>
      <c r="F7" s="23" t="s">
        <v>308</v>
      </c>
    </row>
    <row r="8" spans="1:7" ht="30" customHeight="1" x14ac:dyDescent="0.25">
      <c r="A8" s="21" t="s">
        <v>309</v>
      </c>
      <c r="B8" s="23" t="s">
        <v>310</v>
      </c>
      <c r="C8" s="22" t="s">
        <v>311</v>
      </c>
      <c r="D8" s="22" t="s">
        <v>312</v>
      </c>
      <c r="E8" s="24">
        <f>1973/12</f>
        <v>164.41666666667001</v>
      </c>
      <c r="F8" s="23" t="s">
        <v>313</v>
      </c>
      <c r="G8" s="25"/>
    </row>
    <row r="9" spans="1:7" x14ac:dyDescent="0.25">
      <c r="A9" s="21" t="s">
        <v>314</v>
      </c>
      <c r="B9" s="23" t="s">
        <v>315</v>
      </c>
      <c r="C9" s="22" t="s">
        <v>316</v>
      </c>
      <c r="D9" s="22" t="s">
        <v>307</v>
      </c>
      <c r="E9" s="24">
        <v>1</v>
      </c>
      <c r="F9" s="23"/>
      <c r="G9" s="26"/>
    </row>
    <row r="10" spans="1:7" x14ac:dyDescent="0.25">
      <c r="A10" s="21" t="s">
        <v>317</v>
      </c>
      <c r="B10" s="23" t="s">
        <v>318</v>
      </c>
      <c r="C10" s="22"/>
      <c r="D10" s="22"/>
      <c r="E10" s="27">
        <v>3.9</v>
      </c>
      <c r="F10" s="23" t="s">
        <v>319</v>
      </c>
      <c r="G10" s="26"/>
    </row>
    <row r="11" spans="1:7" ht="75" customHeight="1" x14ac:dyDescent="0.25">
      <c r="A11" s="21" t="s">
        <v>320</v>
      </c>
      <c r="B11" s="23" t="s">
        <v>321</v>
      </c>
      <c r="C11" s="22" t="s">
        <v>322</v>
      </c>
      <c r="D11" s="22" t="s">
        <v>307</v>
      </c>
      <c r="E11" s="28">
        <v>1.3240000000000001</v>
      </c>
      <c r="F11" s="23" t="s">
        <v>323</v>
      </c>
    </row>
    <row r="12" spans="1:7" ht="75" customHeight="1" x14ac:dyDescent="0.25">
      <c r="A12" s="21" t="s">
        <v>324</v>
      </c>
      <c r="B12" s="29" t="s">
        <v>325</v>
      </c>
      <c r="C12" s="22" t="s">
        <v>326</v>
      </c>
      <c r="D12" s="22" t="s">
        <v>307</v>
      </c>
      <c r="E12" s="30">
        <v>1.139</v>
      </c>
      <c r="F12" s="31" t="s">
        <v>327</v>
      </c>
      <c r="G12" s="26"/>
    </row>
    <row r="13" spans="1:7" ht="60" customHeight="1" x14ac:dyDescent="0.25">
      <c r="A13" s="21" t="s">
        <v>328</v>
      </c>
      <c r="B13" s="32" t="s">
        <v>329</v>
      </c>
      <c r="C13" s="22" t="s">
        <v>330</v>
      </c>
      <c r="D13" s="22" t="s">
        <v>331</v>
      </c>
      <c r="E13" s="33">
        <f>((E7*E9/E8)*E11)*E12</f>
        <v>439.09244974661999</v>
      </c>
      <c r="F13" s="23" t="s">
        <v>332</v>
      </c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10</vt:i4>
      </vt:variant>
    </vt:vector>
  </HeadingPairs>
  <TitlesOfParts>
    <vt:vector size="1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2023-11-27T04:24:11Z</cp:lastPrinted>
  <dcterms:created xsi:type="dcterms:W3CDTF">2020-09-30T08:50:27Z</dcterms:created>
  <dcterms:modified xsi:type="dcterms:W3CDTF">2023-11-27T04:24:25Z</dcterms:modified>
  <cp:category/>
</cp:coreProperties>
</file>