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EDD3CD3-AE06-4381-B35B-B39931452376}" xr6:coauthVersionLast="40" xr6:coauthVersionMax="40" xr10:uidLastSave="{00000000-0000-0000-0000-000000000000}"/>
  <bookViews>
    <workbookView xWindow="0" yWindow="0" windowWidth="28800" windowHeight="12225" tabRatio="89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ФОТр.тек.!$A$1:$F$53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53" i="9" l="1"/>
  <c r="E48" i="9"/>
  <c r="E45" i="9"/>
  <c r="E40" i="9"/>
  <c r="E37" i="9"/>
  <c r="E32" i="9"/>
  <c r="E29" i="9"/>
  <c r="E24" i="9"/>
  <c r="E21" i="9"/>
  <c r="E16" i="9"/>
  <c r="E13" i="9"/>
  <c r="E8" i="9"/>
  <c r="D5" i="7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E14" i="6"/>
  <c r="D14" i="6"/>
  <c r="C14" i="6"/>
  <c r="B14" i="6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J53" i="5"/>
  <c r="I53" i="5"/>
  <c r="G53" i="5"/>
  <c r="I52" i="5"/>
  <c r="J52" i="5" s="1"/>
  <c r="G52" i="5"/>
  <c r="G76" i="5" s="1"/>
  <c r="I50" i="5"/>
  <c r="J50" i="5" s="1"/>
  <c r="G50" i="5"/>
  <c r="J49" i="5"/>
  <c r="I49" i="5"/>
  <c r="G49" i="5"/>
  <c r="J48" i="5"/>
  <c r="I48" i="5"/>
  <c r="G48" i="5"/>
  <c r="I47" i="5"/>
  <c r="J47" i="5" s="1"/>
  <c r="G47" i="5"/>
  <c r="J46" i="5"/>
  <c r="I46" i="5"/>
  <c r="G46" i="5"/>
  <c r="G51" i="5" s="1"/>
  <c r="I40" i="5"/>
  <c r="J40" i="5" s="1"/>
  <c r="G40" i="5"/>
  <c r="I39" i="5"/>
  <c r="J39" i="5" s="1"/>
  <c r="G39" i="5"/>
  <c r="J38" i="5"/>
  <c r="I38" i="5"/>
  <c r="G38" i="5"/>
  <c r="I37" i="5"/>
  <c r="J37" i="5" s="1"/>
  <c r="G37" i="5"/>
  <c r="I35" i="5"/>
  <c r="J35" i="5" s="1"/>
  <c r="G35" i="5"/>
  <c r="J34" i="5"/>
  <c r="I34" i="5"/>
  <c r="G34" i="5"/>
  <c r="J33" i="5"/>
  <c r="I33" i="5"/>
  <c r="G33" i="5"/>
  <c r="J32" i="5"/>
  <c r="I32" i="5"/>
  <c r="F32" i="5"/>
  <c r="F14" i="6" s="1"/>
  <c r="J27" i="5"/>
  <c r="I27" i="5"/>
  <c r="G27" i="5"/>
  <c r="I26" i="5"/>
  <c r="J26" i="5" s="1"/>
  <c r="G26" i="5"/>
  <c r="I25" i="5"/>
  <c r="J25" i="5" s="1"/>
  <c r="J28" i="5" s="1"/>
  <c r="C13" i="4" s="1"/>
  <c r="G25" i="5"/>
  <c r="J23" i="5"/>
  <c r="I23" i="5"/>
  <c r="G23" i="5"/>
  <c r="I22" i="5"/>
  <c r="J22" i="5" s="1"/>
  <c r="G22" i="5"/>
  <c r="I21" i="5"/>
  <c r="J21" i="5" s="1"/>
  <c r="J24" i="5" s="1"/>
  <c r="G21" i="5"/>
  <c r="G18" i="5"/>
  <c r="F18" i="5" s="1"/>
  <c r="I18" i="5" s="1"/>
  <c r="J18" i="5" s="1"/>
  <c r="C15" i="4" s="1"/>
  <c r="E16" i="5"/>
  <c r="J15" i="5"/>
  <c r="I15" i="5"/>
  <c r="G15" i="5"/>
  <c r="F15" i="5"/>
  <c r="J14" i="5"/>
  <c r="I14" i="5"/>
  <c r="G14" i="5"/>
  <c r="F14" i="5"/>
  <c r="J13" i="5"/>
  <c r="J16" i="5" s="1"/>
  <c r="I13" i="5"/>
  <c r="G13" i="5"/>
  <c r="G16" i="5" s="1"/>
  <c r="A7" i="5"/>
  <c r="B8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H12" i="2"/>
  <c r="H14" i="2" s="1"/>
  <c r="D19" i="1" s="1"/>
  <c r="F12" i="2"/>
  <c r="J12" i="2" s="1"/>
  <c r="J14" i="2" s="1"/>
  <c r="B7" i="2"/>
  <c r="B7" i="1"/>
  <c r="B6" i="2" s="1"/>
  <c r="C11" i="4" l="1"/>
  <c r="H57" i="5"/>
  <c r="J51" i="5"/>
  <c r="H49" i="5"/>
  <c r="J76" i="5"/>
  <c r="C17" i="4" s="1"/>
  <c r="H68" i="5"/>
  <c r="H53" i="5"/>
  <c r="H71" i="5"/>
  <c r="H69" i="5"/>
  <c r="J29" i="5"/>
  <c r="C12" i="4"/>
  <c r="C14" i="4"/>
  <c r="J41" i="5"/>
  <c r="J42" i="5" s="1"/>
  <c r="C25" i="4" s="1"/>
  <c r="H56" i="5"/>
  <c r="H66" i="5"/>
  <c r="J36" i="5"/>
  <c r="G77" i="5"/>
  <c r="H76" i="5" s="1"/>
  <c r="H51" i="5"/>
  <c r="H54" i="5"/>
  <c r="H62" i="5"/>
  <c r="H72" i="5"/>
  <c r="G14" i="6"/>
  <c r="G22" i="6" s="1"/>
  <c r="G41" i="5"/>
  <c r="B7" i="4"/>
  <c r="G28" i="5"/>
  <c r="G32" i="5"/>
  <c r="A7" i="3"/>
  <c r="A6" i="6"/>
  <c r="H46" i="5"/>
  <c r="G24" i="5"/>
  <c r="D18" i="1"/>
  <c r="C22" i="4"/>
  <c r="C20" i="4"/>
  <c r="E80" i="5"/>
  <c r="J80" i="5" s="1"/>
  <c r="E79" i="5"/>
  <c r="J79" i="5" s="1"/>
  <c r="H15" i="5"/>
  <c r="D17" i="1"/>
  <c r="D23" i="1" s="1"/>
  <c r="D24" i="1" s="1"/>
  <c r="H14" i="5"/>
  <c r="F14" i="2"/>
  <c r="H13" i="5"/>
  <c r="G36" i="5" l="1"/>
  <c r="H74" i="5"/>
  <c r="H63" i="5"/>
  <c r="J77" i="5"/>
  <c r="J78" i="5" s="1"/>
  <c r="C16" i="4"/>
  <c r="H28" i="5"/>
  <c r="H73" i="5"/>
  <c r="H70" i="5"/>
  <c r="H67" i="5"/>
  <c r="H64" i="5"/>
  <c r="H61" i="5"/>
  <c r="H58" i="5"/>
  <c r="H55" i="5"/>
  <c r="H52" i="5"/>
  <c r="H48" i="5"/>
  <c r="H50" i="5"/>
  <c r="H47" i="5"/>
  <c r="H59" i="5"/>
  <c r="H60" i="5"/>
  <c r="H75" i="5"/>
  <c r="H24" i="5"/>
  <c r="G29" i="5"/>
  <c r="G43" i="5"/>
  <c r="G23" i="6"/>
  <c r="C18" i="4"/>
  <c r="C19" i="4" s="1"/>
  <c r="H65" i="5"/>
  <c r="C24" i="4"/>
  <c r="D20" i="4" s="1"/>
  <c r="G42" i="5" l="1"/>
  <c r="H36" i="5"/>
  <c r="J43" i="5"/>
  <c r="C26" i="4" s="1"/>
  <c r="H43" i="5"/>
  <c r="J81" i="5"/>
  <c r="J82" i="5" s="1"/>
  <c r="J83" i="5" s="1"/>
  <c r="H22" i="5"/>
  <c r="H26" i="5"/>
  <c r="G81" i="5"/>
  <c r="G82" i="5" s="1"/>
  <c r="G83" i="5" s="1"/>
  <c r="H25" i="5"/>
  <c r="H21" i="5"/>
  <c r="H27" i="5"/>
  <c r="G78" i="5"/>
  <c r="H23" i="5"/>
  <c r="D22" i="4"/>
  <c r="C29" i="4"/>
  <c r="C30" i="4" s="1"/>
  <c r="D18" i="4"/>
  <c r="D16" i="4"/>
  <c r="D14" i="4"/>
  <c r="D12" i="4"/>
  <c r="D17" i="4"/>
  <c r="D11" i="4"/>
  <c r="D13" i="4"/>
  <c r="C27" i="4"/>
  <c r="D24" i="4"/>
  <c r="D15" i="4"/>
  <c r="H40" i="5" l="1"/>
  <c r="H37" i="5"/>
  <c r="H35" i="5"/>
  <c r="H33" i="5"/>
  <c r="H38" i="5"/>
  <c r="H34" i="5"/>
  <c r="H39" i="5"/>
  <c r="H32" i="5"/>
  <c r="H41" i="5"/>
  <c r="H42" i="5"/>
  <c r="C37" i="4"/>
  <c r="C36" i="4"/>
  <c r="C38" i="4" l="1"/>
  <c r="C39" i="4" l="1"/>
  <c r="C40" i="4" l="1"/>
  <c r="E39" i="4" s="1"/>
  <c r="C41" i="4" l="1"/>
  <c r="D11" i="7" s="1"/>
  <c r="E34" i="4"/>
  <c r="E25" i="4"/>
  <c r="E18" i="4"/>
  <c r="E16" i="4"/>
  <c r="E14" i="4"/>
  <c r="E12" i="4"/>
  <c r="E40" i="4"/>
  <c r="E33" i="4"/>
  <c r="E32" i="4"/>
  <c r="E26" i="4"/>
  <c r="E35" i="4"/>
  <c r="E31" i="4"/>
  <c r="E17" i="4"/>
  <c r="E13" i="4"/>
  <c r="E11" i="4"/>
  <c r="E15" i="4"/>
  <c r="E20" i="4"/>
  <c r="E22" i="4"/>
  <c r="E24" i="4"/>
  <c r="E30" i="4"/>
  <c r="E29" i="4"/>
  <c r="E27" i="4"/>
  <c r="E36" i="4"/>
  <c r="E37" i="4"/>
  <c r="E38" i="4"/>
</calcChain>
</file>

<file path=xl/sharedStrings.xml><?xml version="1.0" encoding="utf-8"?>
<sst xmlns="http://schemas.openxmlformats.org/spreadsheetml/2006/main" count="729" uniqueCount="344">
  <si>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</si>
  <si>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</si>
  <si>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</si>
  <si>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 3 кв. 2016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</si>
  <si>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</si>
  <si>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</si>
  <si>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</si>
  <si>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</si>
  <si>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</si>
  <si>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220 кВ Порт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</si>
  <si>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</si>
  <si>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</si>
  <si>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</si>
  <si>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</si>
  <si>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</si>
  <si>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</si>
  <si>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300,80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</si>
  <si>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</si>
  <si>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</si>
  <si>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</si>
  <si>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</si>
  <si>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</si>
  <si>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</si>
  <si>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</si>
  <si>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</si>
  <si>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</si>
  <si>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</si>
  <si>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</si>
  <si>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</si>
  <si>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</si>
  <si>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</si>
  <si>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</si>
  <si>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</si>
  <si>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</si>
  <si>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</si>
  <si>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</si>
  <si>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</si>
  <si>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</si>
  <si>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</si>
  <si>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</si>
  <si>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</si>
  <si>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</si>
  <si>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</si>
  <si>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</si>
  <si>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</si>
  <si>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</si>
  <si>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</si>
  <si>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ЗПС 220 кВ</t>
  </si>
  <si>
    <t>Всего по объекту:</t>
  </si>
  <si>
    <t>Всего по объекту в сопоставимом уровне цен 3 кв. 2016 г.: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</si>
  <si>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</si>
  <si>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</si>
  <si>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</si>
  <si>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</si>
  <si>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</si>
  <si>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</si>
  <si>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</si>
  <si>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</si>
  <si>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</si>
  <si>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</si>
  <si>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</si>
  <si>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</si>
  <si>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</si>
  <si>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</si>
  <si>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</si>
  <si>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</si>
  <si>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</si>
  <si>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</si>
  <si>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</si>
  <si>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</si>
  <si>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</si>
  <si>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</si>
  <si>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</si>
  <si>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</si>
  <si>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</si>
  <si>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</si>
  <si>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</si>
  <si>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</si>
  <si>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</si>
  <si>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</si>
  <si>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</si>
  <si>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</si>
  <si>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</si>
  <si>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</si>
  <si>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</si>
  <si>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</si>
  <si>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</si>
  <si>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</si>
  <si>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</si>
  <si>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</si>
  <si>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</si>
  <si>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</si>
  <si>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</si>
  <si>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</si>
  <si>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</si>
  <si>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</si>
  <si>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</si>
  <si>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</si>
  <si>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</si>
  <si>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</si>
  <si>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</si>
  <si>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</si>
  <si>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</si>
  <si>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</si>
  <si>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</si>
  <si>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</si>
  <si>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</si>
  <si>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</si>
  <si>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</si>
  <si>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</si>
  <si>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</si>
  <si>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</si>
  <si>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</si>
  <si>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</si>
  <si>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</si>
  <si>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</si>
  <si>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</si>
  <si>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</si>
  <si>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</si>
  <si>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</si>
  <si>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</si>
  <si>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</si>
  <si>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</si>
  <si>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</si>
  <si>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</si>
  <si>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</si>
  <si>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</si>
  <si>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</si>
  <si>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</si>
  <si>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</si>
  <si>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</si>
  <si>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</si>
  <si>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</si>
  <si>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</si>
  <si>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</si>
  <si>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</si>
  <si>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</si>
  <si>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</si>
  <si>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</si>
  <si>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</si>
  <si>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</si>
  <si>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</si>
  <si>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</si>
  <si>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</si>
  <si>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</si>
  <si>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</si>
  <si>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</si>
  <si>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</si>
  <si>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</si>
  <si>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</si>
  <si>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</si>
  <si>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</si>
  <si>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</si>
  <si>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</si>
  <si>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</si>
  <si>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</si>
  <si>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</si>
  <si>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</si>
  <si>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</si>
  <si>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</si>
  <si>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</si>
  <si>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</si>
  <si>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</si>
  <si>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</si>
  <si>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</si>
  <si>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</si>
  <si>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</si>
  <si>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</si>
  <si>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</si>
  <si>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</si>
  <si>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</si>
  <si>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</si>
  <si>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</si>
  <si>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</si>
  <si>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</si>
  <si>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</si>
  <si>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</si>
  <si>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</si>
  <si>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</si>
  <si>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</si>
  <si>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</si>
  <si>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</si>
  <si>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</si>
  <si>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</si>
  <si>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</si>
  <si>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</si>
  <si>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</si>
  <si>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</si>
  <si>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</si>
  <si>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</si>
  <si>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</si>
  <si>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</si>
  <si>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</si>
  <si>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</si>
  <si>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</si>
  <si>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</si>
  <si>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</si>
  <si>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</si>
  <si>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</si>
  <si>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</si>
  <si>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</si>
  <si>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</si>
  <si>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</si>
  <si>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</si>
  <si>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</si>
  <si>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</si>
  <si>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</si>
  <si>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</si>
  <si>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</si>
  <si>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ЗПС 220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</si>
  <si>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</si>
  <si>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</si>
  <si>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</si>
  <si>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</si>
  <si>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</si>
  <si>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</si>
  <si>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</si>
  <si>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</si>
  <si>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</si>
  <si>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</si>
  <si>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</si>
  <si>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</si>
  <si>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</si>
  <si>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</si>
  <si>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</si>
  <si>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</si>
  <si>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</si>
  <si>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</si>
  <si>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</si>
  <si>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</si>
  <si>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</si>
  <si>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</si>
  <si>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</si>
  <si>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</si>
  <si>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</si>
  <si>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</si>
  <si>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</si>
  <si>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</si>
  <si>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</si>
  <si>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</si>
  <si>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</si>
  <si>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</si>
  <si>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</si>
  <si>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</si>
  <si>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</si>
  <si>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</si>
  <si>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</si>
  <si>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</si>
  <si>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</si>
  <si>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</si>
  <si>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</si>
  <si>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</si>
  <si>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</si>
  <si>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</si>
  <si>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</si>
  <si>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</si>
  <si>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</si>
  <si>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</si>
  <si>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</si>
  <si>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</si>
  <si>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</si>
  <si>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</si>
  <si>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</si>
  <si>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</si>
  <si>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</si>
  <si>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</si>
  <si>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</si>
  <si>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</si>
  <si>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</si>
  <si>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</si>
  <si>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</si>
  <si>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</si>
  <si>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</si>
  <si>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</si>
  <si>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</si>
  <si>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220 кВ</t>
  </si>
  <si>
    <t>З2_ЗПС_пер.сигн._220_кВ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</si>
  <si>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</si>
  <si>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</si>
  <si>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</si>
  <si>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</si>
  <si>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</si>
  <si>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</si>
  <si>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</si>
  <si>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</si>
  <si>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</si>
  <si>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</si>
  <si>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</si>
  <si>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</si>
  <si>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</si>
  <si>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</si>
  <si>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</si>
  <si>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</si>
  <si>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</si>
  <si>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</si>
  <si>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</si>
  <si>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</si>
  <si>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</si>
  <si>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</si>
  <si>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</si>
  <si>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</si>
  <si>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</si>
  <si>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</si>
  <si>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</si>
  <si>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</si>
  <si>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</si>
  <si>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</si>
  <si>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</si>
  <si>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</si>
  <si>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</si>
  <si>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</si>
  <si>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</si>
  <si>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</si>
  <si>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</si>
  <si>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</si>
  <si>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</si>
  <si>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</si>
  <si>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</si>
  <si>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</si>
  <si>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</si>
  <si>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</si>
  <si>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</si>
  <si>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</si>
  <si>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</si>
  <si>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</si>
  <si>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</si>
  <si>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</si>
  <si>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</si>
  <si>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</si>
  <si>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</si>
  <si>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</si>
  <si>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</si>
  <si>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</si>
  <si>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</si>
  <si>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Ведущий инженер</t>
  </si>
  <si>
    <r>
      <t>С</t>
    </r>
    <r>
      <rPr>
        <vertAlign val="subscript"/>
        <sz val="12"/>
        <color rgb="FF000000"/>
        <rFont val="Times New Roman"/>
      </rPr>
      <t>1ср</t>
    </r>
  </si>
  <si>
    <r>
      <t>t</t>
    </r>
    <r>
      <rPr>
        <vertAlign val="subscript"/>
        <sz val="12"/>
        <color rgb="FF000000"/>
        <rFont val="Times New Roman"/>
      </rPr>
      <t>ср</t>
    </r>
  </si>
  <si>
    <r>
      <t>К</t>
    </r>
    <r>
      <rPr>
        <vertAlign val="subscript"/>
        <sz val="12"/>
        <color rgb="FF000000"/>
        <rFont val="Times New Roman"/>
      </rPr>
      <t>Т</t>
    </r>
  </si>
  <si>
    <r>
      <t>К</t>
    </r>
    <r>
      <rPr>
        <vertAlign val="subscript"/>
        <sz val="12"/>
        <color rgb="FF000000"/>
        <rFont val="Times New Roman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</si>
  <si>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</si>
  <si>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</si>
  <si>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</si>
  <si>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Инженер III категории</t>
  </si>
  <si>
    <t>Техник I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</si>
</sst>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#,##0.000000"/>
    <numFmt numFmtId="170" formatCode="0.0"/>
  </numFmts>
  <fonts count="19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u/>
      <sz val="12"/>
      <color rgb="FF0000FF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vertAlign val="subscript"/>
      <sz val="12"/>
      <color rgb="FF000000"/>
      <name val="Times New Roman"/>
    </font>
    <font>
      <b/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vertical="top"/>
    </xf>
    <xf numFmtId="0" fontId="0" fillId="0" borderId="5" xfId="0" applyBorder="1"/>
    <xf numFmtId="0" fontId="0" fillId="0" borderId="0" xfId="0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9" fillId="0" borderId="0" xfId="0" applyFont="1"/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4" fontId="12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vertical="center" wrapText="1"/>
    </xf>
    <xf numFmtId="4" fontId="12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250825</xdr:colOff>
      <xdr:row>28</xdr:row>
      <xdr:rowOff>212725</xdr:rowOff>
    </xdr:from>
    <xdr:to>
      <xdr:col>2</xdr:col>
      <xdr:colOff>1195627</xdr:colOff>
      <xdr:row>31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61FB0E-5AE6-427F-AE69-98AF4F6EB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025" y="110140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403225</xdr:colOff>
      <xdr:row>26</xdr:row>
      <xdr:rowOff>6350</xdr:rowOff>
    </xdr:from>
    <xdr:to>
      <xdr:col>2</xdr:col>
      <xdr:colOff>1069844</xdr:colOff>
      <xdr:row>29</xdr:row>
      <xdr:rowOff>3175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B75BA27-1CEA-4122-9EA6-01F274B61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425" y="10407650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508000</xdr:colOff>
      <xdr:row>17</xdr:row>
      <xdr:rowOff>206375</xdr:rowOff>
    </xdr:from>
    <xdr:to>
      <xdr:col>2</xdr:col>
      <xdr:colOff>1452802</xdr:colOff>
      <xdr:row>20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76A7049-DE8E-4E42-9A4B-6813CCA9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4476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660400</xdr:colOff>
      <xdr:row>14</xdr:row>
      <xdr:rowOff>190500</xdr:rowOff>
    </xdr:from>
    <xdr:to>
      <xdr:col>2</xdr:col>
      <xdr:colOff>1327019</xdr:colOff>
      <xdr:row>17</xdr:row>
      <xdr:rowOff>282575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BD47305-7D61-46EF-95DF-FB93A0F5F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3857625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261938</xdr:colOff>
      <xdr:row>71</xdr:row>
      <xdr:rowOff>133070</xdr:rowOff>
    </xdr:from>
    <xdr:to>
      <xdr:col>2</xdr:col>
      <xdr:colOff>1206740</xdr:colOff>
      <xdr:row>74</xdr:row>
      <xdr:rowOff>63371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F00ECA-2C2E-4F0E-97EF-5C543A507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587883"/>
          <a:ext cx="944802" cy="501801"/>
        </a:xfrm>
        <a:prstGeom prst="rect">
          <a:avLst/>
        </a:prstGeom>
      </xdr:spPr>
    </xdr:pic>
    <xdr:clientData/>
  </xdr:twoCellAnchor>
  <xdr:twoCellAnchor editAs="oneCell">
    <xdr:from>
      <xdr:col>2</xdr:col>
      <xdr:colOff>414338</xdr:colOff>
      <xdr:row>68</xdr:row>
      <xdr:rowOff>119063</xdr:rowOff>
    </xdr:from>
    <xdr:to>
      <xdr:col>2</xdr:col>
      <xdr:colOff>1080957</xdr:colOff>
      <xdr:row>72</xdr:row>
      <xdr:rowOff>18770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642A2A7-5E80-4DBD-8924-801F392C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19002376"/>
          <a:ext cx="666619" cy="661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85725</xdr:rowOff>
    </xdr:from>
    <xdr:to>
      <xdr:col>1</xdr:col>
      <xdr:colOff>1725852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AC38D5-4A66-43DF-9422-E3C97473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87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99E8A67-E0A7-4E49-8063-6580ABAE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86</xdr:row>
      <xdr:rowOff>108137</xdr:rowOff>
    </xdr:from>
    <xdr:to>
      <xdr:col>2</xdr:col>
      <xdr:colOff>251158</xdr:colOff>
      <xdr:row>89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27437D1-BC8D-4268-A7C2-AEDF49CA8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23882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963706</xdr:colOff>
      <xdr:row>83</xdr:row>
      <xdr:rowOff>60512</xdr:rowOff>
    </xdr:from>
    <xdr:to>
      <xdr:col>2</xdr:col>
      <xdr:colOff>106325</xdr:colOff>
      <xdr:row>87</xdr:row>
      <xdr:rowOff>11155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6143051-2C73-4076-96F5-FAA0E01E6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6" y="23263412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25</xdr:row>
      <xdr:rowOff>123825</xdr:rowOff>
    </xdr:from>
    <xdr:to>
      <xdr:col>2</xdr:col>
      <xdr:colOff>411402</xdr:colOff>
      <xdr:row>28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2B1735A-9493-4D9C-A9D7-1586664A3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65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22</xdr:row>
      <xdr:rowOff>133350</xdr:rowOff>
    </xdr:from>
    <xdr:to>
      <xdr:col>2</xdr:col>
      <xdr:colOff>285619</xdr:colOff>
      <xdr:row>26</xdr:row>
      <xdr:rowOff>9525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C56D73B-3C49-4D28-96D6-736BE2D00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70389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123825</xdr:rowOff>
    </xdr:from>
    <xdr:to>
      <xdr:col>1</xdr:col>
      <xdr:colOff>801927</xdr:colOff>
      <xdr:row>16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72A533B-8B2E-4F1A-AEFB-381F799AF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861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F3D4EBA-8F17-4AC1-8556-647A00B5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127000</xdr:rowOff>
    </xdr:from>
    <xdr:to>
      <xdr:col>1</xdr:col>
      <xdr:colOff>1754427</xdr:colOff>
      <xdr:row>29</xdr:row>
      <xdr:rowOff>79713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FF915C1-646B-47E0-8ABD-01BC9292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56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962025</xdr:colOff>
      <xdr:row>23</xdr:row>
      <xdr:rowOff>79375</xdr:rowOff>
    </xdr:from>
    <xdr:to>
      <xdr:col>1</xdr:col>
      <xdr:colOff>1628644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6D96181-B855-4E90-867C-924378AD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7" zoomScaleNormal="85" zoomScaleSheetLayoutView="100" workbookViewId="0">
      <selection activeCell="D29" sqref="D29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34" t="s">
        <v>0</v>
      </c>
      <c r="C3" s="134"/>
      <c r="D3" s="134"/>
      <c r="E3" s="57"/>
      <c r="F3" s="57"/>
      <c r="G3" s="57"/>
      <c r="H3" s="57"/>
      <c r="I3" s="57"/>
    </row>
    <row r="4" spans="2:9" x14ac:dyDescent="0.25">
      <c r="B4" s="135" t="s">
        <v>1</v>
      </c>
      <c r="C4" s="135"/>
      <c r="D4" s="135"/>
      <c r="E4" s="57"/>
      <c r="F4" s="57"/>
      <c r="G4" s="57"/>
      <c r="H4" s="57"/>
      <c r="I4" s="57"/>
    </row>
    <row r="5" spans="2:9" ht="66.2" customHeight="1" x14ac:dyDescent="0.25">
      <c r="B5" s="136" t="s">
        <v>2</v>
      </c>
      <c r="C5" s="136"/>
      <c r="D5" s="136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.2" customHeight="1" x14ac:dyDescent="0.25">
      <c r="B7" s="133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ЗПС 220 кВ</v>
      </c>
      <c r="C7" s="133"/>
      <c r="D7" s="133"/>
      <c r="E7" s="66"/>
      <c r="F7" s="57"/>
      <c r="G7" s="57"/>
      <c r="H7" s="57"/>
      <c r="I7" s="57"/>
    </row>
    <row r="8" spans="2:9" ht="15.75" customHeight="1" x14ac:dyDescent="0.25">
      <c r="B8" s="64" t="s">
        <v>3</v>
      </c>
      <c r="C8" s="64"/>
      <c r="D8" s="75"/>
      <c r="E8" s="57"/>
      <c r="F8" s="57"/>
      <c r="G8" s="57"/>
      <c r="H8" s="57"/>
      <c r="I8" s="57"/>
    </row>
    <row r="9" spans="2:9" ht="15.75" customHeight="1" x14ac:dyDescent="0.25">
      <c r="B9" s="133" t="s">
        <v>4</v>
      </c>
      <c r="C9" s="133"/>
      <c r="D9" s="133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5</v>
      </c>
      <c r="C11" s="36" t="s">
        <v>6</v>
      </c>
      <c r="D11" s="36" t="s">
        <v>7</v>
      </c>
      <c r="E11" s="66"/>
      <c r="F11" s="57"/>
      <c r="G11" s="57"/>
      <c r="H11" s="57"/>
      <c r="I11" s="57"/>
    </row>
    <row r="12" spans="2:9" ht="31.7" customHeight="1" x14ac:dyDescent="0.25">
      <c r="B12" s="36">
        <v>1</v>
      </c>
      <c r="C12" s="67" t="s">
        <v>8</v>
      </c>
      <c r="D12" s="97" t="s">
        <v>9</v>
      </c>
      <c r="E12" s="57"/>
      <c r="F12" s="57"/>
      <c r="G12" s="57"/>
      <c r="H12" s="57"/>
      <c r="I12" s="57"/>
    </row>
    <row r="13" spans="2:9" ht="31.7" customHeight="1" x14ac:dyDescent="0.25">
      <c r="B13" s="36">
        <v>2</v>
      </c>
      <c r="C13" s="67" t="s">
        <v>10</v>
      </c>
      <c r="D13" s="97" t="s">
        <v>11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12</v>
      </c>
      <c r="D14" s="97" t="s">
        <v>13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14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15</v>
      </c>
      <c r="D16" s="36" t="s">
        <v>16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17</v>
      </c>
      <c r="D17" s="68">
        <f>D18+D19</f>
        <v>1532.2946894000002</v>
      </c>
      <c r="E17" s="69"/>
      <c r="F17" s="57"/>
      <c r="G17" s="57"/>
      <c r="H17" s="57"/>
      <c r="I17" s="57"/>
    </row>
    <row r="18" spans="2:9" x14ac:dyDescent="0.25">
      <c r="B18" s="70" t="s">
        <v>18</v>
      </c>
      <c r="C18" s="67" t="s">
        <v>19</v>
      </c>
      <c r="D18" s="68">
        <f>'Прил.2 Расч стоим'!F12</f>
        <v>492.72720139999996</v>
      </c>
      <c r="E18" s="57"/>
      <c r="F18" s="57"/>
      <c r="G18" s="57"/>
      <c r="H18" s="57"/>
      <c r="I18" s="57"/>
    </row>
    <row r="19" spans="2:9" x14ac:dyDescent="0.25">
      <c r="B19" s="70" t="s">
        <v>20</v>
      </c>
      <c r="C19" s="67" t="s">
        <v>21</v>
      </c>
      <c r="D19" s="68">
        <f>'Прил.2 Расч стоим'!H14</f>
        <v>1039.5674880000001</v>
      </c>
      <c r="E19" s="57"/>
      <c r="F19" s="57"/>
      <c r="G19" s="57"/>
      <c r="H19" s="57"/>
      <c r="I19" s="57"/>
    </row>
    <row r="20" spans="2:9" x14ac:dyDescent="0.25">
      <c r="B20" s="70" t="s">
        <v>22</v>
      </c>
      <c r="C20" s="67" t="s">
        <v>23</v>
      </c>
      <c r="D20" s="68"/>
      <c r="E20" s="57"/>
      <c r="F20" s="57"/>
      <c r="G20" s="57"/>
      <c r="H20" s="57"/>
      <c r="I20" s="57"/>
    </row>
    <row r="21" spans="2:9" x14ac:dyDescent="0.25">
      <c r="B21" s="70" t="s">
        <v>24</v>
      </c>
      <c r="C21" s="71" t="s">
        <v>25</v>
      </c>
      <c r="D21" s="6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26</v>
      </c>
      <c r="D22" s="36" t="s">
        <v>27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28</v>
      </c>
      <c r="D23" s="68">
        <f>D17</f>
        <v>1532.2946894000002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29</v>
      </c>
      <c r="D24" s="68">
        <f>D23/D15</f>
        <v>1532.2946894000002</v>
      </c>
      <c r="E24" s="69"/>
      <c r="F24" s="57"/>
      <c r="G24" s="57"/>
      <c r="H24" s="57"/>
      <c r="I24" s="57"/>
    </row>
    <row r="25" spans="2:9" x14ac:dyDescent="0.25">
      <c r="B25" s="36">
        <v>10</v>
      </c>
      <c r="C25" s="67" t="s">
        <v>30</v>
      </c>
      <c r="D25" s="67"/>
      <c r="E25" s="57"/>
      <c r="F25" s="57"/>
      <c r="G25" s="57"/>
      <c r="H25" s="57"/>
      <c r="I25" s="57"/>
    </row>
    <row r="26" spans="2:9" x14ac:dyDescent="0.25">
      <c r="B26" s="73"/>
      <c r="C26" s="74"/>
      <c r="D26" s="74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31</v>
      </c>
      <c r="E28" s="57"/>
      <c r="F28" s="57"/>
      <c r="G28" s="57"/>
      <c r="H28" s="57"/>
      <c r="I28" s="57"/>
    </row>
    <row r="29" spans="2:9" ht="22.7" customHeight="1" x14ac:dyDescent="0.25">
      <c r="B29" s="82" t="s">
        <v>32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33</v>
      </c>
      <c r="E31" s="57"/>
      <c r="F31" s="57"/>
      <c r="G31" s="57"/>
      <c r="H31" s="57"/>
      <c r="I31" s="57"/>
    </row>
    <row r="32" spans="2:9" ht="22.7" customHeight="1" x14ac:dyDescent="0.25">
      <c r="B32" s="82" t="s">
        <v>34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60" zoomScaleNormal="100" workbookViewId="0">
      <selection activeCell="G18" sqref="G18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15.75" customHeight="1" x14ac:dyDescent="0.25">
      <c r="A3" s="57"/>
      <c r="B3" s="134" t="s">
        <v>35</v>
      </c>
      <c r="C3" s="134"/>
      <c r="D3" s="134"/>
      <c r="E3" s="134"/>
      <c r="F3" s="134"/>
      <c r="G3" s="134"/>
      <c r="H3" s="134"/>
      <c r="I3" s="134"/>
      <c r="J3" s="134"/>
    </row>
    <row r="4" spans="1:10" ht="15.75" customHeight="1" x14ac:dyDescent="0.25">
      <c r="A4" s="57"/>
      <c r="B4" s="135" t="s">
        <v>36</v>
      </c>
      <c r="C4" s="135"/>
      <c r="D4" s="135"/>
      <c r="E4" s="135"/>
      <c r="F4" s="135"/>
      <c r="G4" s="135"/>
      <c r="H4" s="135"/>
      <c r="I4" s="135"/>
      <c r="J4" s="135"/>
    </row>
    <row r="5" spans="1:10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0" ht="15.75" customHeight="1" x14ac:dyDescent="0.25">
      <c r="A6" s="57"/>
      <c r="B6" s="139" t="str">
        <f>'Прил.1 Сравнит табл'!B7</f>
        <v>Наименование разрабатываемого показателя УНЦ - Постоянная часть ПС, система периметральной сигнализации ЗПС 220 кВ</v>
      </c>
      <c r="C6" s="139"/>
      <c r="D6" s="139"/>
      <c r="E6" s="139"/>
      <c r="F6" s="139"/>
      <c r="G6" s="139"/>
      <c r="H6" s="139"/>
      <c r="I6" s="139"/>
      <c r="J6" s="139"/>
    </row>
    <row r="7" spans="1:10" ht="15.75" customHeight="1" x14ac:dyDescent="0.25">
      <c r="A7" s="57"/>
      <c r="B7" s="133" t="str">
        <f>'Прил.1 Сравнит табл'!B9</f>
        <v>Единица измерения  — 1 ПС</v>
      </c>
      <c r="C7" s="133"/>
      <c r="D7" s="133"/>
      <c r="E7" s="133"/>
      <c r="F7" s="133"/>
      <c r="G7" s="133"/>
      <c r="H7" s="133"/>
      <c r="I7" s="133"/>
      <c r="J7" s="133"/>
    </row>
    <row r="8" spans="1:10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0" ht="15.75" customHeight="1" x14ac:dyDescent="0.25">
      <c r="A9" s="57"/>
      <c r="B9" s="140" t="s">
        <v>5</v>
      </c>
      <c r="C9" s="140" t="s">
        <v>37</v>
      </c>
      <c r="D9" s="140" t="s">
        <v>38</v>
      </c>
      <c r="E9" s="140"/>
      <c r="F9" s="140"/>
      <c r="G9" s="140"/>
      <c r="H9" s="140"/>
      <c r="I9" s="140"/>
      <c r="J9" s="140"/>
    </row>
    <row r="10" spans="1:10" ht="15.75" customHeight="1" x14ac:dyDescent="0.25">
      <c r="A10" s="57"/>
      <c r="B10" s="140"/>
      <c r="C10" s="140"/>
      <c r="D10" s="140" t="s">
        <v>39</v>
      </c>
      <c r="E10" s="140" t="s">
        <v>40</v>
      </c>
      <c r="F10" s="140" t="s">
        <v>41</v>
      </c>
      <c r="G10" s="140"/>
      <c r="H10" s="140"/>
      <c r="I10" s="140"/>
      <c r="J10" s="140"/>
    </row>
    <row r="11" spans="1:10" ht="31.7" customHeight="1" x14ac:dyDescent="0.25">
      <c r="A11" s="57"/>
      <c r="B11" s="140"/>
      <c r="C11" s="140"/>
      <c r="D11" s="140"/>
      <c r="E11" s="140"/>
      <c r="F11" s="36" t="s">
        <v>42</v>
      </c>
      <c r="G11" s="36" t="s">
        <v>43</v>
      </c>
      <c r="H11" s="36" t="s">
        <v>44</v>
      </c>
      <c r="I11" s="36" t="s">
        <v>45</v>
      </c>
      <c r="J11" s="36" t="s">
        <v>46</v>
      </c>
    </row>
    <row r="12" spans="1:10" ht="63.75" customHeight="1" x14ac:dyDescent="0.25">
      <c r="A12" s="57"/>
      <c r="B12" s="124"/>
      <c r="C12" s="125" t="s">
        <v>47</v>
      </c>
      <c r="D12" s="126"/>
      <c r="E12" s="36"/>
      <c r="F12" s="141">
        <f>(Прил.3!H12+Прил.3!H20+Прил.3!H22+Прил.3!H41)*8.42/1000</f>
        <v>492.72720139999996</v>
      </c>
      <c r="G12" s="142"/>
      <c r="H12" s="127">
        <f>Прил.3!H29*4.28/1000</f>
        <v>1039.5674880000001</v>
      </c>
      <c r="I12" s="128"/>
      <c r="J12" s="129">
        <f>F12+H12</f>
        <v>1532.2946894000002</v>
      </c>
    </row>
    <row r="13" spans="1:10" ht="15" customHeight="1" x14ac:dyDescent="0.25">
      <c r="A13" s="57"/>
      <c r="B13" s="143" t="s">
        <v>48</v>
      </c>
      <c r="C13" s="143"/>
      <c r="D13" s="143"/>
      <c r="E13" s="143"/>
      <c r="F13" s="130"/>
      <c r="G13" s="130"/>
      <c r="H13" s="130"/>
      <c r="I13" s="131"/>
      <c r="J13" s="132"/>
    </row>
    <row r="14" spans="1:10" ht="15.75" customHeight="1" x14ac:dyDescent="0.25">
      <c r="A14" s="57"/>
      <c r="B14" s="143" t="s">
        <v>49</v>
      </c>
      <c r="C14" s="143"/>
      <c r="D14" s="143"/>
      <c r="E14" s="143"/>
      <c r="F14" s="137">
        <f>F12</f>
        <v>492.72720139999996</v>
      </c>
      <c r="G14" s="138"/>
      <c r="H14" s="130">
        <f>H12</f>
        <v>1039.5674880000001</v>
      </c>
      <c r="I14" s="131"/>
      <c r="J14" s="132">
        <f>J12</f>
        <v>1532.2946894000002</v>
      </c>
    </row>
    <row r="15" spans="1:10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31</v>
      </c>
      <c r="C17" s="57"/>
      <c r="D17" s="57"/>
    </row>
    <row r="18" spans="2:4" ht="22.7" customHeight="1" x14ac:dyDescent="0.25">
      <c r="B18" s="82" t="s">
        <v>32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33</v>
      </c>
      <c r="C20" s="57"/>
      <c r="D20" s="57"/>
    </row>
    <row r="21" spans="2:4" ht="22.7" customHeight="1" x14ac:dyDescent="0.25">
      <c r="B21" s="82" t="s">
        <v>34</v>
      </c>
      <c r="C21" s="57"/>
      <c r="D21" s="57"/>
    </row>
  </sheetData>
  <mergeCells count="14">
    <mergeCell ref="F14:G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B13:E13"/>
    <mergeCell ref="B14:E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75"/>
  <sheetViews>
    <sheetView view="pageBreakPreview" topLeftCell="A55" zoomScale="70" zoomScaleSheetLayoutView="70" workbookViewId="0">
      <selection activeCell="G178" sqref="G177:G178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2" spans="1:8" s="104" customFormat="1" x14ac:dyDescent="0.25">
      <c r="A2" s="109"/>
      <c r="B2" s="109"/>
      <c r="C2" s="109"/>
      <c r="D2" s="109"/>
      <c r="E2" s="109"/>
      <c r="F2" s="109"/>
      <c r="G2" s="109"/>
      <c r="H2" s="109"/>
    </row>
    <row r="3" spans="1:8" s="104" customFormat="1" x14ac:dyDescent="0.25">
      <c r="A3" s="109"/>
      <c r="B3" s="109"/>
      <c r="C3" s="109"/>
      <c r="D3" s="109"/>
      <c r="E3" s="109"/>
      <c r="F3" s="109"/>
      <c r="G3" s="109"/>
      <c r="H3" s="109"/>
    </row>
    <row r="4" spans="1:8" x14ac:dyDescent="0.25">
      <c r="A4" s="134" t="s">
        <v>50</v>
      </c>
      <c r="B4" s="134"/>
      <c r="C4" s="134"/>
      <c r="D4" s="134"/>
      <c r="E4" s="134"/>
      <c r="F4" s="134"/>
      <c r="G4" s="134"/>
      <c r="H4" s="134"/>
    </row>
    <row r="5" spans="1:8" x14ac:dyDescent="0.25">
      <c r="A5" s="135" t="s">
        <v>51</v>
      </c>
      <c r="B5" s="135"/>
      <c r="C5" s="135"/>
      <c r="D5" s="135"/>
      <c r="E5" s="135"/>
      <c r="F5" s="135"/>
      <c r="G5" s="135"/>
      <c r="H5" s="135"/>
    </row>
    <row r="6" spans="1:8" ht="18.75" customHeight="1" x14ac:dyDescent="0.25">
      <c r="A6" s="63"/>
    </row>
    <row r="7" spans="1:8" x14ac:dyDescent="0.25">
      <c r="A7" s="139" t="str">
        <f>'Прил.1 Сравнит табл'!B7</f>
        <v>Наименование разрабатываемого показателя УНЦ - Постоянная часть ПС, система периметральной сигнализации ЗПС 220 кВ</v>
      </c>
      <c r="B7" s="139"/>
      <c r="C7" s="139"/>
      <c r="D7" s="139"/>
      <c r="E7" s="139"/>
      <c r="F7" s="139"/>
      <c r="G7" s="139"/>
      <c r="H7" s="139"/>
    </row>
    <row r="8" spans="1:8" x14ac:dyDescent="0.25">
      <c r="A8" s="75"/>
      <c r="B8" s="75"/>
      <c r="C8" s="75"/>
      <c r="D8" s="75"/>
      <c r="E8" s="75"/>
      <c r="F8" s="75"/>
      <c r="G8" s="75"/>
      <c r="H8" s="75"/>
    </row>
    <row r="9" spans="1:8" ht="15.75" customHeight="1" x14ac:dyDescent="0.25">
      <c r="A9" s="140" t="s">
        <v>52</v>
      </c>
      <c r="B9" s="140" t="s">
        <v>53</v>
      </c>
      <c r="C9" s="140" t="s">
        <v>54</v>
      </c>
      <c r="D9" s="140" t="s">
        <v>55</v>
      </c>
      <c r="E9" s="140" t="s">
        <v>56</v>
      </c>
      <c r="F9" s="140" t="s">
        <v>57</v>
      </c>
      <c r="G9" s="140" t="s">
        <v>58</v>
      </c>
      <c r="H9" s="140"/>
    </row>
    <row r="10" spans="1:8" x14ac:dyDescent="0.25">
      <c r="A10" s="140"/>
      <c r="B10" s="140"/>
      <c r="C10" s="140"/>
      <c r="D10" s="140"/>
      <c r="E10" s="140"/>
      <c r="F10" s="140"/>
      <c r="G10" s="36" t="s">
        <v>59</v>
      </c>
      <c r="H10" s="36" t="s">
        <v>60</v>
      </c>
    </row>
    <row r="11" spans="1:8" x14ac:dyDescent="0.25">
      <c r="A11" s="76">
        <v>1</v>
      </c>
      <c r="B11" s="76"/>
      <c r="C11" s="76">
        <v>2</v>
      </c>
      <c r="D11" s="76" t="s">
        <v>61</v>
      </c>
      <c r="E11" s="76">
        <v>4</v>
      </c>
      <c r="F11" s="76">
        <v>5</v>
      </c>
      <c r="G11" s="76">
        <v>6</v>
      </c>
      <c r="H11" s="76">
        <v>7</v>
      </c>
    </row>
    <row r="12" spans="1:8" x14ac:dyDescent="0.25">
      <c r="A12" s="144" t="s">
        <v>62</v>
      </c>
      <c r="B12" s="145"/>
      <c r="C12" s="146"/>
      <c r="D12" s="146"/>
      <c r="E12" s="145"/>
      <c r="F12" s="77">
        <f>SUM(F13:F19)</f>
        <v>475.60553231549</v>
      </c>
      <c r="G12" s="77"/>
      <c r="H12" s="77">
        <f>SUM(H13:H19)</f>
        <v>4641.8900000000003</v>
      </c>
    </row>
    <row r="13" spans="1:8" x14ac:dyDescent="0.25">
      <c r="A13" s="78">
        <v>1</v>
      </c>
      <c r="B13" s="88"/>
      <c r="C13" s="79" t="s">
        <v>63</v>
      </c>
      <c r="D13" s="80" t="s">
        <v>64</v>
      </c>
      <c r="E13" s="78" t="s">
        <v>65</v>
      </c>
      <c r="F13" s="78">
        <v>309.74020795039002</v>
      </c>
      <c r="G13" s="81">
        <v>9.4</v>
      </c>
      <c r="H13" s="81">
        <f t="shared" ref="H13:H19" si="0">ROUND(F13*G13,2)</f>
        <v>2911.56</v>
      </c>
    </row>
    <row r="14" spans="1:8" ht="15" customHeight="1" x14ac:dyDescent="0.25">
      <c r="A14" s="78">
        <v>2</v>
      </c>
      <c r="B14" s="87"/>
      <c r="C14" s="79" t="s">
        <v>66</v>
      </c>
      <c r="D14" s="80" t="s">
        <v>67</v>
      </c>
      <c r="E14" s="78" t="s">
        <v>65</v>
      </c>
      <c r="F14" s="78">
        <v>115.29786149136</v>
      </c>
      <c r="G14" s="81">
        <v>9.6199999999999992</v>
      </c>
      <c r="H14" s="81">
        <f t="shared" si="0"/>
        <v>1109.17</v>
      </c>
    </row>
    <row r="15" spans="1:8" x14ac:dyDescent="0.25">
      <c r="A15" s="78">
        <v>3</v>
      </c>
      <c r="B15" s="87"/>
      <c r="C15" s="79" t="s">
        <v>68</v>
      </c>
      <c r="D15" s="80" t="s">
        <v>69</v>
      </c>
      <c r="E15" s="78" t="s">
        <v>65</v>
      </c>
      <c r="F15" s="78">
        <v>19.194767299851001</v>
      </c>
      <c r="G15" s="81">
        <v>9.76</v>
      </c>
      <c r="H15" s="81">
        <f t="shared" si="0"/>
        <v>187.34</v>
      </c>
    </row>
    <row r="16" spans="1:8" x14ac:dyDescent="0.25">
      <c r="A16" s="78">
        <v>4</v>
      </c>
      <c r="B16" s="87"/>
      <c r="C16" s="79" t="s">
        <v>70</v>
      </c>
      <c r="D16" s="80" t="s">
        <v>71</v>
      </c>
      <c r="E16" s="78" t="s">
        <v>65</v>
      </c>
      <c r="F16" s="78">
        <v>2.9123373786179001</v>
      </c>
      <c r="G16" s="81">
        <v>8.64</v>
      </c>
      <c r="H16" s="81">
        <f t="shared" si="0"/>
        <v>25.16</v>
      </c>
    </row>
    <row r="17" spans="1:8" x14ac:dyDescent="0.25">
      <c r="A17" s="78">
        <v>5</v>
      </c>
      <c r="B17" s="87"/>
      <c r="C17" s="79" t="s">
        <v>72</v>
      </c>
      <c r="D17" s="80" t="s">
        <v>73</v>
      </c>
      <c r="E17" s="78" t="s">
        <v>65</v>
      </c>
      <c r="F17" s="78">
        <v>2.0802409847271002</v>
      </c>
      <c r="G17" s="81">
        <v>8.86</v>
      </c>
      <c r="H17" s="81">
        <f t="shared" si="0"/>
        <v>18.43</v>
      </c>
    </row>
    <row r="18" spans="1:8" x14ac:dyDescent="0.25">
      <c r="A18" s="78">
        <v>6</v>
      </c>
      <c r="B18" s="87"/>
      <c r="C18" s="79" t="s">
        <v>74</v>
      </c>
      <c r="D18" s="80" t="s">
        <v>75</v>
      </c>
      <c r="E18" s="78" t="s">
        <v>65</v>
      </c>
      <c r="F18" s="78">
        <v>13.233509714939</v>
      </c>
      <c r="G18" s="81">
        <v>15.49</v>
      </c>
      <c r="H18" s="81">
        <f t="shared" si="0"/>
        <v>204.99</v>
      </c>
    </row>
    <row r="19" spans="1:8" x14ac:dyDescent="0.25">
      <c r="A19" s="78">
        <v>7</v>
      </c>
      <c r="B19" s="87"/>
      <c r="C19" s="79" t="s">
        <v>76</v>
      </c>
      <c r="D19" s="80" t="s">
        <v>77</v>
      </c>
      <c r="E19" s="78" t="s">
        <v>65</v>
      </c>
      <c r="F19" s="78">
        <v>13.146607495614999</v>
      </c>
      <c r="G19" s="81">
        <v>14.09</v>
      </c>
      <c r="H19" s="81">
        <f t="shared" si="0"/>
        <v>185.24</v>
      </c>
    </row>
    <row r="20" spans="1:8" x14ac:dyDescent="0.25">
      <c r="A20" s="144" t="s">
        <v>78</v>
      </c>
      <c r="B20" s="145"/>
      <c r="C20" s="146"/>
      <c r="D20" s="146"/>
      <c r="E20" s="145"/>
      <c r="F20" s="99">
        <f>F21</f>
        <v>12.798421917808</v>
      </c>
      <c r="G20" s="77"/>
      <c r="H20" s="77">
        <f>H21</f>
        <v>389.93</v>
      </c>
    </row>
    <row r="21" spans="1:8" x14ac:dyDescent="0.25">
      <c r="A21" s="78">
        <v>8</v>
      </c>
      <c r="B21" s="87"/>
      <c r="C21" s="86">
        <v>2</v>
      </c>
      <c r="D21" s="80" t="s">
        <v>78</v>
      </c>
      <c r="E21" s="78" t="s">
        <v>65</v>
      </c>
      <c r="F21" s="78">
        <v>12.798421917808</v>
      </c>
      <c r="G21" s="81"/>
      <c r="H21" s="81">
        <v>389.93</v>
      </c>
    </row>
    <row r="22" spans="1:8" x14ac:dyDescent="0.25">
      <c r="A22" s="144" t="s">
        <v>79</v>
      </c>
      <c r="B22" s="145"/>
      <c r="C22" s="146"/>
      <c r="D22" s="146"/>
      <c r="E22" s="145"/>
      <c r="F22" s="99"/>
      <c r="G22" s="77"/>
      <c r="H22" s="77">
        <f>SUM(H23:H28)</f>
        <v>1458.7</v>
      </c>
    </row>
    <row r="23" spans="1:8" ht="31.7" customHeight="1" x14ac:dyDescent="0.25">
      <c r="A23" s="78">
        <v>9</v>
      </c>
      <c r="B23" s="87"/>
      <c r="C23" s="80" t="s">
        <v>80</v>
      </c>
      <c r="D23" s="80" t="s">
        <v>81</v>
      </c>
      <c r="E23" s="78" t="s">
        <v>82</v>
      </c>
      <c r="F23" s="78">
        <v>6.2988882917974998</v>
      </c>
      <c r="G23" s="81">
        <v>115.4</v>
      </c>
      <c r="H23" s="81">
        <f t="shared" ref="H23:H28" si="1">ROUND(F23*G23,2)</f>
        <v>726.89</v>
      </c>
    </row>
    <row r="24" spans="1:8" x14ac:dyDescent="0.25">
      <c r="A24" s="78">
        <v>10</v>
      </c>
      <c r="B24" s="87"/>
      <c r="C24" s="80" t="s">
        <v>83</v>
      </c>
      <c r="D24" s="80" t="s">
        <v>84</v>
      </c>
      <c r="E24" s="78" t="s">
        <v>82</v>
      </c>
      <c r="F24" s="78">
        <v>6.3232263926575998</v>
      </c>
      <c r="G24" s="81">
        <v>65.709999999999994</v>
      </c>
      <c r="H24" s="81">
        <f t="shared" si="1"/>
        <v>415.5</v>
      </c>
    </row>
    <row r="25" spans="1:8" ht="31.7" customHeight="1" x14ac:dyDescent="0.25">
      <c r="A25" s="78">
        <v>11</v>
      </c>
      <c r="B25" s="87"/>
      <c r="C25" s="80" t="s">
        <v>85</v>
      </c>
      <c r="D25" s="80" t="s">
        <v>86</v>
      </c>
      <c r="E25" s="78" t="s">
        <v>82</v>
      </c>
      <c r="F25" s="78">
        <v>75.403660303864001</v>
      </c>
      <c r="G25" s="81">
        <v>3.28</v>
      </c>
      <c r="H25" s="81">
        <f t="shared" si="1"/>
        <v>247.32</v>
      </c>
    </row>
    <row r="26" spans="1:8" ht="31.7" customHeight="1" x14ac:dyDescent="0.25">
      <c r="A26" s="78">
        <v>12</v>
      </c>
      <c r="B26" s="87"/>
      <c r="C26" s="80" t="s">
        <v>87</v>
      </c>
      <c r="D26" s="80" t="s">
        <v>88</v>
      </c>
      <c r="E26" s="78" t="s">
        <v>82</v>
      </c>
      <c r="F26" s="78">
        <v>75.436237125904995</v>
      </c>
      <c r="G26" s="81">
        <v>0.9</v>
      </c>
      <c r="H26" s="81">
        <f t="shared" si="1"/>
        <v>67.89</v>
      </c>
    </row>
    <row r="27" spans="1:8" ht="31.7" customHeight="1" x14ac:dyDescent="0.25">
      <c r="A27" s="78">
        <v>13</v>
      </c>
      <c r="B27" s="87"/>
      <c r="C27" s="80" t="s">
        <v>89</v>
      </c>
      <c r="D27" s="80" t="s">
        <v>90</v>
      </c>
      <c r="E27" s="78" t="s">
        <v>82</v>
      </c>
      <c r="F27" s="78">
        <v>8.0395417661580995E-2</v>
      </c>
      <c r="G27" s="81">
        <v>8.1</v>
      </c>
      <c r="H27" s="81">
        <f t="shared" si="1"/>
        <v>0.65</v>
      </c>
    </row>
    <row r="28" spans="1:8" x14ac:dyDescent="0.25">
      <c r="A28" s="78">
        <v>14</v>
      </c>
      <c r="B28" s="87"/>
      <c r="C28" s="80" t="s">
        <v>91</v>
      </c>
      <c r="D28" s="80" t="s">
        <v>92</v>
      </c>
      <c r="E28" s="78" t="s">
        <v>82</v>
      </c>
      <c r="F28" s="78">
        <v>0.18921193232851999</v>
      </c>
      <c r="G28" s="81">
        <v>2.36</v>
      </c>
      <c r="H28" s="81">
        <f t="shared" si="1"/>
        <v>0.45</v>
      </c>
    </row>
    <row r="29" spans="1:8" x14ac:dyDescent="0.25">
      <c r="A29" s="144" t="s">
        <v>44</v>
      </c>
      <c r="B29" s="145"/>
      <c r="C29" s="146"/>
      <c r="D29" s="146"/>
      <c r="E29" s="145"/>
      <c r="F29" s="99"/>
      <c r="G29" s="77"/>
      <c r="H29" s="77">
        <f>SUM(H30:H40)</f>
        <v>242889.60000000001</v>
      </c>
    </row>
    <row r="30" spans="1:8" x14ac:dyDescent="0.25">
      <c r="A30" s="78">
        <v>15</v>
      </c>
      <c r="B30" s="87"/>
      <c r="C30" s="80" t="s">
        <v>93</v>
      </c>
      <c r="D30" s="80" t="s">
        <v>94</v>
      </c>
      <c r="E30" s="78" t="s">
        <v>95</v>
      </c>
      <c r="F30" s="102">
        <v>2.4384050639076</v>
      </c>
      <c r="G30" s="81">
        <v>34762.120000000003</v>
      </c>
      <c r="H30" s="81">
        <f t="shared" ref="H30:H40" si="2">ROUND(F30*G30,2)</f>
        <v>84764.13</v>
      </c>
    </row>
    <row r="31" spans="1:8" ht="31.7" customHeight="1" x14ac:dyDescent="0.25">
      <c r="A31" s="78">
        <v>16</v>
      </c>
      <c r="B31" s="87"/>
      <c r="C31" s="80" t="s">
        <v>93</v>
      </c>
      <c r="D31" s="80" t="s">
        <v>96</v>
      </c>
      <c r="E31" s="78" t="s">
        <v>95</v>
      </c>
      <c r="F31" s="102">
        <v>0.40640076716741003</v>
      </c>
      <c r="G31" s="81">
        <v>94533.14</v>
      </c>
      <c r="H31" s="81">
        <f t="shared" si="2"/>
        <v>38418.339999999997</v>
      </c>
    </row>
    <row r="32" spans="1:8" x14ac:dyDescent="0.25">
      <c r="A32" s="78">
        <v>17</v>
      </c>
      <c r="B32" s="87"/>
      <c r="C32" s="80" t="s">
        <v>93</v>
      </c>
      <c r="D32" s="80" t="s">
        <v>97</v>
      </c>
      <c r="E32" s="78" t="s">
        <v>95</v>
      </c>
      <c r="F32" s="102">
        <v>0.81280160603644003</v>
      </c>
      <c r="G32" s="81">
        <v>46328.83</v>
      </c>
      <c r="H32" s="81">
        <f t="shared" si="2"/>
        <v>37656.15</v>
      </c>
    </row>
    <row r="33" spans="1:8" x14ac:dyDescent="0.25">
      <c r="A33" s="78">
        <v>18</v>
      </c>
      <c r="B33" s="87"/>
      <c r="C33" s="80" t="s">
        <v>93</v>
      </c>
      <c r="D33" s="80" t="s">
        <v>98</v>
      </c>
      <c r="E33" s="78" t="s">
        <v>95</v>
      </c>
      <c r="F33" s="102">
        <v>0.40640076716741003</v>
      </c>
      <c r="G33" s="81">
        <v>65606.13</v>
      </c>
      <c r="H33" s="81">
        <f t="shared" si="2"/>
        <v>26662.38</v>
      </c>
    </row>
    <row r="34" spans="1:8" ht="31.7" customHeight="1" x14ac:dyDescent="0.25">
      <c r="A34" s="78">
        <v>19</v>
      </c>
      <c r="B34" s="87"/>
      <c r="C34" s="80" t="s">
        <v>93</v>
      </c>
      <c r="D34" s="80" t="s">
        <v>99</v>
      </c>
      <c r="E34" s="78" t="s">
        <v>95</v>
      </c>
      <c r="F34" s="102">
        <v>0.40640076716741003</v>
      </c>
      <c r="G34" s="81">
        <v>63581.05</v>
      </c>
      <c r="H34" s="81">
        <f t="shared" si="2"/>
        <v>25839.39</v>
      </c>
    </row>
    <row r="35" spans="1:8" x14ac:dyDescent="0.25">
      <c r="A35" s="78">
        <v>20</v>
      </c>
      <c r="B35" s="87"/>
      <c r="C35" s="80" t="s">
        <v>93</v>
      </c>
      <c r="D35" s="80" t="s">
        <v>100</v>
      </c>
      <c r="E35" s="78" t="s">
        <v>95</v>
      </c>
      <c r="F35" s="102">
        <v>0.81280160603644003</v>
      </c>
      <c r="G35" s="81">
        <v>10744.21</v>
      </c>
      <c r="H35" s="81">
        <f t="shared" si="2"/>
        <v>8732.91</v>
      </c>
    </row>
    <row r="36" spans="1:8" ht="31.7" customHeight="1" x14ac:dyDescent="0.25">
      <c r="A36" s="78">
        <v>21</v>
      </c>
      <c r="B36" s="87"/>
      <c r="C36" s="80" t="s">
        <v>93</v>
      </c>
      <c r="D36" s="80" t="s">
        <v>101</v>
      </c>
      <c r="E36" s="78" t="s">
        <v>95</v>
      </c>
      <c r="F36" s="102">
        <v>0.81280160603644003</v>
      </c>
      <c r="G36" s="81">
        <v>10704.61</v>
      </c>
      <c r="H36" s="81">
        <f t="shared" si="2"/>
        <v>8700.7199999999993</v>
      </c>
    </row>
    <row r="37" spans="1:8" x14ac:dyDescent="0.25">
      <c r="A37" s="78">
        <v>22</v>
      </c>
      <c r="B37" s="87"/>
      <c r="C37" s="80" t="s">
        <v>93</v>
      </c>
      <c r="D37" s="80" t="s">
        <v>102</v>
      </c>
      <c r="E37" s="78" t="s">
        <v>95</v>
      </c>
      <c r="F37" s="102">
        <v>3.2511982955594001</v>
      </c>
      <c r="G37" s="81">
        <v>1636.18</v>
      </c>
      <c r="H37" s="81">
        <f t="shared" si="2"/>
        <v>5319.55</v>
      </c>
    </row>
    <row r="38" spans="1:8" ht="31.7" customHeight="1" x14ac:dyDescent="0.25">
      <c r="A38" s="78">
        <v>23</v>
      </c>
      <c r="B38" s="87"/>
      <c r="C38" s="80" t="s">
        <v>93</v>
      </c>
      <c r="D38" s="80" t="s">
        <v>103</v>
      </c>
      <c r="E38" s="78" t="s">
        <v>95</v>
      </c>
      <c r="F38" s="102">
        <v>0.40640076716741003</v>
      </c>
      <c r="G38" s="81">
        <v>7736.38</v>
      </c>
      <c r="H38" s="81">
        <f t="shared" si="2"/>
        <v>3144.07</v>
      </c>
    </row>
    <row r="39" spans="1:8" x14ac:dyDescent="0.25">
      <c r="A39" s="78">
        <v>24</v>
      </c>
      <c r="B39" s="87"/>
      <c r="C39" s="80" t="s">
        <v>93</v>
      </c>
      <c r="D39" s="80" t="s">
        <v>104</v>
      </c>
      <c r="E39" s="78" t="s">
        <v>95</v>
      </c>
      <c r="F39" s="102">
        <v>0.81280160603644003</v>
      </c>
      <c r="G39" s="81">
        <v>2635.12</v>
      </c>
      <c r="H39" s="81">
        <f t="shared" si="2"/>
        <v>2141.83</v>
      </c>
    </row>
    <row r="40" spans="1:8" x14ac:dyDescent="0.25">
      <c r="A40" s="78">
        <v>25</v>
      </c>
      <c r="B40" s="87"/>
      <c r="C40" s="80" t="s">
        <v>93</v>
      </c>
      <c r="D40" s="80" t="s">
        <v>105</v>
      </c>
      <c r="E40" s="78" t="s">
        <v>95</v>
      </c>
      <c r="F40" s="102">
        <v>0.81280160603644003</v>
      </c>
      <c r="G40" s="81">
        <v>1857.93</v>
      </c>
      <c r="H40" s="81">
        <f t="shared" si="2"/>
        <v>1510.13</v>
      </c>
    </row>
    <row r="41" spans="1:8" x14ac:dyDescent="0.25">
      <c r="A41" s="144" t="s">
        <v>106</v>
      </c>
      <c r="B41" s="145"/>
      <c r="C41" s="146"/>
      <c r="D41" s="146"/>
      <c r="E41" s="145"/>
      <c r="F41" s="99"/>
      <c r="G41" s="77"/>
      <c r="H41" s="77">
        <f>SUM(H42:H68)</f>
        <v>52028.15</v>
      </c>
    </row>
    <row r="42" spans="1:8" ht="31.7" customHeight="1" x14ac:dyDescent="0.25">
      <c r="A42" s="78">
        <v>26</v>
      </c>
      <c r="B42" s="87"/>
      <c r="C42" s="80" t="s">
        <v>107</v>
      </c>
      <c r="D42" s="80" t="s">
        <v>108</v>
      </c>
      <c r="E42" s="78" t="s">
        <v>109</v>
      </c>
      <c r="F42" s="78">
        <v>1.7069049193735</v>
      </c>
      <c r="G42" s="81">
        <v>18047.849999999999</v>
      </c>
      <c r="H42" s="81">
        <f t="shared" ref="H42:H68" si="3">ROUND(F42*G42,2)</f>
        <v>30805.96</v>
      </c>
    </row>
    <row r="43" spans="1:8" ht="31.7" customHeight="1" x14ac:dyDescent="0.25">
      <c r="A43" s="78">
        <v>27</v>
      </c>
      <c r="B43" s="87"/>
      <c r="C43" s="80" t="s">
        <v>110</v>
      </c>
      <c r="D43" s="80" t="s">
        <v>111</v>
      </c>
      <c r="E43" s="78" t="s">
        <v>109</v>
      </c>
      <c r="F43" s="78">
        <v>1.1379358830880999</v>
      </c>
      <c r="G43" s="81">
        <v>6920.41</v>
      </c>
      <c r="H43" s="81">
        <f t="shared" si="3"/>
        <v>7874.98</v>
      </c>
    </row>
    <row r="44" spans="1:8" ht="47.25" customHeight="1" x14ac:dyDescent="0.25">
      <c r="A44" s="78">
        <v>28</v>
      </c>
      <c r="B44" s="87"/>
      <c r="C44" s="80" t="s">
        <v>112</v>
      </c>
      <c r="D44" s="80" t="s">
        <v>113</v>
      </c>
      <c r="E44" s="78" t="s">
        <v>114</v>
      </c>
      <c r="F44" s="78">
        <v>812.47279300016999</v>
      </c>
      <c r="G44" s="81">
        <v>3.89</v>
      </c>
      <c r="H44" s="81">
        <f t="shared" si="3"/>
        <v>3160.52</v>
      </c>
    </row>
    <row r="45" spans="1:8" ht="78.75" customHeight="1" x14ac:dyDescent="0.25">
      <c r="A45" s="78">
        <v>29</v>
      </c>
      <c r="B45" s="87"/>
      <c r="C45" s="80" t="s">
        <v>115</v>
      </c>
      <c r="D45" s="80" t="s">
        <v>116</v>
      </c>
      <c r="E45" s="78" t="s">
        <v>117</v>
      </c>
      <c r="F45" s="78">
        <v>104.04724061592999</v>
      </c>
      <c r="G45" s="81">
        <v>22.61</v>
      </c>
      <c r="H45" s="81">
        <f t="shared" si="3"/>
        <v>2352.5100000000002</v>
      </c>
    </row>
    <row r="46" spans="1:8" ht="15" customHeight="1" x14ac:dyDescent="0.25">
      <c r="A46" s="78">
        <v>30</v>
      </c>
      <c r="B46" s="87"/>
      <c r="C46" s="80" t="s">
        <v>118</v>
      </c>
      <c r="D46" s="80" t="s">
        <v>119</v>
      </c>
      <c r="E46" s="78" t="s">
        <v>114</v>
      </c>
      <c r="F46" s="78">
        <v>243.89725023739001</v>
      </c>
      <c r="G46" s="81">
        <v>8.3699999999999992</v>
      </c>
      <c r="H46" s="81">
        <f t="shared" si="3"/>
        <v>2041.42</v>
      </c>
    </row>
    <row r="47" spans="1:8" ht="63" customHeight="1" x14ac:dyDescent="0.25">
      <c r="A47" s="78">
        <v>31</v>
      </c>
      <c r="B47" s="87"/>
      <c r="C47" s="80" t="s">
        <v>120</v>
      </c>
      <c r="D47" s="80" t="s">
        <v>121</v>
      </c>
      <c r="E47" s="78" t="s">
        <v>114</v>
      </c>
      <c r="F47" s="78">
        <v>12.567211314162</v>
      </c>
      <c r="G47" s="81">
        <v>156.97999999999999</v>
      </c>
      <c r="H47" s="81">
        <f t="shared" si="3"/>
        <v>1972.8</v>
      </c>
    </row>
    <row r="48" spans="1:8" ht="31.7" customHeight="1" x14ac:dyDescent="0.25">
      <c r="A48" s="78">
        <v>32</v>
      </c>
      <c r="B48" s="87"/>
      <c r="C48" s="80" t="s">
        <v>122</v>
      </c>
      <c r="D48" s="80" t="s">
        <v>123</v>
      </c>
      <c r="E48" s="78" t="s">
        <v>109</v>
      </c>
      <c r="F48" s="78">
        <v>0.29667326401972999</v>
      </c>
      <c r="G48" s="81">
        <v>3708.36</v>
      </c>
      <c r="H48" s="81">
        <f t="shared" si="3"/>
        <v>1100.17</v>
      </c>
    </row>
    <row r="49" spans="1:8" ht="15" customHeight="1" x14ac:dyDescent="0.25">
      <c r="A49" s="78">
        <v>33</v>
      </c>
      <c r="B49" s="87"/>
      <c r="C49" s="80" t="s">
        <v>124</v>
      </c>
      <c r="D49" s="80" t="s">
        <v>125</v>
      </c>
      <c r="E49" s="78" t="s">
        <v>126</v>
      </c>
      <c r="F49" s="78">
        <v>1.5707744501808001E-2</v>
      </c>
      <c r="G49" s="81">
        <v>68050</v>
      </c>
      <c r="H49" s="81">
        <f t="shared" si="3"/>
        <v>1068.9100000000001</v>
      </c>
    </row>
    <row r="50" spans="1:8" ht="31.7" customHeight="1" x14ac:dyDescent="0.25">
      <c r="A50" s="78">
        <v>34</v>
      </c>
      <c r="B50" s="87"/>
      <c r="C50" s="80" t="s">
        <v>127</v>
      </c>
      <c r="D50" s="80" t="s">
        <v>128</v>
      </c>
      <c r="E50" s="78" t="s">
        <v>109</v>
      </c>
      <c r="F50" s="78">
        <v>0.32512446169065001</v>
      </c>
      <c r="G50" s="81">
        <v>2719.53</v>
      </c>
      <c r="H50" s="81">
        <f t="shared" si="3"/>
        <v>884.19</v>
      </c>
    </row>
    <row r="51" spans="1:8" ht="31.7" customHeight="1" x14ac:dyDescent="0.25">
      <c r="A51" s="78">
        <v>35</v>
      </c>
      <c r="B51" s="87"/>
      <c r="C51" s="80" t="s">
        <v>129</v>
      </c>
      <c r="D51" s="80" t="s">
        <v>130</v>
      </c>
      <c r="E51" s="78" t="s">
        <v>131</v>
      </c>
      <c r="F51" s="78">
        <v>5.3564593243334002</v>
      </c>
      <c r="G51" s="81">
        <v>83</v>
      </c>
      <c r="H51" s="81">
        <f t="shared" si="3"/>
        <v>444.59</v>
      </c>
    </row>
    <row r="52" spans="1:8" x14ac:dyDescent="0.25">
      <c r="A52" s="78">
        <v>36</v>
      </c>
      <c r="B52" s="87"/>
      <c r="C52" s="80" t="s">
        <v>132</v>
      </c>
      <c r="D52" s="80" t="s">
        <v>133</v>
      </c>
      <c r="E52" s="78" t="s">
        <v>134</v>
      </c>
      <c r="F52" s="78">
        <v>4.3695722553053002</v>
      </c>
      <c r="G52" s="81">
        <v>28.93</v>
      </c>
      <c r="H52" s="81">
        <f t="shared" si="3"/>
        <v>126.41</v>
      </c>
    </row>
    <row r="53" spans="1:8" ht="31.7" customHeight="1" x14ac:dyDescent="0.25">
      <c r="A53" s="78">
        <v>37</v>
      </c>
      <c r="B53" s="87"/>
      <c r="C53" s="80" t="s">
        <v>135</v>
      </c>
      <c r="D53" s="80" t="s">
        <v>136</v>
      </c>
      <c r="E53" s="78" t="s">
        <v>137</v>
      </c>
      <c r="F53" s="78">
        <v>93.405136941354996</v>
      </c>
      <c r="G53" s="81">
        <v>1</v>
      </c>
      <c r="H53" s="81">
        <f t="shared" si="3"/>
        <v>93.41</v>
      </c>
    </row>
    <row r="54" spans="1:8" x14ac:dyDescent="0.25">
      <c r="A54" s="78">
        <v>38</v>
      </c>
      <c r="B54" s="87"/>
      <c r="C54" s="80" t="s">
        <v>138</v>
      </c>
      <c r="D54" s="80" t="s">
        <v>139</v>
      </c>
      <c r="E54" s="78" t="s">
        <v>140</v>
      </c>
      <c r="F54" s="78">
        <v>3.0145913193926002</v>
      </c>
      <c r="G54" s="81">
        <v>6.9</v>
      </c>
      <c r="H54" s="81">
        <f t="shared" si="3"/>
        <v>20.8</v>
      </c>
    </row>
    <row r="55" spans="1:8" ht="31.7" customHeight="1" x14ac:dyDescent="0.25">
      <c r="A55" s="78">
        <v>39</v>
      </c>
      <c r="B55" s="87"/>
      <c r="C55" s="80" t="s">
        <v>141</v>
      </c>
      <c r="D55" s="80" t="s">
        <v>142</v>
      </c>
      <c r="E55" s="78" t="s">
        <v>134</v>
      </c>
      <c r="F55" s="78">
        <v>0.52025323955184</v>
      </c>
      <c r="G55" s="81">
        <v>38.340000000000003</v>
      </c>
      <c r="H55" s="81">
        <f t="shared" si="3"/>
        <v>19.95</v>
      </c>
    </row>
    <row r="56" spans="1:8" ht="47.25" customHeight="1" x14ac:dyDescent="0.25">
      <c r="A56" s="78">
        <v>40</v>
      </c>
      <c r="B56" s="87"/>
      <c r="C56" s="80" t="s">
        <v>143</v>
      </c>
      <c r="D56" s="80" t="s">
        <v>144</v>
      </c>
      <c r="E56" s="78" t="s">
        <v>126</v>
      </c>
      <c r="F56" s="78">
        <v>2.8448338546109E-3</v>
      </c>
      <c r="G56" s="81">
        <v>6834.81</v>
      </c>
      <c r="H56" s="81">
        <f t="shared" si="3"/>
        <v>19.440000000000001</v>
      </c>
    </row>
    <row r="57" spans="1:8" x14ac:dyDescent="0.25">
      <c r="A57" s="78">
        <v>41</v>
      </c>
      <c r="B57" s="87"/>
      <c r="C57" s="80" t="s">
        <v>145</v>
      </c>
      <c r="D57" s="80" t="s">
        <v>146</v>
      </c>
      <c r="E57" s="78" t="s">
        <v>134</v>
      </c>
      <c r="F57" s="78">
        <v>1.2198142290326</v>
      </c>
      <c r="G57" s="81">
        <v>12.6</v>
      </c>
      <c r="H57" s="81">
        <f t="shared" si="3"/>
        <v>15.37</v>
      </c>
    </row>
    <row r="58" spans="1:8" x14ac:dyDescent="0.25">
      <c r="A58" s="78">
        <v>42</v>
      </c>
      <c r="B58" s="87"/>
      <c r="C58" s="80" t="s">
        <v>147</v>
      </c>
      <c r="D58" s="80" t="s">
        <v>148</v>
      </c>
      <c r="E58" s="78" t="s">
        <v>126</v>
      </c>
      <c r="F58" s="78">
        <v>1.8851695617270001E-3</v>
      </c>
      <c r="G58" s="81">
        <v>7826.9</v>
      </c>
      <c r="H58" s="81">
        <f t="shared" si="3"/>
        <v>14.76</v>
      </c>
    </row>
    <row r="59" spans="1:8" ht="31.7" customHeight="1" x14ac:dyDescent="0.25">
      <c r="A59" s="78">
        <v>43</v>
      </c>
      <c r="B59" s="87"/>
      <c r="C59" s="80" t="s">
        <v>149</v>
      </c>
      <c r="D59" s="80" t="s">
        <v>150</v>
      </c>
      <c r="E59" s="78" t="s">
        <v>126</v>
      </c>
      <c r="F59" s="78">
        <v>8.1218167034278005E-5</v>
      </c>
      <c r="G59" s="81">
        <v>65750</v>
      </c>
      <c r="H59" s="81">
        <f t="shared" si="3"/>
        <v>5.34</v>
      </c>
    </row>
    <row r="60" spans="1:8" ht="31.7" customHeight="1" x14ac:dyDescent="0.25">
      <c r="A60" s="78">
        <v>44</v>
      </c>
      <c r="B60" s="87"/>
      <c r="C60" s="80" t="s">
        <v>151</v>
      </c>
      <c r="D60" s="80" t="s">
        <v>152</v>
      </c>
      <c r="E60" s="78" t="s">
        <v>134</v>
      </c>
      <c r="F60" s="78">
        <v>9.6789182736138998E-2</v>
      </c>
      <c r="G60" s="81">
        <v>25.76</v>
      </c>
      <c r="H60" s="81">
        <f t="shared" si="3"/>
        <v>2.4900000000000002</v>
      </c>
    </row>
    <row r="61" spans="1:8" x14ac:dyDescent="0.25">
      <c r="A61" s="78">
        <v>45</v>
      </c>
      <c r="B61" s="87"/>
      <c r="C61" s="80" t="s">
        <v>153</v>
      </c>
      <c r="D61" s="80" t="s">
        <v>154</v>
      </c>
      <c r="E61" s="78" t="s">
        <v>126</v>
      </c>
      <c r="F61" s="78">
        <v>2.6763648826681002E-3</v>
      </c>
      <c r="G61" s="81">
        <v>729.98</v>
      </c>
      <c r="H61" s="81">
        <f t="shared" si="3"/>
        <v>1.95</v>
      </c>
    </row>
    <row r="62" spans="1:8" x14ac:dyDescent="0.25">
      <c r="A62" s="78">
        <v>46</v>
      </c>
      <c r="B62" s="87"/>
      <c r="C62" s="80" t="s">
        <v>155</v>
      </c>
      <c r="D62" s="80" t="s">
        <v>156</v>
      </c>
      <c r="E62" s="78" t="s">
        <v>95</v>
      </c>
      <c r="F62" s="78">
        <v>4.0673858262343998</v>
      </c>
      <c r="G62" s="81">
        <v>0.27</v>
      </c>
      <c r="H62" s="81">
        <f t="shared" si="3"/>
        <v>1.1000000000000001</v>
      </c>
    </row>
    <row r="63" spans="1:8" x14ac:dyDescent="0.25">
      <c r="A63" s="78">
        <v>47</v>
      </c>
      <c r="B63" s="87"/>
      <c r="C63" s="80" t="s">
        <v>157</v>
      </c>
      <c r="D63" s="80" t="s">
        <v>158</v>
      </c>
      <c r="E63" s="78" t="s">
        <v>126</v>
      </c>
      <c r="F63" s="78">
        <v>4.8703610466695997E-5</v>
      </c>
      <c r="G63" s="81">
        <v>10315.01</v>
      </c>
      <c r="H63" s="81">
        <f t="shared" si="3"/>
        <v>0.5</v>
      </c>
    </row>
    <row r="64" spans="1:8" x14ac:dyDescent="0.25">
      <c r="A64" s="78">
        <v>48</v>
      </c>
      <c r="B64" s="87"/>
      <c r="C64" s="80" t="s">
        <v>159</v>
      </c>
      <c r="D64" s="80" t="s">
        <v>160</v>
      </c>
      <c r="E64" s="78" t="s">
        <v>126</v>
      </c>
      <c r="F64" s="78">
        <v>8.5470809085405007E-6</v>
      </c>
      <c r="G64" s="81">
        <v>28300.400000000001</v>
      </c>
      <c r="H64" s="81">
        <f t="shared" si="3"/>
        <v>0.24</v>
      </c>
    </row>
    <row r="65" spans="1:8" x14ac:dyDescent="0.25">
      <c r="A65" s="78">
        <v>49</v>
      </c>
      <c r="B65" s="87"/>
      <c r="C65" s="80" t="s">
        <v>161</v>
      </c>
      <c r="D65" s="80" t="s">
        <v>162</v>
      </c>
      <c r="E65" s="78" t="s">
        <v>134</v>
      </c>
      <c r="F65" s="78">
        <v>6.7074865226222002E-3</v>
      </c>
      <c r="G65" s="81">
        <v>27.74</v>
      </c>
      <c r="H65" s="81">
        <f t="shared" si="3"/>
        <v>0.19</v>
      </c>
    </row>
    <row r="66" spans="1:8" x14ac:dyDescent="0.25">
      <c r="A66" s="78">
        <v>50</v>
      </c>
      <c r="B66" s="87"/>
      <c r="C66" s="80" t="s">
        <v>163</v>
      </c>
      <c r="D66" s="80" t="s">
        <v>164</v>
      </c>
      <c r="E66" s="78" t="s">
        <v>126</v>
      </c>
      <c r="F66" s="78">
        <v>4.7648145926591001E-6</v>
      </c>
      <c r="G66" s="81">
        <v>15620</v>
      </c>
      <c r="H66" s="81">
        <f t="shared" si="3"/>
        <v>7.0000000000000007E-2</v>
      </c>
    </row>
    <row r="67" spans="1:8" x14ac:dyDescent="0.25">
      <c r="A67" s="78">
        <v>51</v>
      </c>
      <c r="B67" s="87"/>
      <c r="C67" s="80" t="s">
        <v>165</v>
      </c>
      <c r="D67" s="80" t="s">
        <v>166</v>
      </c>
      <c r="E67" s="78" t="s">
        <v>134</v>
      </c>
      <c r="F67" s="78">
        <v>3.9502791632966003E-3</v>
      </c>
      <c r="G67" s="81">
        <v>9.42</v>
      </c>
      <c r="H67" s="81">
        <f t="shared" si="3"/>
        <v>0.04</v>
      </c>
    </row>
    <row r="68" spans="1:8" x14ac:dyDescent="0.25">
      <c r="A68" s="78">
        <v>52</v>
      </c>
      <c r="B68" s="87"/>
      <c r="C68" s="80" t="s">
        <v>167</v>
      </c>
      <c r="D68" s="80" t="s">
        <v>168</v>
      </c>
      <c r="E68" s="78" t="s">
        <v>134</v>
      </c>
      <c r="F68" s="78">
        <v>5.5788578002627003E-3</v>
      </c>
      <c r="G68" s="81">
        <v>6.67</v>
      </c>
      <c r="H68" s="81">
        <f t="shared" si="3"/>
        <v>0.04</v>
      </c>
    </row>
    <row r="71" spans="1:8" x14ac:dyDescent="0.25">
      <c r="B71" s="57" t="s">
        <v>31</v>
      </c>
    </row>
    <row r="72" spans="1:8" x14ac:dyDescent="0.25">
      <c r="B72" s="64" t="s">
        <v>32</v>
      </c>
    </row>
    <row r="74" spans="1:8" x14ac:dyDescent="0.25">
      <c r="B74" s="57" t="s">
        <v>33</v>
      </c>
    </row>
    <row r="75" spans="1:8" x14ac:dyDescent="0.25">
      <c r="B75" s="64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0"/>
  <sheetViews>
    <sheetView view="pageBreakPreview" topLeftCell="A34" workbookViewId="0">
      <selection activeCell="D43" sqref="D43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169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47" t="s">
        <v>170</v>
      </c>
      <c r="C5" s="147"/>
      <c r="D5" s="147"/>
      <c r="E5" s="147"/>
    </row>
    <row r="6" spans="2:5" x14ac:dyDescent="0.25">
      <c r="B6" s="16"/>
      <c r="C6" s="6"/>
      <c r="D6" s="6"/>
      <c r="E6" s="6"/>
    </row>
    <row r="7" spans="2:5" ht="39.75" customHeight="1" x14ac:dyDescent="0.25">
      <c r="B7" s="148" t="str">
        <f>'Прил.1 Сравнит табл'!B7</f>
        <v>Наименование разрабатываемого показателя УНЦ - Постоянная часть ПС, система периметральной сигнализации ЗПС 220 кВ</v>
      </c>
      <c r="C7" s="148"/>
      <c r="D7" s="148"/>
      <c r="E7" s="148"/>
    </row>
    <row r="8" spans="2:5" x14ac:dyDescent="0.25">
      <c r="B8" s="149" t="str">
        <f>'Прил.1 Сравнит табл'!B9</f>
        <v>Единица измерения  — 1 ПС</v>
      </c>
      <c r="C8" s="149"/>
      <c r="D8" s="149"/>
      <c r="E8" s="149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171</v>
      </c>
      <c r="C10" s="2" t="s">
        <v>172</v>
      </c>
      <c r="D10" s="2" t="s">
        <v>173</v>
      </c>
      <c r="E10" s="2" t="s">
        <v>174</v>
      </c>
    </row>
    <row r="11" spans="2:5" x14ac:dyDescent="0.25">
      <c r="B11" s="7" t="s">
        <v>175</v>
      </c>
      <c r="C11" s="41">
        <f>'Прил.5 Расчет СМР и ОБ'!J16</f>
        <v>215232.86</v>
      </c>
      <c r="D11" s="40">
        <f t="shared" ref="D11:D18" si="0">C11/$C$24</f>
        <v>0.21533095401610203</v>
      </c>
      <c r="E11" s="40">
        <f t="shared" ref="E11:E18" si="1">C11/$C$40</f>
        <v>6.9308537013506463E-2</v>
      </c>
    </row>
    <row r="12" spans="2:5" x14ac:dyDescent="0.25">
      <c r="B12" s="7" t="s">
        <v>176</v>
      </c>
      <c r="C12" s="41">
        <f>'Прил.5 Расчет СМР и ОБ'!J24</f>
        <v>18719.32</v>
      </c>
      <c r="D12" s="40">
        <f t="shared" si="0"/>
        <v>1.8727851472738408E-2</v>
      </c>
      <c r="E12" s="40">
        <f t="shared" si="1"/>
        <v>6.0279303220134323E-3</v>
      </c>
    </row>
    <row r="13" spans="2:5" x14ac:dyDescent="0.25">
      <c r="B13" s="7" t="s">
        <v>177</v>
      </c>
      <c r="C13" s="41">
        <f>'Прил.5 Расчет СМР и ОБ'!J28</f>
        <v>929.07999999999993</v>
      </c>
      <c r="D13" s="40">
        <f t="shared" si="0"/>
        <v>9.2950343528994627E-4</v>
      </c>
      <c r="E13" s="40">
        <f t="shared" si="1"/>
        <v>2.9917911032966148E-4</v>
      </c>
    </row>
    <row r="14" spans="2:5" x14ac:dyDescent="0.25">
      <c r="B14" s="7" t="s">
        <v>178</v>
      </c>
      <c r="C14" s="41">
        <f>C13+C12</f>
        <v>19648.400000000001</v>
      </c>
      <c r="D14" s="40">
        <f t="shared" si="0"/>
        <v>1.9657354908028356E-2</v>
      </c>
      <c r="E14" s="40">
        <f t="shared" si="1"/>
        <v>6.3271094323430945E-3</v>
      </c>
    </row>
    <row r="15" spans="2:5" x14ac:dyDescent="0.25">
      <c r="B15" s="7" t="s">
        <v>179</v>
      </c>
      <c r="C15" s="41">
        <f>'Прил.5 Расчет СМР и ОБ'!J18</f>
        <v>17270.060000000001</v>
      </c>
      <c r="D15" s="40">
        <f t="shared" si="0"/>
        <v>1.727793096144949E-2</v>
      </c>
      <c r="E15" s="40">
        <f t="shared" si="1"/>
        <v>5.5612446572306743E-3</v>
      </c>
    </row>
    <row r="16" spans="2:5" x14ac:dyDescent="0.25">
      <c r="B16" s="7" t="s">
        <v>180</v>
      </c>
      <c r="C16" s="41">
        <f>'Прил.5 Расчет СМР и ОБ'!J51</f>
        <v>371734.52</v>
      </c>
      <c r="D16" s="40">
        <f t="shared" si="0"/>
        <v>0.3719039408402498</v>
      </c>
      <c r="E16" s="40">
        <f t="shared" si="1"/>
        <v>0.11970465726570777</v>
      </c>
    </row>
    <row r="17" spans="2:5" x14ac:dyDescent="0.25">
      <c r="B17" s="7" t="s">
        <v>181</v>
      </c>
      <c r="C17" s="41">
        <f>'Прил.5 Расчет СМР и ОБ'!J76</f>
        <v>60449.500000000007</v>
      </c>
      <c r="D17" s="40">
        <f t="shared" si="0"/>
        <v>6.0477050320273409E-2</v>
      </c>
      <c r="E17" s="40">
        <f t="shared" si="1"/>
        <v>1.9465737751187064E-2</v>
      </c>
    </row>
    <row r="18" spans="2:5" x14ac:dyDescent="0.25">
      <c r="B18" s="7" t="s">
        <v>182</v>
      </c>
      <c r="C18" s="41">
        <f>C17+C16</f>
        <v>432184.02</v>
      </c>
      <c r="D18" s="40">
        <f t="shared" si="0"/>
        <v>0.4323809911605232</v>
      </c>
      <c r="E18" s="40">
        <f t="shared" si="1"/>
        <v>0.13917039501689482</v>
      </c>
    </row>
    <row r="19" spans="2:5" x14ac:dyDescent="0.25">
      <c r="B19" s="7" t="s">
        <v>183</v>
      </c>
      <c r="C19" s="41">
        <f>C18+C14+C11</f>
        <v>667065.28</v>
      </c>
      <c r="D19" s="40"/>
      <c r="E19" s="7"/>
    </row>
    <row r="20" spans="2:5" x14ac:dyDescent="0.25">
      <c r="B20" s="7" t="s">
        <v>184</v>
      </c>
      <c r="C20" s="41">
        <f>ROUND(C21*(C11+C15),2)</f>
        <v>113926.43</v>
      </c>
      <c r="D20" s="40">
        <f>C20/$C$24</f>
        <v>0.11397835283863564</v>
      </c>
      <c r="E20" s="40">
        <f>C20/$C$40</f>
        <v>3.6686192761047981E-2</v>
      </c>
    </row>
    <row r="21" spans="2:5" x14ac:dyDescent="0.25">
      <c r="B21" s="7" t="s">
        <v>185</v>
      </c>
      <c r="C21" s="42">
        <v>0.49</v>
      </c>
      <c r="D21" s="40"/>
      <c r="E21" s="7"/>
    </row>
    <row r="22" spans="2:5" x14ac:dyDescent="0.25">
      <c r="B22" s="7" t="s">
        <v>186</v>
      </c>
      <c r="C22" s="41">
        <f>ROUND(C23*(C11+C15),2)</f>
        <v>218552.74</v>
      </c>
      <c r="D22" s="40">
        <f>C22/$C$24</f>
        <v>0.2186523470767108</v>
      </c>
      <c r="E22" s="40">
        <f>C22/$C$40</f>
        <v>7.03775932248136E-2</v>
      </c>
    </row>
    <row r="23" spans="2:5" x14ac:dyDescent="0.25">
      <c r="B23" s="7" t="s">
        <v>187</v>
      </c>
      <c r="C23" s="42">
        <v>0.94</v>
      </c>
      <c r="D23" s="40"/>
      <c r="E23" s="7"/>
    </row>
    <row r="24" spans="2:5" x14ac:dyDescent="0.25">
      <c r="B24" s="7" t="s">
        <v>188</v>
      </c>
      <c r="C24" s="41">
        <f>C19+C20+C22</f>
        <v>999544.45</v>
      </c>
      <c r="D24" s="40">
        <f>C24/$C$24</f>
        <v>1</v>
      </c>
      <c r="E24" s="40">
        <f>C24/$C$40</f>
        <v>0.32186982744860598</v>
      </c>
    </row>
    <row r="25" spans="2:5" ht="25.5" customHeight="1" x14ac:dyDescent="0.25">
      <c r="B25" s="7" t="s">
        <v>189</v>
      </c>
      <c r="C25" s="41">
        <f>'Прил.5 Расчет СМР и ОБ'!J42</f>
        <v>1755088.1099999999</v>
      </c>
      <c r="D25" s="40"/>
      <c r="E25" s="40">
        <f>C25/$C$40</f>
        <v>0.56516736911780152</v>
      </c>
    </row>
    <row r="26" spans="2:5" ht="25.5" customHeight="1" x14ac:dyDescent="0.25">
      <c r="B26" s="7" t="s">
        <v>190</v>
      </c>
      <c r="C26" s="41">
        <f>'Прил.5 Расчет СМР и ОБ'!J43</f>
        <v>1755088.09</v>
      </c>
      <c r="D26" s="40"/>
      <c r="E26" s="40">
        <f>C26/$C$40</f>
        <v>0.56516736267747114</v>
      </c>
    </row>
    <row r="27" spans="2:5" x14ac:dyDescent="0.25">
      <c r="B27" s="7" t="s">
        <v>191</v>
      </c>
      <c r="C27" s="39">
        <f>C24+C25</f>
        <v>2754632.5599999996</v>
      </c>
      <c r="D27" s="40"/>
      <c r="E27" s="40">
        <f>C27/$C$40</f>
        <v>0.88703719656640745</v>
      </c>
    </row>
    <row r="28" spans="2:5" ht="33" customHeight="1" x14ac:dyDescent="0.25">
      <c r="B28" s="7" t="s">
        <v>192</v>
      </c>
      <c r="C28" s="7"/>
      <c r="D28" s="7"/>
      <c r="E28" s="7"/>
    </row>
    <row r="29" spans="2:5" ht="25.5" customHeight="1" x14ac:dyDescent="0.25">
      <c r="B29" s="7" t="s">
        <v>193</v>
      </c>
      <c r="C29" s="39">
        <f>ROUND(C24*3.9%,2)</f>
        <v>38982.230000000003</v>
      </c>
      <c r="D29" s="7"/>
      <c r="E29" s="40">
        <f t="shared" ref="E29:E40" si="2">C29/$C$40</f>
        <v>1.2552922127336981E-2</v>
      </c>
    </row>
    <row r="30" spans="2:5" ht="38.25" customHeight="1" x14ac:dyDescent="0.25">
      <c r="B30" s="91" t="s">
        <v>194</v>
      </c>
      <c r="C30" s="92">
        <f>ROUND((C24+C29)*2.1%,2)</f>
        <v>21809.06</v>
      </c>
      <c r="D30" s="91"/>
      <c r="E30" s="40">
        <f t="shared" si="2"/>
        <v>7.0228776509301764E-3</v>
      </c>
    </row>
    <row r="31" spans="2:5" x14ac:dyDescent="0.25">
      <c r="B31" s="91" t="s">
        <v>195</v>
      </c>
      <c r="C31" s="92">
        <v>130620</v>
      </c>
      <c r="D31" s="91"/>
      <c r="E31" s="40">
        <f t="shared" si="2"/>
        <v>4.2061798113467504E-2</v>
      </c>
    </row>
    <row r="32" spans="2:5" ht="25.5" customHeight="1" x14ac:dyDescent="0.25">
      <c r="B32" s="91" t="s">
        <v>196</v>
      </c>
      <c r="C32" s="92">
        <v>0</v>
      </c>
      <c r="D32" s="91"/>
      <c r="E32" s="40">
        <f t="shared" si="2"/>
        <v>0</v>
      </c>
    </row>
    <row r="33" spans="2:9" ht="25.5" customHeight="1" x14ac:dyDescent="0.25">
      <c r="B33" s="91" t="s">
        <v>197</v>
      </c>
      <c r="C33" s="92">
        <v>0</v>
      </c>
      <c r="D33" s="91"/>
      <c r="E33" s="40">
        <f t="shared" si="2"/>
        <v>0</v>
      </c>
    </row>
    <row r="34" spans="2:9" ht="51" customHeight="1" x14ac:dyDescent="0.25">
      <c r="B34" s="7" t="s">
        <v>198</v>
      </c>
      <c r="C34" s="39">
        <v>0</v>
      </c>
      <c r="D34" s="7"/>
      <c r="E34" s="40">
        <f t="shared" si="2"/>
        <v>0</v>
      </c>
    </row>
    <row r="35" spans="2:9" ht="76.7" customHeight="1" x14ac:dyDescent="0.25">
      <c r="B35" s="7" t="s">
        <v>199</v>
      </c>
      <c r="C35" s="39">
        <v>0</v>
      </c>
      <c r="D35" s="7"/>
      <c r="E35" s="40">
        <f t="shared" si="2"/>
        <v>0</v>
      </c>
    </row>
    <row r="36" spans="2:9" ht="25.5" customHeight="1" x14ac:dyDescent="0.25">
      <c r="B36" s="7" t="s">
        <v>200</v>
      </c>
      <c r="C36" s="39">
        <f>ROUND(SUM(C27:C35)*2.14%,2)</f>
        <v>63045.34</v>
      </c>
      <c r="D36" s="7"/>
      <c r="E36" s="40">
        <f t="shared" si="2"/>
        <v>2.0301641119850843E-2</v>
      </c>
      <c r="I36" s="17"/>
    </row>
    <row r="37" spans="2:9" x14ac:dyDescent="0.25">
      <c r="B37" s="7" t="s">
        <v>201</v>
      </c>
      <c r="C37" s="39">
        <f>ROUND(SUM(C27:C35)*0.2%,2)</f>
        <v>5892.09</v>
      </c>
      <c r="D37" s="7"/>
      <c r="E37" s="40">
        <f t="shared" si="2"/>
        <v>1.8973503295542852E-3</v>
      </c>
      <c r="I37" s="17"/>
    </row>
    <row r="38" spans="2:9" ht="38.25" customHeight="1" x14ac:dyDescent="0.25">
      <c r="B38" s="7" t="s">
        <v>202</v>
      </c>
      <c r="C38" s="41">
        <f>SUM(C27:C37)</f>
        <v>3014981.2799999993</v>
      </c>
      <c r="D38" s="7"/>
      <c r="E38" s="40">
        <f t="shared" si="2"/>
        <v>0.97087378590754714</v>
      </c>
    </row>
    <row r="39" spans="2:9" ht="13.7" customHeight="1" x14ac:dyDescent="0.25">
      <c r="B39" s="7" t="s">
        <v>203</v>
      </c>
      <c r="C39" s="41">
        <f>ROUND(C38*3%,2)</f>
        <v>90449.44</v>
      </c>
      <c r="D39" s="7"/>
      <c r="E39" s="40">
        <f t="shared" si="2"/>
        <v>2.9126214092452859E-2</v>
      </c>
    </row>
    <row r="40" spans="2:9" x14ac:dyDescent="0.25">
      <c r="B40" s="7" t="s">
        <v>204</v>
      </c>
      <c r="C40" s="41">
        <f>C39+C38</f>
        <v>3105430.7199999993</v>
      </c>
      <c r="D40" s="7"/>
      <c r="E40" s="40">
        <f t="shared" si="2"/>
        <v>1</v>
      </c>
    </row>
    <row r="41" spans="2:9" x14ac:dyDescent="0.25">
      <c r="B41" s="7" t="s">
        <v>205</v>
      </c>
      <c r="C41" s="41">
        <f>C40/'Прил.5 Расчет СМР и ОБ'!E83</f>
        <v>3105430.7199999993</v>
      </c>
      <c r="D41" s="7"/>
      <c r="E41" s="7"/>
    </row>
    <row r="42" spans="2:9" x14ac:dyDescent="0.25">
      <c r="B42" s="18"/>
      <c r="C42" s="6"/>
      <c r="D42" s="6"/>
      <c r="E42" s="6"/>
    </row>
    <row r="43" spans="2:9" x14ac:dyDescent="0.25">
      <c r="B43" s="6" t="s">
        <v>31</v>
      </c>
      <c r="C43" s="1"/>
      <c r="D43" s="6"/>
      <c r="E43" s="6"/>
    </row>
    <row r="44" spans="2:9" x14ac:dyDescent="0.25">
      <c r="B44" s="58" t="s">
        <v>32</v>
      </c>
      <c r="C44" s="1"/>
      <c r="D44" s="6"/>
      <c r="E44" s="6"/>
    </row>
    <row r="45" spans="2:9" x14ac:dyDescent="0.25">
      <c r="B45" s="6"/>
      <c r="C45" s="1"/>
      <c r="D45" s="6"/>
      <c r="E45" s="6"/>
    </row>
    <row r="46" spans="2:9" x14ac:dyDescent="0.25">
      <c r="B46" s="6" t="s">
        <v>33</v>
      </c>
      <c r="C46" s="1"/>
      <c r="D46" s="6"/>
      <c r="E46" s="6"/>
    </row>
    <row r="47" spans="2:9" x14ac:dyDescent="0.25">
      <c r="B47" s="58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view="pageBreakPreview" zoomScale="55" zoomScaleSheetLayoutView="55" workbookViewId="0">
      <selection activeCell="D110" sqref="D110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206</v>
      </c>
    </row>
    <row r="4" spans="1:10" s="6" customFormat="1" ht="12.75" customHeight="1" x14ac:dyDescent="0.2">
      <c r="A4" s="147" t="s">
        <v>207</v>
      </c>
      <c r="B4" s="147"/>
      <c r="C4" s="147"/>
      <c r="D4" s="147"/>
      <c r="E4" s="147"/>
      <c r="F4" s="147"/>
      <c r="G4" s="147"/>
      <c r="H4" s="147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3" t="s">
        <v>208</v>
      </c>
      <c r="B6" s="84"/>
      <c r="C6" s="84"/>
      <c r="D6" s="163" t="s">
        <v>209</v>
      </c>
      <c r="E6" s="163"/>
      <c r="F6" s="163"/>
      <c r="G6" s="163"/>
      <c r="H6" s="163"/>
      <c r="I6" s="163"/>
      <c r="J6" s="163"/>
    </row>
    <row r="7" spans="1:10" s="6" customFormat="1" ht="12.75" customHeight="1" x14ac:dyDescent="0.2">
      <c r="A7" s="163" t="str">
        <f>'Прил.1 Сравнит табл'!B9</f>
        <v>Единица измерения  — 1 ПС</v>
      </c>
      <c r="B7" s="148"/>
      <c r="C7" s="148"/>
      <c r="D7" s="148"/>
      <c r="E7" s="148"/>
      <c r="F7" s="148"/>
      <c r="G7" s="148"/>
      <c r="H7" s="148"/>
      <c r="I7" s="85"/>
      <c r="J7" s="85"/>
    </row>
    <row r="8" spans="1:10" s="6" customFormat="1" ht="12.75" customHeight="1" x14ac:dyDescent="0.2"/>
    <row r="9" spans="1:10" ht="27" customHeight="1" x14ac:dyDescent="0.25">
      <c r="A9" s="150" t="s">
        <v>210</v>
      </c>
      <c r="B9" s="150" t="s">
        <v>54</v>
      </c>
      <c r="C9" s="150" t="s">
        <v>171</v>
      </c>
      <c r="D9" s="150" t="s">
        <v>56</v>
      </c>
      <c r="E9" s="151" t="s">
        <v>211</v>
      </c>
      <c r="F9" s="153" t="s">
        <v>58</v>
      </c>
      <c r="G9" s="154"/>
      <c r="H9" s="151" t="s">
        <v>212</v>
      </c>
      <c r="I9" s="153" t="s">
        <v>213</v>
      </c>
      <c r="J9" s="154"/>
    </row>
    <row r="10" spans="1:10" ht="28.5" customHeight="1" x14ac:dyDescent="0.25">
      <c r="A10" s="150"/>
      <c r="B10" s="150"/>
      <c r="C10" s="150"/>
      <c r="D10" s="150"/>
      <c r="E10" s="152"/>
      <c r="F10" s="2" t="s">
        <v>214</v>
      </c>
      <c r="G10" s="2" t="s">
        <v>60</v>
      </c>
      <c r="H10" s="152"/>
      <c r="I10" s="2" t="s">
        <v>214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64" t="s">
        <v>215</v>
      </c>
      <c r="C12" s="155"/>
      <c r="D12" s="150"/>
      <c r="E12" s="156"/>
      <c r="F12" s="157"/>
      <c r="G12" s="157"/>
      <c r="H12" s="165"/>
      <c r="I12" s="44"/>
      <c r="J12" s="44"/>
    </row>
    <row r="13" spans="1:10" ht="25.5" customHeight="1" x14ac:dyDescent="0.25">
      <c r="A13" s="2">
        <v>1</v>
      </c>
      <c r="B13" s="47" t="s">
        <v>216</v>
      </c>
      <c r="C13" s="3" t="s">
        <v>217</v>
      </c>
      <c r="D13" s="2" t="s">
        <v>218</v>
      </c>
      <c r="E13" s="46">
        <v>449.22541510494</v>
      </c>
      <c r="F13" s="14">
        <v>9.51</v>
      </c>
      <c r="G13" s="14">
        <f>SUM(Прил.3!H13:H17)</f>
        <v>4251.66</v>
      </c>
      <c r="H13" s="45">
        <f>G13/$G$16</f>
        <v>0.91593294972521977</v>
      </c>
      <c r="I13" s="14">
        <f>ФОТр.тек.!E13</f>
        <v>439.09244974661999</v>
      </c>
      <c r="J13" s="14">
        <f>ROUND(I13*E13,2)</f>
        <v>197251.49</v>
      </c>
    </row>
    <row r="14" spans="1:10" x14ac:dyDescent="0.25">
      <c r="A14" s="2">
        <v>2</v>
      </c>
      <c r="B14" s="47" t="s">
        <v>74</v>
      </c>
      <c r="C14" s="3" t="s">
        <v>75</v>
      </c>
      <c r="D14" s="2" t="s">
        <v>65</v>
      </c>
      <c r="E14" s="46">
        <v>13.233509714939</v>
      </c>
      <c r="F14" s="14">
        <f>Прил.3!G18</f>
        <v>15.49</v>
      </c>
      <c r="G14" s="14">
        <f>Прил.3!H18</f>
        <v>204.99</v>
      </c>
      <c r="H14" s="45">
        <f>G14/$G$16</f>
        <v>4.4160891361061987E-2</v>
      </c>
      <c r="I14" s="14">
        <f>ФОТр.тек.!E29</f>
        <v>713.02776960364997</v>
      </c>
      <c r="J14" s="14">
        <f>ROUND(I14*E14,2)</f>
        <v>9435.86</v>
      </c>
    </row>
    <row r="15" spans="1:10" x14ac:dyDescent="0.25">
      <c r="A15" s="2">
        <v>3</v>
      </c>
      <c r="B15" s="47" t="s">
        <v>76</v>
      </c>
      <c r="C15" s="3" t="s">
        <v>77</v>
      </c>
      <c r="D15" s="2" t="s">
        <v>65</v>
      </c>
      <c r="E15" s="46">
        <v>13.146607495614999</v>
      </c>
      <c r="F15" s="14">
        <f>Прил.3!G19</f>
        <v>14.09</v>
      </c>
      <c r="G15" s="14">
        <f>Прил.3!H19</f>
        <v>185.24</v>
      </c>
      <c r="H15" s="45">
        <f>G15/$G$16</f>
        <v>3.9906158913718341E-2</v>
      </c>
      <c r="I15" s="14">
        <f>ФОТр.тек.!E37</f>
        <v>650.01601322007002</v>
      </c>
      <c r="J15" s="14">
        <f>ROUND(I15*E15,2)</f>
        <v>8545.51</v>
      </c>
    </row>
    <row r="16" spans="1:10" s="1" customFormat="1" ht="25.5" customHeight="1" x14ac:dyDescent="0.2">
      <c r="A16" s="2"/>
      <c r="B16" s="2"/>
      <c r="C16" s="5" t="s">
        <v>219</v>
      </c>
      <c r="D16" s="2" t="s">
        <v>218</v>
      </c>
      <c r="E16" s="46">
        <f>SUM(E13:E15)</f>
        <v>475.60553231549397</v>
      </c>
      <c r="F16" s="14"/>
      <c r="G16" s="14">
        <f>SUM(G13:G15)</f>
        <v>4641.8899999999994</v>
      </c>
      <c r="H16" s="45">
        <v>1</v>
      </c>
      <c r="I16" s="14"/>
      <c r="J16" s="14">
        <f>SUM(J13:J15)</f>
        <v>215232.86</v>
      </c>
    </row>
    <row r="17" spans="1:10" s="1" customFormat="1" ht="14.25" customHeight="1" x14ac:dyDescent="0.2">
      <c r="A17" s="2"/>
      <c r="B17" s="155" t="s">
        <v>78</v>
      </c>
      <c r="C17" s="155"/>
      <c r="D17" s="150"/>
      <c r="E17" s="156"/>
      <c r="F17" s="157"/>
      <c r="G17" s="157"/>
      <c r="H17" s="165"/>
      <c r="I17" s="44"/>
      <c r="J17" s="44"/>
    </row>
    <row r="18" spans="1:10" s="1" customFormat="1" ht="14.25" customHeight="1" x14ac:dyDescent="0.2">
      <c r="A18" s="2">
        <v>4</v>
      </c>
      <c r="B18" s="2">
        <v>2</v>
      </c>
      <c r="C18" s="3" t="s">
        <v>78</v>
      </c>
      <c r="D18" s="2" t="s">
        <v>218</v>
      </c>
      <c r="E18" s="46">
        <v>12.798421917808</v>
      </c>
      <c r="F18" s="14">
        <f>G18/E18</f>
        <v>30.467037460098343</v>
      </c>
      <c r="G18" s="14">
        <f>Прил.3!H21</f>
        <v>389.93</v>
      </c>
      <c r="H18" s="45">
        <v>1</v>
      </c>
      <c r="I18" s="14">
        <f>ROUND(F18*Прил.10!D10,2)</f>
        <v>1349.39</v>
      </c>
      <c r="J18" s="14">
        <f>ROUND(I18*E18,2)</f>
        <v>17270.060000000001</v>
      </c>
    </row>
    <row r="19" spans="1:10" s="1" customFormat="1" ht="14.25" customHeight="1" x14ac:dyDescent="0.2">
      <c r="A19" s="2"/>
      <c r="B19" s="164" t="s">
        <v>79</v>
      </c>
      <c r="C19" s="155"/>
      <c r="D19" s="150"/>
      <c r="E19" s="156"/>
      <c r="F19" s="157"/>
      <c r="G19" s="157"/>
      <c r="H19" s="158"/>
      <c r="I19" s="45"/>
      <c r="J19" s="45"/>
    </row>
    <row r="20" spans="1:10" s="1" customFormat="1" ht="14.25" customHeight="1" x14ac:dyDescent="0.2">
      <c r="A20" s="2"/>
      <c r="B20" s="155" t="s">
        <v>220</v>
      </c>
      <c r="C20" s="155"/>
      <c r="D20" s="150"/>
      <c r="E20" s="156"/>
      <c r="F20" s="157"/>
      <c r="G20" s="157"/>
      <c r="H20" s="165"/>
      <c r="I20" s="44"/>
      <c r="J20" s="44"/>
    </row>
    <row r="21" spans="1:10" s="1" customFormat="1" ht="25.5" customHeight="1" x14ac:dyDescent="0.2">
      <c r="A21" s="2">
        <v>5</v>
      </c>
      <c r="B21" s="47" t="s">
        <v>80</v>
      </c>
      <c r="C21" s="3" t="s">
        <v>81</v>
      </c>
      <c r="D21" s="2" t="s">
        <v>82</v>
      </c>
      <c r="E21" s="46">
        <v>6.2988882917974998</v>
      </c>
      <c r="F21" s="9">
        <v>115.4</v>
      </c>
      <c r="G21" s="14">
        <f>ROUND(E21*F21,2)</f>
        <v>726.89</v>
      </c>
      <c r="H21" s="45">
        <f>G21/$G$29</f>
        <v>0.49831356687461442</v>
      </c>
      <c r="I21" s="14">
        <f>ROUND(F21*Прил.10!$D$11,2)</f>
        <v>1554.44</v>
      </c>
      <c r="J21" s="14">
        <f>ROUND(I21*E21,2)</f>
        <v>9791.24</v>
      </c>
    </row>
    <row r="22" spans="1:10" s="1" customFormat="1" ht="25.5" customHeight="1" x14ac:dyDescent="0.2">
      <c r="A22" s="2">
        <v>6</v>
      </c>
      <c r="B22" s="47" t="s">
        <v>83</v>
      </c>
      <c r="C22" s="3" t="s">
        <v>84</v>
      </c>
      <c r="D22" s="2" t="s">
        <v>82</v>
      </c>
      <c r="E22" s="46">
        <v>6.3232263926575998</v>
      </c>
      <c r="F22" s="9">
        <v>65.709999999999994</v>
      </c>
      <c r="G22" s="14">
        <f>ROUND(E22*F22,2)</f>
        <v>415.5</v>
      </c>
      <c r="H22" s="45">
        <f>G22/$G$29</f>
        <v>0.28484266812915615</v>
      </c>
      <c r="I22" s="14">
        <f>ROUND(F22*Прил.10!$D$11,2)</f>
        <v>885.11</v>
      </c>
      <c r="J22" s="14">
        <f>ROUND(I22*E22,2)</f>
        <v>5596.75</v>
      </c>
    </row>
    <row r="23" spans="1:10" s="1" customFormat="1" ht="25.5" customHeight="1" x14ac:dyDescent="0.2">
      <c r="A23" s="2">
        <v>7</v>
      </c>
      <c r="B23" s="47" t="s">
        <v>85</v>
      </c>
      <c r="C23" s="3" t="s">
        <v>86</v>
      </c>
      <c r="D23" s="2" t="s">
        <v>82</v>
      </c>
      <c r="E23" s="46">
        <v>75.403660303864001</v>
      </c>
      <c r="F23" s="9">
        <v>3.28</v>
      </c>
      <c r="G23" s="14">
        <f>ROUND(E23*F23,2)</f>
        <v>247.32</v>
      </c>
      <c r="H23" s="45">
        <f>G23/$G$29</f>
        <v>0.16954822787413451</v>
      </c>
      <c r="I23" s="14">
        <f>ROUND(F23*Прил.10!$D$11,2)</f>
        <v>44.18</v>
      </c>
      <c r="J23" s="14">
        <f>ROUND(I23*E23,2)</f>
        <v>3331.33</v>
      </c>
    </row>
    <row r="24" spans="1:10" s="1" customFormat="1" ht="14.25" customHeight="1" x14ac:dyDescent="0.2">
      <c r="B24" s="2"/>
      <c r="C24" s="3" t="s">
        <v>221</v>
      </c>
      <c r="D24" s="2"/>
      <c r="E24" s="48"/>
      <c r="F24" s="14"/>
      <c r="G24" s="14">
        <f>SUM(G21:G23)</f>
        <v>1389.7099999999998</v>
      </c>
      <c r="H24" s="45">
        <f>G24/G29</f>
        <v>0.952704462877905</v>
      </c>
      <c r="I24" s="14"/>
      <c r="J24" s="14">
        <f>SUM(J21:J23)</f>
        <v>18719.32</v>
      </c>
    </row>
    <row r="25" spans="1:10" s="1" customFormat="1" ht="25.5" hidden="1" customHeight="1" outlineLevel="1" x14ac:dyDescent="0.2">
      <c r="A25" s="2">
        <v>8</v>
      </c>
      <c r="B25" s="47" t="s">
        <v>87</v>
      </c>
      <c r="C25" s="3" t="s">
        <v>88</v>
      </c>
      <c r="D25" s="2" t="s">
        <v>82</v>
      </c>
      <c r="E25" s="46">
        <v>75.436237125904995</v>
      </c>
      <c r="F25" s="9">
        <v>0.9</v>
      </c>
      <c r="G25" s="14">
        <f>ROUND(E25*F25,2)</f>
        <v>67.89</v>
      </c>
      <c r="H25" s="45">
        <f>G25/$G$29</f>
        <v>4.6541441009117716E-2</v>
      </c>
      <c r="I25" s="14">
        <f>ROUND(F25*Прил.10!$D$11,2)</f>
        <v>12.12</v>
      </c>
      <c r="J25" s="14">
        <f>ROUND(I25*E25,2)</f>
        <v>914.29</v>
      </c>
    </row>
    <row r="26" spans="1:10" s="1" customFormat="1" ht="25.5" hidden="1" customHeight="1" outlineLevel="1" x14ac:dyDescent="0.2">
      <c r="A26" s="2">
        <v>9</v>
      </c>
      <c r="B26" s="47" t="s">
        <v>89</v>
      </c>
      <c r="C26" s="3" t="s">
        <v>90</v>
      </c>
      <c r="D26" s="2" t="s">
        <v>82</v>
      </c>
      <c r="E26" s="46">
        <v>8.0395417661580995E-2</v>
      </c>
      <c r="F26" s="9">
        <v>8.1</v>
      </c>
      <c r="G26" s="14">
        <f>ROUND(E26*F26,2)</f>
        <v>0.65</v>
      </c>
      <c r="H26" s="45">
        <f>G26/$G$29</f>
        <v>4.4560224857750056E-4</v>
      </c>
      <c r="I26" s="14">
        <f>ROUND(F26*Прил.10!$D$11,2)</f>
        <v>109.11</v>
      </c>
      <c r="J26" s="14">
        <f>ROUND(I26*E26,2)</f>
        <v>8.77</v>
      </c>
    </row>
    <row r="27" spans="1:10" s="1" customFormat="1" ht="14.25" hidden="1" customHeight="1" outlineLevel="1" x14ac:dyDescent="0.2">
      <c r="A27" s="2">
        <v>10</v>
      </c>
      <c r="B27" s="47" t="s">
        <v>91</v>
      </c>
      <c r="C27" s="3" t="s">
        <v>92</v>
      </c>
      <c r="D27" s="2" t="s">
        <v>82</v>
      </c>
      <c r="E27" s="46">
        <v>0.18921193232851999</v>
      </c>
      <c r="F27" s="9">
        <v>2.36</v>
      </c>
      <c r="G27" s="14">
        <f>ROUND(E27*F27,2)</f>
        <v>0.45</v>
      </c>
      <c r="H27" s="45">
        <f>G27/$G$29</f>
        <v>3.084938643998081E-4</v>
      </c>
      <c r="I27" s="14">
        <f>ROUND(F27*Прил.10!$D$11,2)</f>
        <v>31.79</v>
      </c>
      <c r="J27" s="14">
        <f>ROUND(I27*E27,2)</f>
        <v>6.02</v>
      </c>
    </row>
    <row r="28" spans="1:10" s="1" customFormat="1" ht="14.25" customHeight="1" collapsed="1" x14ac:dyDescent="0.2">
      <c r="A28" s="2"/>
      <c r="B28" s="2"/>
      <c r="C28" s="3" t="s">
        <v>222</v>
      </c>
      <c r="D28" s="2"/>
      <c r="E28" s="49"/>
      <c r="F28" s="14"/>
      <c r="G28" s="14">
        <f>SUM(G25:G27)</f>
        <v>68.990000000000009</v>
      </c>
      <c r="H28" s="45">
        <f>G28/G29</f>
        <v>4.7295537122095027E-2</v>
      </c>
      <c r="I28" s="14"/>
      <c r="J28" s="14">
        <f>SUM(J25:J27)</f>
        <v>929.07999999999993</v>
      </c>
    </row>
    <row r="29" spans="1:10" s="1" customFormat="1" ht="25.5" customHeight="1" x14ac:dyDescent="0.2">
      <c r="A29" s="2"/>
      <c r="B29" s="50"/>
      <c r="C29" s="51" t="s">
        <v>223</v>
      </c>
      <c r="D29" s="50"/>
      <c r="E29" s="52"/>
      <c r="F29" s="53"/>
      <c r="G29" s="53">
        <f>G24+G28</f>
        <v>1458.6999999999998</v>
      </c>
      <c r="H29" s="54">
        <v>1</v>
      </c>
      <c r="I29" s="53"/>
      <c r="J29" s="53">
        <f>J24+J28</f>
        <v>19648.400000000001</v>
      </c>
    </row>
    <row r="30" spans="1:10" x14ac:dyDescent="0.25">
      <c r="A30" s="61"/>
      <c r="B30" s="159" t="s">
        <v>224</v>
      </c>
      <c r="C30" s="159"/>
      <c r="D30" s="159"/>
      <c r="E30" s="159"/>
      <c r="F30" s="159"/>
      <c r="G30" s="159"/>
      <c r="H30" s="159"/>
      <c r="I30" s="159"/>
      <c r="J30" s="159"/>
    </row>
    <row r="31" spans="1:10" ht="15" customHeight="1" x14ac:dyDescent="0.25">
      <c r="A31" s="2"/>
      <c r="B31" s="155" t="s">
        <v>225</v>
      </c>
      <c r="C31" s="155"/>
      <c r="D31" s="155"/>
      <c r="E31" s="155"/>
      <c r="F31" s="155"/>
      <c r="G31" s="155"/>
      <c r="H31" s="155"/>
      <c r="I31" s="155"/>
      <c r="J31" s="155"/>
    </row>
    <row r="32" spans="1:10" ht="25.5" customHeight="1" x14ac:dyDescent="0.25">
      <c r="A32" s="2">
        <v>11</v>
      </c>
      <c r="B32" s="47" t="s">
        <v>93</v>
      </c>
      <c r="C32" s="3" t="s">
        <v>94</v>
      </c>
      <c r="D32" s="2" t="s">
        <v>95</v>
      </c>
      <c r="E32" s="101">
        <v>2.4384050639076</v>
      </c>
      <c r="F32" s="4">
        <f>ROUND(I32/Прил.10!$D$13,2)</f>
        <v>34762.120000000003</v>
      </c>
      <c r="G32" s="14">
        <f>ROUND(E32*F32,2)</f>
        <v>84764.13</v>
      </c>
      <c r="H32" s="45">
        <f t="shared" ref="H32:H41" si="0">G32/$G$42</f>
        <v>0.3023343705864534</v>
      </c>
      <c r="I32" s="14">
        <f>6.26*34762.12</f>
        <v>217610.87119999999</v>
      </c>
      <c r="J32" s="14">
        <f>ROUND(I32*E32,2)</f>
        <v>530623.44999999995</v>
      </c>
    </row>
    <row r="33" spans="1:10" x14ac:dyDescent="0.25">
      <c r="A33" s="2">
        <v>12</v>
      </c>
      <c r="B33" s="47" t="s">
        <v>226</v>
      </c>
      <c r="C33" s="3" t="s">
        <v>227</v>
      </c>
      <c r="D33" s="2" t="s">
        <v>228</v>
      </c>
      <c r="E33" s="100">
        <v>0.40640076716741003</v>
      </c>
      <c r="F33" s="4">
        <v>167693</v>
      </c>
      <c r="G33" s="14">
        <f>ROUND(E33*F33,2)</f>
        <v>68150.559999999998</v>
      </c>
      <c r="H33" s="45">
        <f t="shared" si="0"/>
        <v>0.2430775454512932</v>
      </c>
      <c r="I33" s="14">
        <f>ROUND(F33*Прил.10!$D$13,2)</f>
        <v>1049758.18</v>
      </c>
      <c r="J33" s="14">
        <f>ROUND(I33*E33,2)</f>
        <v>426622.53</v>
      </c>
    </row>
    <row r="34" spans="1:10" ht="63.75" customHeight="1" x14ac:dyDescent="0.25">
      <c r="A34" s="2">
        <v>13</v>
      </c>
      <c r="B34" s="47" t="s">
        <v>229</v>
      </c>
      <c r="C34" s="3" t="s">
        <v>230</v>
      </c>
      <c r="D34" s="2" t="s">
        <v>228</v>
      </c>
      <c r="E34" s="100">
        <v>0.40640080564917003</v>
      </c>
      <c r="F34" s="4">
        <v>123565.7</v>
      </c>
      <c r="G34" s="14">
        <f>ROUND(E34*F34,2)</f>
        <v>50217.2</v>
      </c>
      <c r="H34" s="45">
        <f t="shared" si="0"/>
        <v>0.17911332959606907</v>
      </c>
      <c r="I34" s="14">
        <f>ROUND(F34*Прил.10!$D$13,2)</f>
        <v>773521.28</v>
      </c>
      <c r="J34" s="14">
        <f>ROUND(I34*E34,2)</f>
        <v>314359.67</v>
      </c>
    </row>
    <row r="35" spans="1:10" x14ac:dyDescent="0.25">
      <c r="A35" s="2">
        <v>14</v>
      </c>
      <c r="B35" s="47" t="s">
        <v>231</v>
      </c>
      <c r="C35" s="3" t="s">
        <v>232</v>
      </c>
      <c r="D35" s="2" t="s">
        <v>95</v>
      </c>
      <c r="E35" s="101">
        <v>0.81280160603644003</v>
      </c>
      <c r="F35" s="4">
        <v>45204.3</v>
      </c>
      <c r="G35" s="14">
        <f>ROUND(E35*F35,2)</f>
        <v>36742.129999999997</v>
      </c>
      <c r="H35" s="45">
        <f t="shared" si="0"/>
        <v>0.13105082005272331</v>
      </c>
      <c r="I35" s="14">
        <f>ROUND(F35*Прил.10!$D$13,2)</f>
        <v>282978.92</v>
      </c>
      <c r="J35" s="14">
        <f>ROUND(I35*E35,2)</f>
        <v>230005.72</v>
      </c>
    </row>
    <row r="36" spans="1:10" x14ac:dyDescent="0.25">
      <c r="A36" s="62"/>
      <c r="B36" s="2"/>
      <c r="C36" s="3" t="s">
        <v>233</v>
      </c>
      <c r="D36" s="2"/>
      <c r="E36" s="46"/>
      <c r="F36" s="4"/>
      <c r="G36" s="14">
        <f>SUM(G32:G35)</f>
        <v>239874.02000000002</v>
      </c>
      <c r="H36" s="45">
        <f t="shared" si="0"/>
        <v>0.85557606568653899</v>
      </c>
      <c r="I36" s="14"/>
      <c r="J36" s="14">
        <f>SUM(J32:J35)</f>
        <v>1501611.3699999999</v>
      </c>
    </row>
    <row r="37" spans="1:10" ht="38.25" hidden="1" customHeight="1" outlineLevel="1" x14ac:dyDescent="0.25">
      <c r="A37" s="2">
        <v>15</v>
      </c>
      <c r="B37" s="2" t="s">
        <v>234</v>
      </c>
      <c r="C37" s="3" t="s">
        <v>235</v>
      </c>
      <c r="D37" s="2" t="s">
        <v>95</v>
      </c>
      <c r="E37" s="100">
        <v>1.6256027267469999</v>
      </c>
      <c r="F37" s="4">
        <v>10196.26</v>
      </c>
      <c r="G37" s="14">
        <f>ROUND(E37*F37,2)</f>
        <v>16575.07</v>
      </c>
      <c r="H37" s="45">
        <f t="shared" si="0"/>
        <v>5.911950439267654E-2</v>
      </c>
      <c r="I37" s="14">
        <f>ROUND(F37*Прил.10!$D$13,2)</f>
        <v>63828.59</v>
      </c>
      <c r="J37" s="14">
        <f>ROUND(I37*E37,2)</f>
        <v>103759.93</v>
      </c>
    </row>
    <row r="38" spans="1:10" ht="25.5" hidden="1" customHeight="1" outlineLevel="1" x14ac:dyDescent="0.25">
      <c r="A38" s="2">
        <v>16</v>
      </c>
      <c r="B38" s="2" t="s">
        <v>236</v>
      </c>
      <c r="C38" s="3" t="s">
        <v>237</v>
      </c>
      <c r="D38" s="2" t="s">
        <v>95</v>
      </c>
      <c r="E38" s="100">
        <v>0.40640072485440998</v>
      </c>
      <c r="F38" s="4">
        <v>37158.83</v>
      </c>
      <c r="G38" s="14">
        <f>ROUND(E38*F38,2)</f>
        <v>15101.38</v>
      </c>
      <c r="H38" s="45">
        <f t="shared" si="0"/>
        <v>5.3863187379931288E-2</v>
      </c>
      <c r="I38" s="14">
        <f>ROUND(F38*Прил.10!$D$13,2)</f>
        <v>232614.28</v>
      </c>
      <c r="J38" s="14">
        <f>ROUND(I38*E38,2)</f>
        <v>94534.61</v>
      </c>
    </row>
    <row r="39" spans="1:10" ht="38.25" hidden="1" customHeight="1" outlineLevel="1" x14ac:dyDescent="0.25">
      <c r="A39" s="2">
        <v>17</v>
      </c>
      <c r="B39" s="2" t="s">
        <v>238</v>
      </c>
      <c r="C39" s="3" t="s">
        <v>239</v>
      </c>
      <c r="D39" s="2" t="s">
        <v>95</v>
      </c>
      <c r="E39" s="100">
        <v>3.2511982955594001</v>
      </c>
      <c r="F39" s="4">
        <v>2122.7199999999998</v>
      </c>
      <c r="G39" s="14">
        <f>ROUND(E39*F39,2)</f>
        <v>6901.38</v>
      </c>
      <c r="H39" s="45">
        <f t="shared" si="0"/>
        <v>2.4615652617185329E-2</v>
      </c>
      <c r="I39" s="14">
        <f>ROUND(F39*Прил.10!$D$13,2)</f>
        <v>13288.23</v>
      </c>
      <c r="J39" s="14">
        <f>ROUND(I39*E39,2)</f>
        <v>43202.67</v>
      </c>
    </row>
    <row r="40" spans="1:10" ht="25.5" hidden="1" customHeight="1" outlineLevel="1" x14ac:dyDescent="0.25">
      <c r="A40" s="2">
        <v>18</v>
      </c>
      <c r="B40" s="2" t="s">
        <v>240</v>
      </c>
      <c r="C40" s="3" t="s">
        <v>241</v>
      </c>
      <c r="D40" s="2" t="s">
        <v>95</v>
      </c>
      <c r="E40" s="100">
        <v>0.40640138275025001</v>
      </c>
      <c r="F40" s="4">
        <v>4708.8</v>
      </c>
      <c r="G40" s="14">
        <f>ROUND(E40*F40,2)</f>
        <v>1913.66</v>
      </c>
      <c r="H40" s="45">
        <f t="shared" si="0"/>
        <v>6.8255899236678574E-3</v>
      </c>
      <c r="I40" s="14">
        <f>ROUND(F40*Прил.10!$D$13,2)</f>
        <v>29477.09</v>
      </c>
      <c r="J40" s="14">
        <f>ROUND(I40*E40,2)</f>
        <v>11979.53</v>
      </c>
    </row>
    <row r="41" spans="1:10" collapsed="1" x14ac:dyDescent="0.25">
      <c r="A41" s="62"/>
      <c r="B41" s="2"/>
      <c r="C41" s="3" t="s">
        <v>242</v>
      </c>
      <c r="D41" s="2"/>
      <c r="E41" s="49"/>
      <c r="F41" s="4"/>
      <c r="G41" s="14">
        <f>SUM(G37:G40)</f>
        <v>40491.49</v>
      </c>
      <c r="H41" s="45">
        <f t="shared" si="0"/>
        <v>0.14442393431346101</v>
      </c>
      <c r="I41" s="14"/>
      <c r="J41" s="14">
        <f>SUM(J37:J40)</f>
        <v>253476.73999999996</v>
      </c>
    </row>
    <row r="42" spans="1:10" x14ac:dyDescent="0.25">
      <c r="A42" s="2"/>
      <c r="B42" s="2"/>
      <c r="C42" s="5" t="s">
        <v>243</v>
      </c>
      <c r="D42" s="2"/>
      <c r="E42" s="49"/>
      <c r="F42" s="4"/>
      <c r="G42" s="14">
        <f>G36+G41</f>
        <v>280365.51</v>
      </c>
      <c r="H42" s="45">
        <f>(G36+G41)/G42</f>
        <v>1</v>
      </c>
      <c r="I42" s="14"/>
      <c r="J42" s="14">
        <f>J41+J36</f>
        <v>1755088.1099999999</v>
      </c>
    </row>
    <row r="43" spans="1:10" ht="25.5" customHeight="1" x14ac:dyDescent="0.25">
      <c r="A43" s="2"/>
      <c r="B43" s="2"/>
      <c r="C43" s="3" t="s">
        <v>244</v>
      </c>
      <c r="D43" s="2"/>
      <c r="E43" s="49"/>
      <c r="F43" s="4"/>
      <c r="G43" s="14">
        <f>'Прил.6 Расчет ОБ'!G22</f>
        <v>280365.51</v>
      </c>
      <c r="H43" s="45">
        <f>G43/$G$42</f>
        <v>1</v>
      </c>
      <c r="I43" s="14"/>
      <c r="J43" s="14">
        <f>ROUND(G43*Прил.10!$D$13,2)</f>
        <v>1755088.09</v>
      </c>
    </row>
    <row r="44" spans="1:10" s="1" customFormat="1" ht="14.25" customHeight="1" x14ac:dyDescent="0.2">
      <c r="A44" s="60"/>
      <c r="B44" s="160" t="s">
        <v>106</v>
      </c>
      <c r="C44" s="161"/>
      <c r="D44" s="161"/>
      <c r="E44" s="161"/>
      <c r="F44" s="161"/>
      <c r="G44" s="161"/>
      <c r="H44" s="161"/>
      <c r="I44" s="161"/>
      <c r="J44" s="162"/>
    </row>
    <row r="45" spans="1:10" s="1" customFormat="1" ht="14.25" customHeight="1" x14ac:dyDescent="0.2">
      <c r="A45" s="2"/>
      <c r="B45" s="155" t="s">
        <v>245</v>
      </c>
      <c r="C45" s="155"/>
      <c r="D45" s="150"/>
      <c r="E45" s="156"/>
      <c r="F45" s="157"/>
      <c r="G45" s="157"/>
      <c r="H45" s="158"/>
      <c r="I45" s="45"/>
      <c r="J45" s="45"/>
    </row>
    <row r="46" spans="1:10" s="1" customFormat="1" ht="25.5" customHeight="1" x14ac:dyDescent="0.2">
      <c r="A46" s="2">
        <v>19</v>
      </c>
      <c r="B46" s="47" t="s">
        <v>107</v>
      </c>
      <c r="C46" s="3" t="s">
        <v>108</v>
      </c>
      <c r="D46" s="2" t="s">
        <v>109</v>
      </c>
      <c r="E46" s="46">
        <v>1.7069049193735</v>
      </c>
      <c r="F46" s="9">
        <v>18047.849999999999</v>
      </c>
      <c r="G46" s="14">
        <f>ROUND(E46*F46,2)</f>
        <v>30805.96</v>
      </c>
      <c r="H46" s="45">
        <f t="shared" ref="H46:H75" si="1">G46/$G$77</f>
        <v>0.57309170409335275</v>
      </c>
      <c r="I46" s="14">
        <f>ROUND(F46*Прил.10!$D$12,2)</f>
        <v>145104.71</v>
      </c>
      <c r="J46" s="14">
        <f>ROUND(I46*E46,2)</f>
        <v>247679.94</v>
      </c>
    </row>
    <row r="47" spans="1:10" s="1" customFormat="1" ht="25.5" customHeight="1" x14ac:dyDescent="0.2">
      <c r="A47" s="2">
        <v>20</v>
      </c>
      <c r="B47" s="47" t="s">
        <v>110</v>
      </c>
      <c r="C47" s="3" t="s">
        <v>111</v>
      </c>
      <c r="D47" s="2" t="s">
        <v>109</v>
      </c>
      <c r="E47" s="46">
        <v>1.1379358830880999</v>
      </c>
      <c r="F47" s="9">
        <v>6920.41</v>
      </c>
      <c r="G47" s="14">
        <f>ROUND(E47*F47,2)</f>
        <v>7874.98</v>
      </c>
      <c r="H47" s="45">
        <f t="shared" si="1"/>
        <v>0.14650040796979127</v>
      </c>
      <c r="I47" s="14">
        <f>ROUND(F47*Прил.10!$D$12,2)</f>
        <v>55640.1</v>
      </c>
      <c r="J47" s="14">
        <f>ROUND(I47*E47,2)</f>
        <v>63314.87</v>
      </c>
    </row>
    <row r="48" spans="1:10" s="1" customFormat="1" ht="38.25" customHeight="1" x14ac:dyDescent="0.2">
      <c r="A48" s="2">
        <v>21</v>
      </c>
      <c r="B48" s="47" t="s">
        <v>112</v>
      </c>
      <c r="C48" s="3" t="s">
        <v>113</v>
      </c>
      <c r="D48" s="2" t="s">
        <v>114</v>
      </c>
      <c r="E48" s="46">
        <v>812.47279300016999</v>
      </c>
      <c r="F48" s="9">
        <v>3.89</v>
      </c>
      <c r="G48" s="14">
        <f>ROUND(E48*F48,2)</f>
        <v>3160.52</v>
      </c>
      <c r="H48" s="45">
        <f t="shared" si="1"/>
        <v>5.879601845295921E-2</v>
      </c>
      <c r="I48" s="14">
        <f>ROUND(F48*Прил.10!$D$12,2)</f>
        <v>31.28</v>
      </c>
      <c r="J48" s="14">
        <f>ROUND(I48*E48,2)</f>
        <v>25414.15</v>
      </c>
    </row>
    <row r="49" spans="1:10" s="1" customFormat="1" ht="63.75" customHeight="1" x14ac:dyDescent="0.2">
      <c r="A49" s="2">
        <v>22</v>
      </c>
      <c r="B49" s="47" t="s">
        <v>115</v>
      </c>
      <c r="C49" s="3" t="s">
        <v>116</v>
      </c>
      <c r="D49" s="2" t="s">
        <v>117</v>
      </c>
      <c r="E49" s="46">
        <v>104.04724061592999</v>
      </c>
      <c r="F49" s="9">
        <v>22.61</v>
      </c>
      <c r="G49" s="14">
        <f>ROUND(E49*F49,2)</f>
        <v>2352.5100000000002</v>
      </c>
      <c r="H49" s="45">
        <f t="shared" si="1"/>
        <v>4.3764387306763151E-2</v>
      </c>
      <c r="I49" s="14">
        <f>ROUND(F49*Прил.10!$D$12,2)</f>
        <v>181.78</v>
      </c>
      <c r="J49" s="14">
        <f>ROUND(I49*E49,2)</f>
        <v>18913.71</v>
      </c>
    </row>
    <row r="50" spans="1:10" s="1" customFormat="1" ht="38.25" customHeight="1" x14ac:dyDescent="0.2">
      <c r="A50" s="2">
        <v>23</v>
      </c>
      <c r="B50" s="47" t="s">
        <v>118</v>
      </c>
      <c r="C50" s="3" t="s">
        <v>119</v>
      </c>
      <c r="D50" s="2" t="s">
        <v>114</v>
      </c>
      <c r="E50" s="46">
        <v>243.89725023739001</v>
      </c>
      <c r="F50" s="9">
        <v>8.3699999999999992</v>
      </c>
      <c r="G50" s="14">
        <f>ROUND(E50*F50,2)</f>
        <v>2041.42</v>
      </c>
      <c r="H50" s="45">
        <f t="shared" si="1"/>
        <v>3.7977094905344691E-2</v>
      </c>
      <c r="I50" s="14">
        <f>ROUND(F50*Прил.10!$D$12,2)</f>
        <v>67.290000000000006</v>
      </c>
      <c r="J50" s="14">
        <f>ROUND(I50*E50,2)</f>
        <v>16411.849999999999</v>
      </c>
    </row>
    <row r="51" spans="1:10" s="1" customFormat="1" ht="14.25" customHeight="1" x14ac:dyDescent="0.2">
      <c r="B51" s="2"/>
      <c r="C51" s="3" t="s">
        <v>246</v>
      </c>
      <c r="D51" s="2"/>
      <c r="E51" s="46"/>
      <c r="F51" s="4"/>
      <c r="G51" s="14">
        <f>SUM(G46:G50)</f>
        <v>46235.39</v>
      </c>
      <c r="H51" s="45">
        <f t="shared" si="1"/>
        <v>0.86012961272821109</v>
      </c>
      <c r="I51" s="14"/>
      <c r="J51" s="14">
        <f>SUM(J46:J50)</f>
        <v>371734.52</v>
      </c>
    </row>
    <row r="52" spans="1:10" s="1" customFormat="1" ht="51" hidden="1" customHeight="1" outlineLevel="1" x14ac:dyDescent="0.2">
      <c r="A52" s="2">
        <v>24</v>
      </c>
      <c r="B52" s="59" t="s">
        <v>120</v>
      </c>
      <c r="C52" s="3" t="s">
        <v>121</v>
      </c>
      <c r="D52" s="2" t="s">
        <v>114</v>
      </c>
      <c r="E52" s="46">
        <v>12.567211314162</v>
      </c>
      <c r="F52" s="9">
        <v>156.97999999999999</v>
      </c>
      <c r="G52" s="14">
        <f t="shared" ref="G52:G75" si="2">ROUND(F52*E52,2)</f>
        <v>1972.8</v>
      </c>
      <c r="H52" s="45">
        <f t="shared" si="1"/>
        <v>3.6700538267119942E-2</v>
      </c>
      <c r="I52" s="14">
        <f>ROUND(F52*Прил.10!$D$12,2)</f>
        <v>1262.1199999999999</v>
      </c>
      <c r="J52" s="14">
        <f t="shared" ref="J52:J75" si="3">ROUND(I52*E52,2)</f>
        <v>15861.33</v>
      </c>
    </row>
    <row r="53" spans="1:10" s="1" customFormat="1" ht="25.5" hidden="1" customHeight="1" outlineLevel="1" x14ac:dyDescent="0.2">
      <c r="A53" s="2">
        <v>25</v>
      </c>
      <c r="B53" s="47" t="s">
        <v>122</v>
      </c>
      <c r="C53" s="3" t="s">
        <v>123</v>
      </c>
      <c r="D53" s="2" t="s">
        <v>109</v>
      </c>
      <c r="E53" s="46">
        <v>0.29667326401972999</v>
      </c>
      <c r="F53" s="9">
        <v>3708.36</v>
      </c>
      <c r="G53" s="14">
        <f t="shared" si="2"/>
        <v>1100.17</v>
      </c>
      <c r="H53" s="45">
        <f t="shared" si="1"/>
        <v>2.0466763577320232E-2</v>
      </c>
      <c r="I53" s="14">
        <f>ROUND(F53*Прил.10!$D$12,2)</f>
        <v>29815.21</v>
      </c>
      <c r="J53" s="14">
        <f t="shared" si="3"/>
        <v>8845.3799999999992</v>
      </c>
    </row>
    <row r="54" spans="1:10" s="1" customFormat="1" ht="25.5" hidden="1" customHeight="1" outlineLevel="1" x14ac:dyDescent="0.2">
      <c r="A54" s="2">
        <v>26</v>
      </c>
      <c r="B54" s="47" t="s">
        <v>124</v>
      </c>
      <c r="C54" s="3" t="s">
        <v>125</v>
      </c>
      <c r="D54" s="2" t="s">
        <v>126</v>
      </c>
      <c r="E54" s="46">
        <v>1.5707744501808001E-2</v>
      </c>
      <c r="F54" s="9">
        <v>68050</v>
      </c>
      <c r="G54" s="14">
        <f t="shared" si="2"/>
        <v>1068.9100000000001</v>
      </c>
      <c r="H54" s="45">
        <f t="shared" si="1"/>
        <v>1.9885225242856439E-2</v>
      </c>
      <c r="I54" s="14">
        <f>ROUND(F54*Прил.10!$D$12,2)</f>
        <v>547122</v>
      </c>
      <c r="J54" s="14">
        <f t="shared" si="3"/>
        <v>8594.0499999999993</v>
      </c>
    </row>
    <row r="55" spans="1:10" s="1" customFormat="1" ht="25.5" hidden="1" customHeight="1" outlineLevel="1" x14ac:dyDescent="0.2">
      <c r="A55" s="2">
        <v>27</v>
      </c>
      <c r="B55" s="47" t="s">
        <v>247</v>
      </c>
      <c r="C55" s="3" t="s">
        <v>248</v>
      </c>
      <c r="D55" s="2" t="s">
        <v>228</v>
      </c>
      <c r="E55" s="46">
        <v>0.81281736240293001</v>
      </c>
      <c r="F55" s="9">
        <v>1249.83</v>
      </c>
      <c r="G55" s="14">
        <f t="shared" si="2"/>
        <v>1015.88</v>
      </c>
      <c r="H55" s="45">
        <f t="shared" si="1"/>
        <v>1.8898693640917379E-2</v>
      </c>
      <c r="I55" s="14">
        <f>ROUND(F55*Прил.10!$D$12,2)</f>
        <v>10048.629999999999</v>
      </c>
      <c r="J55" s="14">
        <f t="shared" si="3"/>
        <v>8167.7</v>
      </c>
    </row>
    <row r="56" spans="1:10" s="1" customFormat="1" ht="25.5" hidden="1" customHeight="1" outlineLevel="1" x14ac:dyDescent="0.2">
      <c r="A56" s="2">
        <v>28</v>
      </c>
      <c r="B56" s="47" t="s">
        <v>127</v>
      </c>
      <c r="C56" s="3" t="s">
        <v>128</v>
      </c>
      <c r="D56" s="2" t="s">
        <v>109</v>
      </c>
      <c r="E56" s="46">
        <v>0.32512446169065001</v>
      </c>
      <c r="F56" s="9">
        <v>2719.53</v>
      </c>
      <c r="G56" s="14">
        <f t="shared" si="2"/>
        <v>884.19</v>
      </c>
      <c r="H56" s="45">
        <f t="shared" si="1"/>
        <v>1.6448828533254658E-2</v>
      </c>
      <c r="I56" s="14">
        <f>ROUND(F56*Прил.10!$D$12,2)</f>
        <v>21865.02</v>
      </c>
      <c r="J56" s="14">
        <f t="shared" si="3"/>
        <v>7108.85</v>
      </c>
    </row>
    <row r="57" spans="1:10" s="1" customFormat="1" ht="14.25" hidden="1" customHeight="1" outlineLevel="1" x14ac:dyDescent="0.2">
      <c r="A57" s="2">
        <v>29</v>
      </c>
      <c r="B57" s="47" t="s">
        <v>249</v>
      </c>
      <c r="C57" s="3" t="s">
        <v>250</v>
      </c>
      <c r="D57" s="2" t="s">
        <v>95</v>
      </c>
      <c r="E57" s="46">
        <v>0.81280574428805996</v>
      </c>
      <c r="F57" s="9">
        <v>873.46</v>
      </c>
      <c r="G57" s="14">
        <f t="shared" si="2"/>
        <v>709.95</v>
      </c>
      <c r="H57" s="45">
        <f t="shared" si="1"/>
        <v>1.3207394131560121E-2</v>
      </c>
      <c r="I57" s="14">
        <f>ROUND(F57*Прил.10!$D$12,2)</f>
        <v>7022.62</v>
      </c>
      <c r="J57" s="14">
        <f t="shared" si="3"/>
        <v>5708.03</v>
      </c>
    </row>
    <row r="58" spans="1:10" s="1" customFormat="1" ht="25.5" hidden="1" customHeight="1" outlineLevel="1" x14ac:dyDescent="0.2">
      <c r="A58" s="2">
        <v>30</v>
      </c>
      <c r="B58" s="47" t="s">
        <v>129</v>
      </c>
      <c r="C58" s="3" t="s">
        <v>130</v>
      </c>
      <c r="D58" s="2" t="s">
        <v>131</v>
      </c>
      <c r="E58" s="46">
        <v>5.3564593243334002</v>
      </c>
      <c r="F58" s="9">
        <v>83</v>
      </c>
      <c r="G58" s="14">
        <f t="shared" si="2"/>
        <v>444.59</v>
      </c>
      <c r="H58" s="45">
        <f t="shared" si="1"/>
        <v>8.2708294343972304E-3</v>
      </c>
      <c r="I58" s="14">
        <f>ROUND(F58*Прил.10!$D$12,2)</f>
        <v>667.32</v>
      </c>
      <c r="J58" s="14">
        <f t="shared" si="3"/>
        <v>3574.47</v>
      </c>
    </row>
    <row r="59" spans="1:10" s="1" customFormat="1" ht="14.25" hidden="1" customHeight="1" outlineLevel="1" x14ac:dyDescent="0.2">
      <c r="A59" s="2">
        <v>31</v>
      </c>
      <c r="B59" s="47" t="s">
        <v>132</v>
      </c>
      <c r="C59" s="3" t="s">
        <v>133</v>
      </c>
      <c r="D59" s="2" t="s">
        <v>134</v>
      </c>
      <c r="E59" s="46">
        <v>4.3695722553053002</v>
      </c>
      <c r="F59" s="9">
        <v>28.93</v>
      </c>
      <c r="G59" s="14">
        <f t="shared" si="2"/>
        <v>126.41</v>
      </c>
      <c r="H59" s="45">
        <f t="shared" si="1"/>
        <v>2.3516398227628912E-3</v>
      </c>
      <c r="I59" s="14">
        <f>ROUND(F59*Прил.10!$D$12,2)</f>
        <v>232.6</v>
      </c>
      <c r="J59" s="14">
        <f t="shared" si="3"/>
        <v>1016.36</v>
      </c>
    </row>
    <row r="60" spans="1:10" s="1" customFormat="1" ht="25.5" hidden="1" customHeight="1" outlineLevel="1" x14ac:dyDescent="0.2">
      <c r="A60" s="2">
        <v>32</v>
      </c>
      <c r="B60" s="47" t="s">
        <v>135</v>
      </c>
      <c r="C60" s="3" t="s">
        <v>136</v>
      </c>
      <c r="D60" s="2" t="s">
        <v>137</v>
      </c>
      <c r="E60" s="46">
        <v>93.405136941354996</v>
      </c>
      <c r="F60" s="9">
        <v>1</v>
      </c>
      <c r="G60" s="14">
        <f t="shared" si="2"/>
        <v>93.41</v>
      </c>
      <c r="H60" s="45">
        <f t="shared" si="1"/>
        <v>1.7377317921389262E-3</v>
      </c>
      <c r="I60" s="14">
        <f>ROUND(F60*Прил.10!$D$12,2)</f>
        <v>8.0399999999999991</v>
      </c>
      <c r="J60" s="14">
        <f t="shared" si="3"/>
        <v>750.98</v>
      </c>
    </row>
    <row r="61" spans="1:10" s="1" customFormat="1" ht="14.25" hidden="1" customHeight="1" outlineLevel="1" x14ac:dyDescent="0.2">
      <c r="A61" s="2">
        <v>33</v>
      </c>
      <c r="B61" s="47" t="s">
        <v>138</v>
      </c>
      <c r="C61" s="3" t="s">
        <v>139</v>
      </c>
      <c r="D61" s="2" t="s">
        <v>140</v>
      </c>
      <c r="E61" s="46">
        <v>3.0145913193926002</v>
      </c>
      <c r="F61" s="9">
        <v>6.9</v>
      </c>
      <c r="G61" s="14">
        <f t="shared" si="2"/>
        <v>20.8</v>
      </c>
      <c r="H61" s="45">
        <f t="shared" si="1"/>
        <v>3.8694809202965069E-4</v>
      </c>
      <c r="I61" s="14">
        <f>ROUND(F61*Прил.10!$D$12,2)</f>
        <v>55.48</v>
      </c>
      <c r="J61" s="14">
        <f t="shared" si="3"/>
        <v>167.25</v>
      </c>
    </row>
    <row r="62" spans="1:10" s="1" customFormat="1" ht="25.5" hidden="1" customHeight="1" outlineLevel="1" x14ac:dyDescent="0.2">
      <c r="A62" s="2">
        <v>34</v>
      </c>
      <c r="B62" s="47" t="s">
        <v>141</v>
      </c>
      <c r="C62" s="3" t="s">
        <v>142</v>
      </c>
      <c r="D62" s="2" t="s">
        <v>134</v>
      </c>
      <c r="E62" s="46">
        <v>0.52025323955184</v>
      </c>
      <c r="F62" s="9">
        <v>38.340000000000003</v>
      </c>
      <c r="G62" s="14">
        <f t="shared" si="2"/>
        <v>19.95</v>
      </c>
      <c r="H62" s="45">
        <f t="shared" si="1"/>
        <v>3.7113530942266975E-4</v>
      </c>
      <c r="I62" s="14">
        <f>ROUND(F62*Прил.10!$D$12,2)</f>
        <v>308.25</v>
      </c>
      <c r="J62" s="14">
        <f t="shared" si="3"/>
        <v>160.37</v>
      </c>
    </row>
    <row r="63" spans="1:10" s="1" customFormat="1" ht="51" hidden="1" customHeight="1" outlineLevel="1" x14ac:dyDescent="0.2">
      <c r="A63" s="2">
        <v>35</v>
      </c>
      <c r="B63" s="47" t="s">
        <v>143</v>
      </c>
      <c r="C63" s="3" t="s">
        <v>144</v>
      </c>
      <c r="D63" s="2" t="s">
        <v>126</v>
      </c>
      <c r="E63" s="46">
        <v>2.8448338546109E-3</v>
      </c>
      <c r="F63" s="9">
        <v>6834.81</v>
      </c>
      <c r="G63" s="14">
        <f t="shared" si="2"/>
        <v>19.440000000000001</v>
      </c>
      <c r="H63" s="45">
        <f t="shared" si="1"/>
        <v>3.6164763985848124E-4</v>
      </c>
      <c r="I63" s="14">
        <f>ROUND(F63*Прил.10!$D$12,2)</f>
        <v>54951.87</v>
      </c>
      <c r="J63" s="14">
        <f t="shared" si="3"/>
        <v>156.33000000000001</v>
      </c>
    </row>
    <row r="64" spans="1:10" s="1" customFormat="1" ht="14.25" hidden="1" customHeight="1" outlineLevel="1" x14ac:dyDescent="0.2">
      <c r="A64" s="2">
        <v>36</v>
      </c>
      <c r="B64" s="47" t="s">
        <v>145</v>
      </c>
      <c r="C64" s="3" t="s">
        <v>146</v>
      </c>
      <c r="D64" s="2" t="s">
        <v>134</v>
      </c>
      <c r="E64" s="46">
        <v>1.2198142290326</v>
      </c>
      <c r="F64" s="9">
        <v>12.6</v>
      </c>
      <c r="G64" s="14">
        <f t="shared" si="2"/>
        <v>15.37</v>
      </c>
      <c r="H64" s="45">
        <f t="shared" si="1"/>
        <v>2.8593231608152551E-4</v>
      </c>
      <c r="I64" s="14">
        <f>ROUND(F64*Прил.10!$D$12,2)</f>
        <v>101.3</v>
      </c>
      <c r="J64" s="14">
        <f t="shared" si="3"/>
        <v>123.57</v>
      </c>
    </row>
    <row r="65" spans="1:10" s="1" customFormat="1" ht="14.25" hidden="1" customHeight="1" outlineLevel="1" x14ac:dyDescent="0.2">
      <c r="A65" s="2">
        <v>37</v>
      </c>
      <c r="B65" s="47" t="s">
        <v>147</v>
      </c>
      <c r="C65" s="3" t="s">
        <v>148</v>
      </c>
      <c r="D65" s="2" t="s">
        <v>126</v>
      </c>
      <c r="E65" s="46">
        <v>1.8851695617270001E-3</v>
      </c>
      <c r="F65" s="9">
        <v>7826.9</v>
      </c>
      <c r="G65" s="14">
        <f t="shared" si="2"/>
        <v>14.76</v>
      </c>
      <c r="H65" s="45">
        <f t="shared" si="1"/>
        <v>2.7458431915180982E-4</v>
      </c>
      <c r="I65" s="14">
        <f>ROUND(F65*Прил.10!$D$12,2)</f>
        <v>62928.28</v>
      </c>
      <c r="J65" s="14">
        <f t="shared" si="3"/>
        <v>118.63</v>
      </c>
    </row>
    <row r="66" spans="1:10" s="1" customFormat="1" ht="25.5" hidden="1" customHeight="1" outlineLevel="1" x14ac:dyDescent="0.2">
      <c r="A66" s="2">
        <v>38</v>
      </c>
      <c r="B66" s="47" t="s">
        <v>149</v>
      </c>
      <c r="C66" s="3" t="s">
        <v>150</v>
      </c>
      <c r="D66" s="2" t="s">
        <v>126</v>
      </c>
      <c r="E66" s="48">
        <v>8.1218167034278005E-5</v>
      </c>
      <c r="F66" s="9">
        <v>65750</v>
      </c>
      <c r="G66" s="14">
        <f t="shared" si="2"/>
        <v>5.34</v>
      </c>
      <c r="H66" s="45">
        <f t="shared" si="1"/>
        <v>9.9341481319150697E-5</v>
      </c>
      <c r="I66" s="14">
        <f>ROUND(F66*Прил.10!$D$12,2)</f>
        <v>528630</v>
      </c>
      <c r="J66" s="14">
        <f t="shared" si="3"/>
        <v>42.93</v>
      </c>
    </row>
    <row r="67" spans="1:10" s="1" customFormat="1" ht="25.5" hidden="1" customHeight="1" outlineLevel="1" x14ac:dyDescent="0.2">
      <c r="A67" s="2">
        <v>39</v>
      </c>
      <c r="B67" s="47" t="s">
        <v>151</v>
      </c>
      <c r="C67" s="3" t="s">
        <v>152</v>
      </c>
      <c r="D67" s="2" t="s">
        <v>134</v>
      </c>
      <c r="E67" s="46">
        <v>9.6789182736138998E-2</v>
      </c>
      <c r="F67" s="9">
        <v>25.76</v>
      </c>
      <c r="G67" s="14">
        <f t="shared" si="2"/>
        <v>2.4900000000000002</v>
      </c>
      <c r="H67" s="45">
        <f t="shared" si="1"/>
        <v>4.6322151401626453E-5</v>
      </c>
      <c r="I67" s="14">
        <f>ROUND(F67*Прил.10!$D$12,2)</f>
        <v>207.11</v>
      </c>
      <c r="J67" s="14">
        <f t="shared" si="3"/>
        <v>20.05</v>
      </c>
    </row>
    <row r="68" spans="1:10" s="1" customFormat="1" ht="14.25" hidden="1" customHeight="1" outlineLevel="1" x14ac:dyDescent="0.2">
      <c r="A68" s="2">
        <v>40</v>
      </c>
      <c r="B68" s="47" t="s">
        <v>153</v>
      </c>
      <c r="C68" s="3" t="s">
        <v>154</v>
      </c>
      <c r="D68" s="2" t="s">
        <v>126</v>
      </c>
      <c r="E68" s="46">
        <v>2.6763648826681002E-3</v>
      </c>
      <c r="F68" s="9">
        <v>729.98</v>
      </c>
      <c r="G68" s="14">
        <f t="shared" si="2"/>
        <v>1.95</v>
      </c>
      <c r="H68" s="45">
        <f t="shared" si="1"/>
        <v>3.6276383627779747E-5</v>
      </c>
      <c r="I68" s="14">
        <f>ROUND(F68*Прил.10!$D$12,2)</f>
        <v>5869.04</v>
      </c>
      <c r="J68" s="14">
        <f t="shared" si="3"/>
        <v>15.71</v>
      </c>
    </row>
    <row r="69" spans="1:10" s="1" customFormat="1" ht="14.25" hidden="1" customHeight="1" outlineLevel="1" x14ac:dyDescent="0.2">
      <c r="A69" s="2">
        <v>41</v>
      </c>
      <c r="B69" s="47" t="s">
        <v>155</v>
      </c>
      <c r="C69" s="3" t="s">
        <v>156</v>
      </c>
      <c r="D69" s="2" t="s">
        <v>95</v>
      </c>
      <c r="E69" s="46">
        <v>4.0673858262343998</v>
      </c>
      <c r="F69" s="9">
        <v>0.27</v>
      </c>
      <c r="G69" s="14">
        <f t="shared" si="2"/>
        <v>1.1000000000000001</v>
      </c>
      <c r="H69" s="45">
        <f t="shared" si="1"/>
        <v>2.0463601020798834E-5</v>
      </c>
      <c r="I69" s="14">
        <f>ROUND(F69*Прил.10!$D$12,2)</f>
        <v>2.17</v>
      </c>
      <c r="J69" s="14">
        <f t="shared" si="3"/>
        <v>8.83</v>
      </c>
    </row>
    <row r="70" spans="1:10" s="1" customFormat="1" ht="14.25" hidden="1" customHeight="1" outlineLevel="1" x14ac:dyDescent="0.2">
      <c r="A70" s="2">
        <v>42</v>
      </c>
      <c r="B70" s="47" t="s">
        <v>157</v>
      </c>
      <c r="C70" s="3" t="s">
        <v>158</v>
      </c>
      <c r="D70" s="2" t="s">
        <v>126</v>
      </c>
      <c r="E70" s="48">
        <v>4.8703610466695997E-5</v>
      </c>
      <c r="F70" s="9">
        <v>10315.01</v>
      </c>
      <c r="G70" s="14">
        <f t="shared" si="2"/>
        <v>0.5</v>
      </c>
      <c r="H70" s="45">
        <f t="shared" si="1"/>
        <v>9.3016368276358328E-6</v>
      </c>
      <c r="I70" s="14">
        <f>ROUND(F70*Прил.10!$D$12,2)</f>
        <v>82932.679999999993</v>
      </c>
      <c r="J70" s="14">
        <f t="shared" si="3"/>
        <v>4.04</v>
      </c>
    </row>
    <row r="71" spans="1:10" s="1" customFormat="1" ht="14.25" hidden="1" customHeight="1" outlineLevel="1" x14ac:dyDescent="0.2">
      <c r="A71" s="2">
        <v>43</v>
      </c>
      <c r="B71" s="47" t="s">
        <v>159</v>
      </c>
      <c r="C71" s="3" t="s">
        <v>160</v>
      </c>
      <c r="D71" s="2" t="s">
        <v>126</v>
      </c>
      <c r="E71" s="98">
        <v>8.5470809085405007E-6</v>
      </c>
      <c r="F71" s="9">
        <v>28300.400000000001</v>
      </c>
      <c r="G71" s="14">
        <f t="shared" si="2"/>
        <v>0.24</v>
      </c>
      <c r="H71" s="45">
        <f t="shared" si="1"/>
        <v>4.4647856772651997E-6</v>
      </c>
      <c r="I71" s="14">
        <f>ROUND(F71*Прил.10!$D$12,2)</f>
        <v>227535.22</v>
      </c>
      <c r="J71" s="14">
        <f t="shared" si="3"/>
        <v>1.94</v>
      </c>
    </row>
    <row r="72" spans="1:10" s="1" customFormat="1" ht="14.25" hidden="1" customHeight="1" outlineLevel="1" x14ac:dyDescent="0.2">
      <c r="A72" s="2">
        <v>44</v>
      </c>
      <c r="B72" s="47" t="s">
        <v>161</v>
      </c>
      <c r="C72" s="3" t="s">
        <v>162</v>
      </c>
      <c r="D72" s="2" t="s">
        <v>134</v>
      </c>
      <c r="E72" s="46">
        <v>6.7074865226222002E-3</v>
      </c>
      <c r="F72" s="9">
        <v>27.74</v>
      </c>
      <c r="G72" s="14">
        <f t="shared" si="2"/>
        <v>0.19</v>
      </c>
      <c r="H72" s="45">
        <f t="shared" si="1"/>
        <v>3.5346219945016167E-6</v>
      </c>
      <c r="I72" s="14">
        <f>ROUND(F72*Прил.10!$D$12,2)</f>
        <v>223.03</v>
      </c>
      <c r="J72" s="14">
        <f t="shared" si="3"/>
        <v>1.5</v>
      </c>
    </row>
    <row r="73" spans="1:10" s="1" customFormat="1" ht="14.25" hidden="1" customHeight="1" outlineLevel="1" x14ac:dyDescent="0.2">
      <c r="A73" s="2">
        <v>45</v>
      </c>
      <c r="B73" s="47" t="s">
        <v>163</v>
      </c>
      <c r="C73" s="3" t="s">
        <v>164</v>
      </c>
      <c r="D73" s="2" t="s">
        <v>126</v>
      </c>
      <c r="E73" s="98">
        <v>4.7648145926591001E-6</v>
      </c>
      <c r="F73" s="9">
        <v>15620</v>
      </c>
      <c r="G73" s="14">
        <f t="shared" si="2"/>
        <v>7.0000000000000007E-2</v>
      </c>
      <c r="H73" s="45">
        <f t="shared" si="1"/>
        <v>1.3022291558690168E-6</v>
      </c>
      <c r="I73" s="14">
        <f>ROUND(F73*Прил.10!$D$12,2)</f>
        <v>125584.8</v>
      </c>
      <c r="J73" s="14">
        <f t="shared" si="3"/>
        <v>0.6</v>
      </c>
    </row>
    <row r="74" spans="1:10" s="1" customFormat="1" ht="14.25" hidden="1" customHeight="1" outlineLevel="1" x14ac:dyDescent="0.2">
      <c r="A74" s="2">
        <v>46</v>
      </c>
      <c r="B74" s="47" t="s">
        <v>165</v>
      </c>
      <c r="C74" s="3" t="s">
        <v>166</v>
      </c>
      <c r="D74" s="2" t="s">
        <v>134</v>
      </c>
      <c r="E74" s="46">
        <v>3.9502791632966003E-3</v>
      </c>
      <c r="F74" s="9">
        <v>9.42</v>
      </c>
      <c r="G74" s="14">
        <f t="shared" si="2"/>
        <v>0.04</v>
      </c>
      <c r="H74" s="45">
        <f t="shared" si="1"/>
        <v>7.4413094621086665E-7</v>
      </c>
      <c r="I74" s="14">
        <f>ROUND(F74*Прил.10!$D$12,2)</f>
        <v>75.739999999999995</v>
      </c>
      <c r="J74" s="14">
        <f t="shared" si="3"/>
        <v>0.3</v>
      </c>
    </row>
    <row r="75" spans="1:10" s="1" customFormat="1" ht="14.25" hidden="1" customHeight="1" outlineLevel="1" x14ac:dyDescent="0.2">
      <c r="A75" s="2">
        <v>47</v>
      </c>
      <c r="B75" s="47" t="s">
        <v>167</v>
      </c>
      <c r="C75" s="3" t="s">
        <v>168</v>
      </c>
      <c r="D75" s="2" t="s">
        <v>134</v>
      </c>
      <c r="E75" s="46">
        <v>5.5788578002627003E-3</v>
      </c>
      <c r="F75" s="9">
        <v>6.67</v>
      </c>
      <c r="G75" s="14">
        <f t="shared" si="2"/>
        <v>0.04</v>
      </c>
      <c r="H75" s="45">
        <f t="shared" si="1"/>
        <v>7.4413094621086665E-7</v>
      </c>
      <c r="I75" s="14">
        <f>ROUND(F75*Прил.10!$D$12,2)</f>
        <v>53.63</v>
      </c>
      <c r="J75" s="14">
        <f t="shared" si="3"/>
        <v>0.3</v>
      </c>
    </row>
    <row r="76" spans="1:10" s="1" customFormat="1" ht="14.25" customHeight="1" collapsed="1" x14ac:dyDescent="0.2">
      <c r="A76" s="2"/>
      <c r="B76" s="2"/>
      <c r="C76" s="3" t="s">
        <v>251</v>
      </c>
      <c r="D76" s="2"/>
      <c r="E76" s="49"/>
      <c r="F76" s="4"/>
      <c r="G76" s="14">
        <f>SUM(G52:G75)</f>
        <v>7518.5899999999992</v>
      </c>
      <c r="H76" s="45">
        <f>G76/G77</f>
        <v>0.13987038727178899</v>
      </c>
      <c r="I76" s="14"/>
      <c r="J76" s="14">
        <f>SUM(J52:J75)</f>
        <v>60449.500000000007</v>
      </c>
    </row>
    <row r="77" spans="1:10" s="1" customFormat="1" ht="13.7" customHeight="1" x14ac:dyDescent="0.2">
      <c r="A77" s="2"/>
      <c r="B77" s="2"/>
      <c r="C77" s="5" t="s">
        <v>252</v>
      </c>
      <c r="D77" s="2"/>
      <c r="E77" s="49"/>
      <c r="F77" s="4"/>
      <c r="G77" s="14">
        <f>G51+G76</f>
        <v>53753.979999999996</v>
      </c>
      <c r="H77" s="45">
        <v>1</v>
      </c>
      <c r="I77" s="4"/>
      <c r="J77" s="14">
        <f>J51+J76</f>
        <v>432184.02</v>
      </c>
    </row>
    <row r="78" spans="1:10" s="1" customFormat="1" ht="14.25" customHeight="1" x14ac:dyDescent="0.2">
      <c r="A78" s="2"/>
      <c r="B78" s="2"/>
      <c r="C78" s="3" t="s">
        <v>253</v>
      </c>
      <c r="D78" s="2"/>
      <c r="E78" s="49"/>
      <c r="F78" s="4"/>
      <c r="G78" s="14">
        <f>G16+G29+G77</f>
        <v>59854.569999999992</v>
      </c>
      <c r="H78" s="45"/>
      <c r="I78" s="4"/>
      <c r="J78" s="14">
        <f>J16+J29+J77</f>
        <v>667065.28</v>
      </c>
    </row>
    <row r="79" spans="1:10" s="1" customFormat="1" ht="14.25" customHeight="1" x14ac:dyDescent="0.2">
      <c r="A79" s="2"/>
      <c r="B79" s="2"/>
      <c r="C79" s="3" t="s">
        <v>254</v>
      </c>
      <c r="D79" s="2" t="s">
        <v>255</v>
      </c>
      <c r="E79" s="55">
        <f>ROUND(G79/(G16+G18),2)</f>
        <v>2.23</v>
      </c>
      <c r="F79" s="4"/>
      <c r="G79" s="14">
        <v>11207.74</v>
      </c>
      <c r="H79" s="45"/>
      <c r="I79" s="4"/>
      <c r="J79" s="14">
        <f>ROUND(E79*(J16+J18),2)</f>
        <v>518481.51</v>
      </c>
    </row>
    <row r="80" spans="1:10" s="1" customFormat="1" ht="14.25" customHeight="1" x14ac:dyDescent="0.2">
      <c r="A80" s="2"/>
      <c r="B80" s="2"/>
      <c r="C80" s="3" t="s">
        <v>256</v>
      </c>
      <c r="D80" s="2" t="s">
        <v>255</v>
      </c>
      <c r="E80" s="55">
        <f>ROUND(G80/(G16+G18),2)</f>
        <v>1.1599999999999999</v>
      </c>
      <c r="F80" s="4"/>
      <c r="G80" s="14">
        <v>5836.44</v>
      </c>
      <c r="H80" s="45"/>
      <c r="I80" s="4"/>
      <c r="J80" s="14">
        <f>ROUND(E80*(J16+J18),2)</f>
        <v>269703.39</v>
      </c>
    </row>
    <row r="81" spans="1:10" s="1" customFormat="1" ht="14.25" customHeight="1" x14ac:dyDescent="0.2">
      <c r="A81" s="2"/>
      <c r="B81" s="2"/>
      <c r="C81" s="3" t="s">
        <v>257</v>
      </c>
      <c r="D81" s="2"/>
      <c r="E81" s="49"/>
      <c r="F81" s="4"/>
      <c r="G81" s="14">
        <f>G16+G29+G77+G79+G80</f>
        <v>76898.75</v>
      </c>
      <c r="H81" s="45"/>
      <c r="I81" s="4"/>
      <c r="J81" s="14">
        <f>J16+J29+J77+J79+J80</f>
        <v>1455250.1800000002</v>
      </c>
    </row>
    <row r="82" spans="1:10" s="1" customFormat="1" ht="14.25" customHeight="1" x14ac:dyDescent="0.2">
      <c r="A82" s="2"/>
      <c r="B82" s="2"/>
      <c r="C82" s="3" t="s">
        <v>258</v>
      </c>
      <c r="D82" s="2"/>
      <c r="E82" s="49"/>
      <c r="F82" s="4"/>
      <c r="G82" s="14">
        <f>G81+G42</f>
        <v>357264.26</v>
      </c>
      <c r="H82" s="45"/>
      <c r="I82" s="4"/>
      <c r="J82" s="14">
        <f>J81+J42</f>
        <v>3210338.29</v>
      </c>
    </row>
    <row r="83" spans="1:10" s="1" customFormat="1" ht="14.25" customHeight="1" x14ac:dyDescent="0.2">
      <c r="A83" s="2"/>
      <c r="B83" s="2"/>
      <c r="C83" s="3" t="s">
        <v>205</v>
      </c>
      <c r="D83" s="2" t="s">
        <v>259</v>
      </c>
      <c r="E83" s="89">
        <v>1</v>
      </c>
      <c r="F83" s="4"/>
      <c r="G83" s="14">
        <f>G82/E83</f>
        <v>357264.26</v>
      </c>
      <c r="H83" s="45"/>
      <c r="I83" s="4"/>
      <c r="J83" s="14">
        <f>J82/E83</f>
        <v>3210338.29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31</v>
      </c>
    </row>
    <row r="87" spans="1:10" s="1" customFormat="1" ht="14.25" customHeight="1" x14ac:dyDescent="0.2">
      <c r="A87" s="58" t="s">
        <v>32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33</v>
      </c>
    </row>
    <row r="90" spans="1:10" s="1" customFormat="1" ht="14.25" customHeight="1" x14ac:dyDescent="0.2">
      <c r="A90" s="58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4" workbookViewId="0">
      <selection activeCell="E27" sqref="E27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0" t="s">
        <v>260</v>
      </c>
      <c r="B1" s="170"/>
      <c r="C1" s="170"/>
      <c r="D1" s="170"/>
      <c r="E1" s="170"/>
      <c r="F1" s="170"/>
      <c r="G1" s="170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47" t="s">
        <v>261</v>
      </c>
      <c r="B5" s="147"/>
      <c r="C5" s="147"/>
      <c r="D5" s="147"/>
      <c r="E5" s="147"/>
      <c r="F5" s="147"/>
      <c r="G5" s="147"/>
    </row>
    <row r="6" spans="1:7" ht="64.5" customHeight="1" x14ac:dyDescent="0.25">
      <c r="A6" s="136" t="str">
        <f>'Прил.1 Сравнит табл'!B7</f>
        <v>Наименование разрабатываемого показателя УНЦ - Постоянная часть ПС, система периметральной сигнализации ЗПС 220 кВ</v>
      </c>
      <c r="B6" s="136"/>
      <c r="C6" s="136"/>
      <c r="D6" s="136"/>
      <c r="E6" s="136"/>
      <c r="F6" s="136"/>
      <c r="G6" s="136"/>
    </row>
    <row r="7" spans="1:7" x14ac:dyDescent="0.25">
      <c r="A7" s="6"/>
      <c r="B7" s="6"/>
      <c r="C7" s="6"/>
      <c r="D7" s="6"/>
      <c r="E7" s="6"/>
      <c r="F7" s="6"/>
      <c r="G7" s="6"/>
    </row>
    <row r="8" spans="1:7" ht="30.2" customHeight="1" x14ac:dyDescent="0.25">
      <c r="A8" s="171" t="s">
        <v>210</v>
      </c>
      <c r="B8" s="171" t="s">
        <v>54</v>
      </c>
      <c r="C8" s="171" t="s">
        <v>171</v>
      </c>
      <c r="D8" s="171" t="s">
        <v>56</v>
      </c>
      <c r="E8" s="151" t="s">
        <v>211</v>
      </c>
      <c r="F8" s="171" t="s">
        <v>58</v>
      </c>
      <c r="G8" s="171"/>
    </row>
    <row r="9" spans="1:7" x14ac:dyDescent="0.25">
      <c r="A9" s="171"/>
      <c r="B9" s="171"/>
      <c r="C9" s="171"/>
      <c r="D9" s="171"/>
      <c r="E9" s="152"/>
      <c r="F9" s="2" t="s">
        <v>214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66" t="s">
        <v>262</v>
      </c>
      <c r="C11" s="167"/>
      <c r="D11" s="167"/>
      <c r="E11" s="167"/>
      <c r="F11" s="167"/>
      <c r="G11" s="168"/>
    </row>
    <row r="12" spans="1:7" ht="27" customHeight="1" x14ac:dyDescent="0.25">
      <c r="A12" s="2"/>
      <c r="B12" s="5"/>
      <c r="C12" s="3" t="s">
        <v>263</v>
      </c>
      <c r="D12" s="5"/>
      <c r="E12" s="8"/>
      <c r="F12" s="4"/>
      <c r="G12" s="4">
        <v>0</v>
      </c>
    </row>
    <row r="13" spans="1:7" x14ac:dyDescent="0.25">
      <c r="A13" s="2"/>
      <c r="B13" s="155" t="s">
        <v>264</v>
      </c>
      <c r="C13" s="155"/>
      <c r="D13" s="155"/>
      <c r="E13" s="169"/>
      <c r="F13" s="157"/>
      <c r="G13" s="157"/>
    </row>
    <row r="14" spans="1:7" ht="25.5" customHeight="1" x14ac:dyDescent="0.25">
      <c r="A14" s="2">
        <v>1</v>
      </c>
      <c r="B14" s="89" t="str">
        <f>'Прил.5 Расчет СМР и ОБ'!B32</f>
        <v>Прайс из СД ОП</v>
      </c>
      <c r="C14" s="90" t="str">
        <f>'Прил.5 Расчет СМР и ОБ'!C32</f>
        <v>Чувствительный элемент броня(180м) ЧЕБ-2</v>
      </c>
      <c r="D14" s="89" t="str">
        <f>'Прил.5 Расчет СМР и ОБ'!D32</f>
        <v>шт</v>
      </c>
      <c r="E14" s="100">
        <f>'Прил.5 Расчет СМР и ОБ'!E32</f>
        <v>2.4384050639076</v>
      </c>
      <c r="F14" s="14">
        <f>'Прил.5 Расчет СМР и ОБ'!F32</f>
        <v>34762.120000000003</v>
      </c>
      <c r="G14" s="14">
        <f t="shared" ref="G14:G21" si="0">ROUND(E14*F14,2)</f>
        <v>84764.13</v>
      </c>
    </row>
    <row r="15" spans="1:7" x14ac:dyDescent="0.25">
      <c r="A15" s="2">
        <v>2</v>
      </c>
      <c r="B15" s="89" t="str">
        <f>'Прил.5 Расчет СМР и ОБ'!B33</f>
        <v>61.3.05.04-0002</v>
      </c>
      <c r="C15" s="90" t="str">
        <f>'Прил.5 Расчет СМР и ОБ'!C33</f>
        <v>Сервер HP ProLiant DL360</v>
      </c>
      <c r="D15" s="89" t="str">
        <f>'Прил.5 Расчет СМР и ОБ'!D33</f>
        <v>компл</v>
      </c>
      <c r="E15" s="100">
        <f>'Прил.5 Расчет СМР и ОБ'!E33</f>
        <v>0.40640076716741003</v>
      </c>
      <c r="F15" s="14">
        <f>'Прил.5 Расчет СМР и ОБ'!F33</f>
        <v>167693</v>
      </c>
      <c r="G15" s="14">
        <f t="shared" si="0"/>
        <v>68150.559999999998</v>
      </c>
    </row>
    <row r="16" spans="1:7" ht="63.75" customHeight="1" x14ac:dyDescent="0.25">
      <c r="A16" s="2">
        <v>3</v>
      </c>
      <c r="B16" s="89" t="str">
        <f>'Прил.5 Расчет СМР и ОБ'!B34</f>
        <v>62.1.02.10-0124</v>
      </c>
      <c r="C16" s="90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89" t="str">
        <f>'Прил.5 Расчет СМР и ОБ'!D34</f>
        <v>компл</v>
      </c>
      <c r="E16" s="100">
        <f>'Прил.5 Расчет СМР и ОБ'!E34</f>
        <v>0.40640080564917003</v>
      </c>
      <c r="F16" s="14">
        <f>'Прил.5 Расчет СМР и ОБ'!F34</f>
        <v>123565.7</v>
      </c>
      <c r="G16" s="14">
        <f t="shared" si="0"/>
        <v>50217.2</v>
      </c>
    </row>
    <row r="17" spans="1:7" x14ac:dyDescent="0.25">
      <c r="A17" s="2">
        <v>4</v>
      </c>
      <c r="B17" s="89" t="str">
        <f>'Прил.5 Расчет СМР и ОБ'!B35</f>
        <v>61.3.01.02-0001</v>
      </c>
      <c r="C17" s="90" t="str">
        <f>'Прил.5 Расчет СМР и ОБ'!C35</f>
        <v>Блок распознавания инцидентов VIP T</v>
      </c>
      <c r="D17" s="89" t="str">
        <f>'Прил.5 Расчет СМР и ОБ'!D35</f>
        <v>шт</v>
      </c>
      <c r="E17" s="100">
        <f>'Прил.5 Расчет СМР и ОБ'!E35</f>
        <v>0.81280160603644003</v>
      </c>
      <c r="F17" s="14">
        <f>'Прил.5 Расчет СМР и ОБ'!F35</f>
        <v>45204.3</v>
      </c>
      <c r="G17" s="14">
        <f t="shared" si="0"/>
        <v>36742.129999999997</v>
      </c>
    </row>
    <row r="18" spans="1:7" ht="38.25" customHeight="1" x14ac:dyDescent="0.25">
      <c r="A18" s="2">
        <v>5</v>
      </c>
      <c r="B18" s="89" t="str">
        <f>'Прил.5 Расчет СМР и ОБ'!B37</f>
        <v>61.2.07.02-0095</v>
      </c>
      <c r="C18" s="90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89" t="str">
        <f>'Прил.5 Расчет СМР и ОБ'!D37</f>
        <v>шт</v>
      </c>
      <c r="E18" s="100">
        <f>'Прил.5 Расчет СМР и ОБ'!E37</f>
        <v>1.6256027267469999</v>
      </c>
      <c r="F18" s="14">
        <f>'Прил.5 Расчет СМР и ОБ'!F37</f>
        <v>10196.26</v>
      </c>
      <c r="G18" s="14">
        <f t="shared" si="0"/>
        <v>16575.07</v>
      </c>
    </row>
    <row r="19" spans="1:7" ht="25.5" customHeight="1" x14ac:dyDescent="0.25">
      <c r="A19" s="2">
        <v>6</v>
      </c>
      <c r="B19" s="89" t="str">
        <f>'Прил.5 Расчет СМР и ОБ'!B38</f>
        <v>61.2.07.05-0067</v>
      </c>
      <c r="C19" s="90" t="str">
        <f>'Прил.5 Расчет СМР и ОБ'!C38</f>
        <v>Модуль центральный ECB с Ethernet интерфейсом</v>
      </c>
      <c r="D19" s="89" t="str">
        <f>'Прил.5 Расчет СМР и ОБ'!D38</f>
        <v>шт</v>
      </c>
      <c r="E19" s="100">
        <f>'Прил.5 Расчет СМР и ОБ'!E38</f>
        <v>0.40640072485440998</v>
      </c>
      <c r="F19" s="14">
        <f>'Прил.5 Расчет СМР и ОБ'!F38</f>
        <v>37158.83</v>
      </c>
      <c r="G19" s="14">
        <f t="shared" si="0"/>
        <v>15101.38</v>
      </c>
    </row>
    <row r="20" spans="1:7" ht="38.25" customHeight="1" x14ac:dyDescent="0.25">
      <c r="A20" s="2">
        <v>7</v>
      </c>
      <c r="B20" s="89" t="str">
        <f>'Прил.5 Расчет СМР и ОБ'!B39</f>
        <v>61.2.01.03-0019</v>
      </c>
      <c r="C20" s="90" t="str">
        <f>'Прил.5 Расчет СМР и ОБ'!C39</f>
        <v>Извещатель охранный инфракрасный пассивный: "Пирон-1", взрывозащитное исполнение</v>
      </c>
      <c r="D20" s="89" t="str">
        <f>'Прил.5 Расчет СМР и ОБ'!D39</f>
        <v>шт</v>
      </c>
      <c r="E20" s="100">
        <f>'Прил.5 Расчет СМР и ОБ'!E39</f>
        <v>3.2511982955594001</v>
      </c>
      <c r="F20" s="14">
        <f>'Прил.5 Расчет СМР и ОБ'!F39</f>
        <v>2122.7199999999998</v>
      </c>
      <c r="G20" s="14">
        <f t="shared" si="0"/>
        <v>6901.38</v>
      </c>
    </row>
    <row r="21" spans="1:7" ht="25.5" customHeight="1" x14ac:dyDescent="0.25">
      <c r="A21" s="2">
        <v>8</v>
      </c>
      <c r="B21" s="89" t="str">
        <f>'Прил.5 Расчет СМР и ОБ'!B40</f>
        <v>61.3.04.01-0001</v>
      </c>
      <c r="C21" s="90" t="str">
        <f>'Прил.5 Расчет СМР и ОБ'!C40</f>
        <v>Плата дочерняя IPO IP500 TRNK PRI UNVRSL DUAL</v>
      </c>
      <c r="D21" s="89" t="str">
        <f>'Прил.5 Расчет СМР и ОБ'!D40</f>
        <v>шт</v>
      </c>
      <c r="E21" s="100">
        <f>'Прил.5 Расчет СМР и ОБ'!E40</f>
        <v>0.40640138275025001</v>
      </c>
      <c r="F21" s="14">
        <f>'Прил.5 Расчет СМР и ОБ'!F40</f>
        <v>4708.8</v>
      </c>
      <c r="G21" s="14">
        <f t="shared" si="0"/>
        <v>1913.66</v>
      </c>
    </row>
    <row r="22" spans="1:7" ht="25.5" customHeight="1" x14ac:dyDescent="0.25">
      <c r="A22" s="2"/>
      <c r="B22" s="12"/>
      <c r="C22" s="12" t="s">
        <v>265</v>
      </c>
      <c r="D22" s="12"/>
      <c r="E22" s="13"/>
      <c r="F22" s="4"/>
      <c r="G22" s="14">
        <f>SUM(G14:G21)</f>
        <v>280365.51</v>
      </c>
    </row>
    <row r="23" spans="1:7" ht="19.5" customHeight="1" x14ac:dyDescent="0.25">
      <c r="A23" s="2"/>
      <c r="B23" s="3"/>
      <c r="C23" s="3" t="s">
        <v>266</v>
      </c>
      <c r="D23" s="3"/>
      <c r="E23" s="9"/>
      <c r="F23" s="4"/>
      <c r="G23" s="14">
        <f>G12+G22</f>
        <v>280365.51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31</v>
      </c>
      <c r="B25" s="1"/>
      <c r="C25" s="1"/>
      <c r="D25" s="10"/>
      <c r="E25" s="10"/>
      <c r="F25" s="10"/>
      <c r="G25" s="10"/>
    </row>
    <row r="26" spans="1:7" x14ac:dyDescent="0.25">
      <c r="A26" s="58" t="s">
        <v>32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33</v>
      </c>
      <c r="B28" s="1"/>
      <c r="C28" s="1"/>
      <c r="D28" s="10"/>
      <c r="E28" s="10"/>
      <c r="F28" s="10"/>
      <c r="G28" s="10"/>
    </row>
    <row r="29" spans="1:7" x14ac:dyDescent="0.25">
      <c r="A29" s="58" t="s">
        <v>34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H34" sqref="H3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267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3" t="s">
        <v>268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7" customHeight="1" x14ac:dyDescent="0.25">
      <c r="A5" s="172" t="s">
        <v>269</v>
      </c>
      <c r="B5" s="172"/>
      <c r="C5" s="172"/>
      <c r="D5" s="94" t="str">
        <f>'Прил.5 Расчет СМР и ОБ'!D6:J6</f>
        <v>Постоянная часть ПС, система периметральной сигнализации ЗПС 220 кВ</v>
      </c>
    </row>
    <row r="6" spans="1:4" ht="15.75" customHeight="1" x14ac:dyDescent="0.25">
      <c r="A6" s="57" t="s">
        <v>4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40" t="s">
        <v>270</v>
      </c>
      <c r="B8" s="140" t="s">
        <v>271</v>
      </c>
      <c r="C8" s="140" t="s">
        <v>272</v>
      </c>
      <c r="D8" s="140" t="s">
        <v>273</v>
      </c>
    </row>
    <row r="9" spans="1:4" x14ac:dyDescent="0.25">
      <c r="A9" s="140"/>
      <c r="B9" s="140"/>
      <c r="C9" s="140"/>
      <c r="D9" s="140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274</v>
      </c>
      <c r="B11" s="36" t="s">
        <v>275</v>
      </c>
      <c r="C11" s="95" t="s">
        <v>276</v>
      </c>
      <c r="D11" s="96">
        <f>'Прил.4 РМ'!C41/1000</f>
        <v>3105.4307199999994</v>
      </c>
    </row>
    <row r="13" spans="1:4" x14ac:dyDescent="0.25">
      <c r="A13" s="6" t="s">
        <v>277</v>
      </c>
      <c r="B13" s="1"/>
      <c r="C13" s="1"/>
      <c r="D13" s="10"/>
    </row>
    <row r="14" spans="1:4" x14ac:dyDescent="0.25">
      <c r="A14" s="58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58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11" zoomScale="60" zoomScaleNormal="100" workbookViewId="0">
      <selection activeCell="G32" sqref="G32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34" t="s">
        <v>278</v>
      </c>
      <c r="C4" s="134"/>
      <c r="D4" s="134"/>
    </row>
    <row r="5" spans="2:5" ht="18.75" customHeight="1" x14ac:dyDescent="0.25">
      <c r="B5" s="34"/>
    </row>
    <row r="6" spans="2:5" ht="15.75" customHeight="1" x14ac:dyDescent="0.25">
      <c r="B6" s="135" t="s">
        <v>279</v>
      </c>
      <c r="C6" s="135"/>
      <c r="D6" s="135"/>
    </row>
    <row r="7" spans="2:5" x14ac:dyDescent="0.25">
      <c r="B7" s="173"/>
      <c r="C7" s="173"/>
      <c r="D7" s="173"/>
      <c r="E7" s="173"/>
    </row>
    <row r="8" spans="2:5" ht="47.25" customHeight="1" x14ac:dyDescent="0.25">
      <c r="B8" s="36" t="s">
        <v>280</v>
      </c>
      <c r="C8" s="36" t="s">
        <v>281</v>
      </c>
      <c r="D8" s="36" t="s">
        <v>282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7" customHeight="1" x14ac:dyDescent="0.25">
      <c r="B10" s="36" t="s">
        <v>283</v>
      </c>
      <c r="C10" s="36" t="s">
        <v>284</v>
      </c>
      <c r="D10" s="36">
        <v>44.29</v>
      </c>
    </row>
    <row r="11" spans="2:5" ht="31.7" customHeight="1" x14ac:dyDescent="0.25">
      <c r="B11" s="36" t="s">
        <v>285</v>
      </c>
      <c r="C11" s="36" t="s">
        <v>284</v>
      </c>
      <c r="D11" s="36">
        <v>13.47</v>
      </c>
    </row>
    <row r="12" spans="2:5" ht="31.7" customHeight="1" x14ac:dyDescent="0.25">
      <c r="B12" s="36" t="s">
        <v>286</v>
      </c>
      <c r="C12" s="36" t="s">
        <v>284</v>
      </c>
      <c r="D12" s="36">
        <v>8.0399999999999991</v>
      </c>
    </row>
    <row r="13" spans="2:5" ht="31.7" customHeight="1" x14ac:dyDescent="0.25">
      <c r="B13" s="36" t="s">
        <v>287</v>
      </c>
      <c r="C13" s="37" t="s">
        <v>288</v>
      </c>
      <c r="D13" s="36">
        <v>6.26</v>
      </c>
    </row>
    <row r="14" spans="2:5" ht="78.75" customHeight="1" x14ac:dyDescent="0.25">
      <c r="B14" s="36" t="s">
        <v>289</v>
      </c>
      <c r="C14" s="36" t="s">
        <v>290</v>
      </c>
      <c r="D14" s="38">
        <v>3.9E-2</v>
      </c>
    </row>
    <row r="15" spans="2:5" ht="78.75" customHeight="1" x14ac:dyDescent="0.25">
      <c r="B15" s="36" t="s">
        <v>291</v>
      </c>
      <c r="C15" s="36" t="s">
        <v>292</v>
      </c>
      <c r="D15" s="38">
        <v>2.1000000000000001E-2</v>
      </c>
    </row>
    <row r="16" spans="2:5" ht="15.75" customHeight="1" x14ac:dyDescent="0.25">
      <c r="B16" s="36" t="s">
        <v>195</v>
      </c>
      <c r="C16" s="36"/>
      <c r="D16" s="36" t="s">
        <v>293</v>
      </c>
    </row>
    <row r="17" spans="2:4" ht="31.7" customHeight="1" x14ac:dyDescent="0.25">
      <c r="B17" s="36" t="s">
        <v>294</v>
      </c>
      <c r="C17" s="36" t="s">
        <v>295</v>
      </c>
      <c r="D17" s="38">
        <v>2.1399999999999999E-2</v>
      </c>
    </row>
    <row r="18" spans="2:4" ht="31.7" customHeight="1" x14ac:dyDescent="0.25">
      <c r="B18" s="36" t="s">
        <v>201</v>
      </c>
      <c r="C18" s="36" t="s">
        <v>296</v>
      </c>
      <c r="D18" s="38">
        <v>2E-3</v>
      </c>
    </row>
    <row r="19" spans="2:4" ht="24" customHeight="1" x14ac:dyDescent="0.25">
      <c r="B19" s="36" t="s">
        <v>203</v>
      </c>
      <c r="C19" s="36" t="s">
        <v>297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31</v>
      </c>
      <c r="C26" s="1"/>
    </row>
    <row r="27" spans="2:4" x14ac:dyDescent="0.25">
      <c r="B27" s="58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58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tabSelected="1" view="pageBreakPreview" workbookViewId="0">
      <selection activeCell="J12" sqref="J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76" t="s">
        <v>298</v>
      </c>
      <c r="B2" s="176"/>
      <c r="C2" s="176"/>
      <c r="D2" s="176"/>
      <c r="E2" s="176"/>
      <c r="F2" s="176"/>
    </row>
    <row r="4" spans="1:7" ht="18" customHeight="1" x14ac:dyDescent="0.25">
      <c r="A4" s="19" t="s">
        <v>299</v>
      </c>
    </row>
    <row r="5" spans="1:7" x14ac:dyDescent="0.25">
      <c r="A5" s="20" t="s">
        <v>210</v>
      </c>
      <c r="B5" s="20" t="s">
        <v>300</v>
      </c>
      <c r="C5" s="20" t="s">
        <v>301</v>
      </c>
      <c r="D5" s="20" t="s">
        <v>302</v>
      </c>
      <c r="E5" s="20" t="s">
        <v>303</v>
      </c>
      <c r="F5" s="20" t="s">
        <v>304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305</v>
      </c>
      <c r="B7" s="23" t="s">
        <v>306</v>
      </c>
      <c r="C7" s="22" t="s">
        <v>307</v>
      </c>
      <c r="D7" s="22" t="s">
        <v>308</v>
      </c>
      <c r="E7" s="24">
        <v>47872.94</v>
      </c>
      <c r="F7" s="23" t="s">
        <v>309</v>
      </c>
    </row>
    <row r="8" spans="1:7" ht="30.2" customHeight="1" x14ac:dyDescent="0.25">
      <c r="A8" s="21" t="s">
        <v>310</v>
      </c>
      <c r="B8" s="23" t="s">
        <v>311</v>
      </c>
      <c r="C8" s="22" t="s">
        <v>312</v>
      </c>
      <c r="D8" s="22" t="s">
        <v>313</v>
      </c>
      <c r="E8" s="24">
        <f>1973/12</f>
        <v>164.41666666667001</v>
      </c>
      <c r="F8" s="23" t="s">
        <v>314</v>
      </c>
      <c r="G8" s="25"/>
    </row>
    <row r="9" spans="1:7" x14ac:dyDescent="0.25">
      <c r="A9" s="21" t="s">
        <v>315</v>
      </c>
      <c r="B9" s="23" t="s">
        <v>316</v>
      </c>
      <c r="C9" s="22" t="s">
        <v>317</v>
      </c>
      <c r="D9" s="22" t="s">
        <v>308</v>
      </c>
      <c r="E9" s="24">
        <v>1</v>
      </c>
      <c r="F9" s="23"/>
      <c r="G9" s="26"/>
    </row>
    <row r="10" spans="1:7" x14ac:dyDescent="0.25">
      <c r="A10" s="21" t="s">
        <v>318</v>
      </c>
      <c r="B10" s="23" t="s">
        <v>319</v>
      </c>
      <c r="C10" s="22"/>
      <c r="D10" s="22"/>
      <c r="E10" s="27">
        <v>3.9</v>
      </c>
      <c r="F10" s="23" t="s">
        <v>320</v>
      </c>
      <c r="G10" s="26"/>
    </row>
    <row r="11" spans="1:7" ht="75.2" customHeight="1" x14ac:dyDescent="0.25">
      <c r="A11" s="21" t="s">
        <v>321</v>
      </c>
      <c r="B11" s="23" t="s">
        <v>322</v>
      </c>
      <c r="C11" s="22" t="s">
        <v>323</v>
      </c>
      <c r="D11" s="22" t="s">
        <v>308</v>
      </c>
      <c r="E11" s="28">
        <v>1.3240000000000001</v>
      </c>
      <c r="F11" s="23" t="s">
        <v>324</v>
      </c>
    </row>
    <row r="12" spans="1:7" ht="75.2" customHeight="1" x14ac:dyDescent="0.25">
      <c r="A12" s="21" t="s">
        <v>325</v>
      </c>
      <c r="B12" s="29" t="s">
        <v>326</v>
      </c>
      <c r="C12" s="22" t="s">
        <v>327</v>
      </c>
      <c r="D12" s="22" t="s">
        <v>308</v>
      </c>
      <c r="E12" s="30">
        <v>1.139</v>
      </c>
      <c r="F12" s="31" t="s">
        <v>328</v>
      </c>
      <c r="G12" s="26"/>
    </row>
    <row r="13" spans="1:7" ht="60" customHeight="1" x14ac:dyDescent="0.25">
      <c r="A13" s="21" t="s">
        <v>329</v>
      </c>
      <c r="B13" s="32" t="s">
        <v>330</v>
      </c>
      <c r="C13" s="22" t="s">
        <v>331</v>
      </c>
      <c r="D13" s="22" t="s">
        <v>332</v>
      </c>
      <c r="E13" s="33">
        <f>((E7*E9/E8)*E11)*E12</f>
        <v>439.09244974661999</v>
      </c>
      <c r="F13" s="23" t="s">
        <v>333</v>
      </c>
    </row>
    <row r="14" spans="1:7" ht="15.6" customHeight="1" x14ac:dyDescent="0.25">
      <c r="A14" s="103"/>
      <c r="B14" s="174" t="s">
        <v>334</v>
      </c>
      <c r="C14" s="174"/>
      <c r="D14" s="174"/>
      <c r="E14" s="174"/>
      <c r="F14" s="175"/>
      <c r="G14" s="104"/>
    </row>
    <row r="15" spans="1:7" ht="109.35" customHeight="1" x14ac:dyDescent="0.25">
      <c r="A15" s="105" t="s">
        <v>305</v>
      </c>
      <c r="B15" s="106" t="s">
        <v>306</v>
      </c>
      <c r="C15" s="107" t="s">
        <v>335</v>
      </c>
      <c r="D15" s="107" t="s">
        <v>308</v>
      </c>
      <c r="E15" s="108">
        <v>47872.94</v>
      </c>
      <c r="F15" s="106" t="s">
        <v>309</v>
      </c>
      <c r="G15" s="109"/>
    </row>
    <row r="16" spans="1:7" ht="31.35" customHeight="1" x14ac:dyDescent="0.25">
      <c r="A16" s="105" t="s">
        <v>310</v>
      </c>
      <c r="B16" s="106" t="s">
        <v>311</v>
      </c>
      <c r="C16" s="107" t="s">
        <v>336</v>
      </c>
      <c r="D16" s="107" t="s">
        <v>313</v>
      </c>
      <c r="E16" s="110">
        <f>1973/12</f>
        <v>164.41666666667001</v>
      </c>
      <c r="F16" s="111" t="s">
        <v>314</v>
      </c>
      <c r="G16" s="112"/>
    </row>
    <row r="17" spans="1:7" ht="15.6" customHeight="1" x14ac:dyDescent="0.25">
      <c r="A17" s="105" t="s">
        <v>315</v>
      </c>
      <c r="B17" s="106" t="s">
        <v>316</v>
      </c>
      <c r="C17" s="107" t="s">
        <v>317</v>
      </c>
      <c r="D17" s="107" t="s">
        <v>308</v>
      </c>
      <c r="E17" s="110">
        <v>1</v>
      </c>
      <c r="F17" s="111"/>
      <c r="G17" s="113"/>
    </row>
    <row r="18" spans="1:7" ht="15.6" customHeight="1" x14ac:dyDescent="0.25">
      <c r="A18" s="105" t="s">
        <v>318</v>
      </c>
      <c r="B18" s="106" t="s">
        <v>319</v>
      </c>
      <c r="C18" s="107"/>
      <c r="D18" s="107"/>
      <c r="E18" s="114"/>
      <c r="F18" s="111" t="s">
        <v>320</v>
      </c>
      <c r="G18" s="113"/>
    </row>
    <row r="19" spans="1:7" ht="78.2" customHeight="1" x14ac:dyDescent="0.25">
      <c r="A19" s="115" t="s">
        <v>321</v>
      </c>
      <c r="B19" s="116" t="s">
        <v>322</v>
      </c>
      <c r="C19" s="117" t="s">
        <v>337</v>
      </c>
      <c r="D19" s="117" t="s">
        <v>308</v>
      </c>
      <c r="E19" s="118">
        <v>2.35</v>
      </c>
      <c r="F19" s="116" t="s">
        <v>324</v>
      </c>
      <c r="G19" s="109"/>
    </row>
    <row r="20" spans="1:7" ht="78.2" customHeight="1" x14ac:dyDescent="0.25">
      <c r="A20" s="105" t="s">
        <v>325</v>
      </c>
      <c r="B20" s="119" t="s">
        <v>326</v>
      </c>
      <c r="C20" s="107" t="s">
        <v>338</v>
      </c>
      <c r="D20" s="107" t="s">
        <v>308</v>
      </c>
      <c r="E20" s="120">
        <v>1.139</v>
      </c>
      <c r="F20" s="121" t="s">
        <v>328</v>
      </c>
      <c r="G20" s="113"/>
    </row>
    <row r="21" spans="1:7" ht="62.45" customHeight="1" x14ac:dyDescent="0.25">
      <c r="A21" s="105" t="s">
        <v>329</v>
      </c>
      <c r="B21" s="122" t="s">
        <v>339</v>
      </c>
      <c r="C21" s="107" t="s">
        <v>340</v>
      </c>
      <c r="D21" s="107" t="s">
        <v>341</v>
      </c>
      <c r="E21" s="123">
        <f>((E15*E17/E16)*E19)*E20</f>
        <v>779.35593421793999</v>
      </c>
      <c r="F21" s="106" t="s">
        <v>333</v>
      </c>
      <c r="G21" s="109"/>
    </row>
    <row r="22" spans="1:7" ht="15.6" customHeight="1" x14ac:dyDescent="0.25">
      <c r="A22" s="103"/>
      <c r="B22" s="174" t="s">
        <v>75</v>
      </c>
      <c r="C22" s="174"/>
      <c r="D22" s="174"/>
      <c r="E22" s="174"/>
      <c r="F22" s="175"/>
      <c r="G22" s="104"/>
    </row>
    <row r="23" spans="1:7" ht="109.35" customHeight="1" x14ac:dyDescent="0.25">
      <c r="A23" s="105" t="s">
        <v>305</v>
      </c>
      <c r="B23" s="106" t="s">
        <v>306</v>
      </c>
      <c r="C23" s="107" t="s">
        <v>335</v>
      </c>
      <c r="D23" s="107" t="s">
        <v>308</v>
      </c>
      <c r="E23" s="108">
        <v>47872.94</v>
      </c>
      <c r="F23" s="106" t="s">
        <v>309</v>
      </c>
      <c r="G23" s="109"/>
    </row>
    <row r="24" spans="1:7" ht="31.35" customHeight="1" x14ac:dyDescent="0.25">
      <c r="A24" s="105" t="s">
        <v>310</v>
      </c>
      <c r="B24" s="106" t="s">
        <v>311</v>
      </c>
      <c r="C24" s="107" t="s">
        <v>336</v>
      </c>
      <c r="D24" s="107" t="s">
        <v>313</v>
      </c>
      <c r="E24" s="110">
        <f>1973/12</f>
        <v>164.41666666667001</v>
      </c>
      <c r="F24" s="111" t="s">
        <v>314</v>
      </c>
      <c r="G24" s="112"/>
    </row>
    <row r="25" spans="1:7" ht="15.6" customHeight="1" x14ac:dyDescent="0.25">
      <c r="A25" s="105" t="s">
        <v>315</v>
      </c>
      <c r="B25" s="106" t="s">
        <v>316</v>
      </c>
      <c r="C25" s="107" t="s">
        <v>317</v>
      </c>
      <c r="D25" s="107" t="s">
        <v>308</v>
      </c>
      <c r="E25" s="110">
        <v>1</v>
      </c>
      <c r="F25" s="111"/>
      <c r="G25" s="113"/>
    </row>
    <row r="26" spans="1:7" ht="15.6" customHeight="1" x14ac:dyDescent="0.25">
      <c r="A26" s="105" t="s">
        <v>318</v>
      </c>
      <c r="B26" s="106" t="s">
        <v>319</v>
      </c>
      <c r="C26" s="107"/>
      <c r="D26" s="107"/>
      <c r="E26" s="114">
        <v>1</v>
      </c>
      <c r="F26" s="111" t="s">
        <v>320</v>
      </c>
      <c r="G26" s="113"/>
    </row>
    <row r="27" spans="1:7" ht="78.2" customHeight="1" x14ac:dyDescent="0.25">
      <c r="A27" s="115" t="s">
        <v>321</v>
      </c>
      <c r="B27" s="116" t="s">
        <v>322</v>
      </c>
      <c r="C27" s="117" t="s">
        <v>337</v>
      </c>
      <c r="D27" s="117" t="s">
        <v>308</v>
      </c>
      <c r="E27" s="118">
        <v>2.15</v>
      </c>
      <c r="F27" s="116" t="s">
        <v>324</v>
      </c>
      <c r="G27" s="109"/>
    </row>
    <row r="28" spans="1:7" ht="78.2" customHeight="1" x14ac:dyDescent="0.25">
      <c r="A28" s="105" t="s">
        <v>325</v>
      </c>
      <c r="B28" s="119" t="s">
        <v>326</v>
      </c>
      <c r="C28" s="107" t="s">
        <v>338</v>
      </c>
      <c r="D28" s="107" t="s">
        <v>308</v>
      </c>
      <c r="E28" s="120">
        <v>1.139</v>
      </c>
      <c r="F28" s="121" t="s">
        <v>328</v>
      </c>
      <c r="G28" s="113"/>
    </row>
    <row r="29" spans="1:7" ht="62.45" customHeight="1" x14ac:dyDescent="0.25">
      <c r="A29" s="105" t="s">
        <v>329</v>
      </c>
      <c r="B29" s="122" t="s">
        <v>339</v>
      </c>
      <c r="C29" s="107" t="s">
        <v>340</v>
      </c>
      <c r="D29" s="107" t="s">
        <v>341</v>
      </c>
      <c r="E29" s="123">
        <f>((E23*E25/E24)*E27)*E28</f>
        <v>713.02776960364997</v>
      </c>
      <c r="F29" s="106" t="s">
        <v>333</v>
      </c>
      <c r="G29" s="109"/>
    </row>
    <row r="30" spans="1:7" ht="15.6" customHeight="1" x14ac:dyDescent="0.25">
      <c r="A30" s="103"/>
      <c r="B30" s="174" t="s">
        <v>77</v>
      </c>
      <c r="C30" s="174"/>
      <c r="D30" s="174"/>
      <c r="E30" s="174"/>
      <c r="F30" s="175"/>
      <c r="G30" s="104"/>
    </row>
    <row r="31" spans="1:7" ht="109.35" customHeight="1" x14ac:dyDescent="0.25">
      <c r="A31" s="105" t="s">
        <v>305</v>
      </c>
      <c r="B31" s="106" t="s">
        <v>306</v>
      </c>
      <c r="C31" s="107" t="s">
        <v>335</v>
      </c>
      <c r="D31" s="107" t="s">
        <v>308</v>
      </c>
      <c r="E31" s="108">
        <v>47872.94</v>
      </c>
      <c r="F31" s="106" t="s">
        <v>309</v>
      </c>
      <c r="G31" s="109"/>
    </row>
    <row r="32" spans="1:7" ht="31.35" customHeight="1" x14ac:dyDescent="0.25">
      <c r="A32" s="105" t="s">
        <v>310</v>
      </c>
      <c r="B32" s="106" t="s">
        <v>311</v>
      </c>
      <c r="C32" s="107" t="s">
        <v>336</v>
      </c>
      <c r="D32" s="107" t="s">
        <v>313</v>
      </c>
      <c r="E32" s="110">
        <f>1973/12</f>
        <v>164.41666666667001</v>
      </c>
      <c r="F32" s="111" t="s">
        <v>314</v>
      </c>
      <c r="G32" s="112"/>
    </row>
    <row r="33" spans="1:7" ht="15.6" customHeight="1" x14ac:dyDescent="0.25">
      <c r="A33" s="105" t="s">
        <v>315</v>
      </c>
      <c r="B33" s="106" t="s">
        <v>316</v>
      </c>
      <c r="C33" s="107" t="s">
        <v>317</v>
      </c>
      <c r="D33" s="107" t="s">
        <v>308</v>
      </c>
      <c r="E33" s="110">
        <v>1</v>
      </c>
      <c r="F33" s="111"/>
      <c r="G33" s="113"/>
    </row>
    <row r="34" spans="1:7" ht="15.6" customHeight="1" x14ac:dyDescent="0.25">
      <c r="A34" s="105" t="s">
        <v>318</v>
      </c>
      <c r="B34" s="106" t="s">
        <v>319</v>
      </c>
      <c r="C34" s="107"/>
      <c r="D34" s="107"/>
      <c r="E34" s="114">
        <v>2</v>
      </c>
      <c r="F34" s="111" t="s">
        <v>320</v>
      </c>
      <c r="G34" s="113"/>
    </row>
    <row r="35" spans="1:7" ht="78.2" customHeight="1" x14ac:dyDescent="0.25">
      <c r="A35" s="115" t="s">
        <v>321</v>
      </c>
      <c r="B35" s="116" t="s">
        <v>322</v>
      </c>
      <c r="C35" s="117" t="s">
        <v>337</v>
      </c>
      <c r="D35" s="117" t="s">
        <v>308</v>
      </c>
      <c r="E35" s="118">
        <v>1.96</v>
      </c>
      <c r="F35" s="116" t="s">
        <v>324</v>
      </c>
      <c r="G35" s="109"/>
    </row>
    <row r="36" spans="1:7" ht="78.2" customHeight="1" x14ac:dyDescent="0.25">
      <c r="A36" s="105" t="s">
        <v>325</v>
      </c>
      <c r="B36" s="119" t="s">
        <v>326</v>
      </c>
      <c r="C36" s="107" t="s">
        <v>338</v>
      </c>
      <c r="D36" s="107" t="s">
        <v>308</v>
      </c>
      <c r="E36" s="120">
        <v>1.139</v>
      </c>
      <c r="F36" s="121" t="s">
        <v>328</v>
      </c>
      <c r="G36" s="113"/>
    </row>
    <row r="37" spans="1:7" ht="62.45" customHeight="1" x14ac:dyDescent="0.25">
      <c r="A37" s="105" t="s">
        <v>329</v>
      </c>
      <c r="B37" s="122" t="s">
        <v>339</v>
      </c>
      <c r="C37" s="107" t="s">
        <v>340</v>
      </c>
      <c r="D37" s="107" t="s">
        <v>341</v>
      </c>
      <c r="E37" s="123">
        <f>((E31*E33/E32)*E35)*E36</f>
        <v>650.01601322007002</v>
      </c>
      <c r="F37" s="106" t="s">
        <v>333</v>
      </c>
      <c r="G37" s="109"/>
    </row>
    <row r="38" spans="1:7" ht="15.6" customHeight="1" x14ac:dyDescent="0.25">
      <c r="A38" s="103"/>
      <c r="B38" s="174" t="s">
        <v>342</v>
      </c>
      <c r="C38" s="174"/>
      <c r="D38" s="174"/>
      <c r="E38" s="174"/>
      <c r="F38" s="175"/>
      <c r="G38" s="104"/>
    </row>
    <row r="39" spans="1:7" ht="109.35" customHeight="1" x14ac:dyDescent="0.25">
      <c r="A39" s="105" t="s">
        <v>305</v>
      </c>
      <c r="B39" s="106" t="s">
        <v>306</v>
      </c>
      <c r="C39" s="107" t="s">
        <v>335</v>
      </c>
      <c r="D39" s="107" t="s">
        <v>308</v>
      </c>
      <c r="E39" s="108">
        <v>47872.94</v>
      </c>
      <c r="F39" s="106" t="s">
        <v>309</v>
      </c>
      <c r="G39" s="109"/>
    </row>
    <row r="40" spans="1:7" ht="31.35" customHeight="1" x14ac:dyDescent="0.25">
      <c r="A40" s="105" t="s">
        <v>310</v>
      </c>
      <c r="B40" s="106" t="s">
        <v>311</v>
      </c>
      <c r="C40" s="107" t="s">
        <v>336</v>
      </c>
      <c r="D40" s="107" t="s">
        <v>313</v>
      </c>
      <c r="E40" s="110">
        <f>1973/12</f>
        <v>164.41666666667001</v>
      </c>
      <c r="F40" s="111" t="s">
        <v>314</v>
      </c>
      <c r="G40" s="112"/>
    </row>
    <row r="41" spans="1:7" ht="15.6" customHeight="1" x14ac:dyDescent="0.25">
      <c r="A41" s="105" t="s">
        <v>315</v>
      </c>
      <c r="B41" s="106" t="s">
        <v>316</v>
      </c>
      <c r="C41" s="107" t="s">
        <v>317</v>
      </c>
      <c r="D41" s="107" t="s">
        <v>308</v>
      </c>
      <c r="E41" s="110">
        <v>1</v>
      </c>
      <c r="F41" s="111"/>
      <c r="G41" s="113"/>
    </row>
    <row r="42" spans="1:7" ht="15.6" customHeight="1" x14ac:dyDescent="0.25">
      <c r="A42" s="105" t="s">
        <v>318</v>
      </c>
      <c r="B42" s="106" t="s">
        <v>319</v>
      </c>
      <c r="C42" s="107"/>
      <c r="D42" s="107"/>
      <c r="E42" s="114">
        <v>3</v>
      </c>
      <c r="F42" s="111" t="s">
        <v>320</v>
      </c>
      <c r="G42" s="113"/>
    </row>
    <row r="43" spans="1:7" ht="78.2" customHeight="1" x14ac:dyDescent="0.25">
      <c r="A43" s="115" t="s">
        <v>321</v>
      </c>
      <c r="B43" s="116" t="s">
        <v>322</v>
      </c>
      <c r="C43" s="117" t="s">
        <v>337</v>
      </c>
      <c r="D43" s="117" t="s">
        <v>308</v>
      </c>
      <c r="E43" s="118">
        <v>1.76</v>
      </c>
      <c r="F43" s="116" t="s">
        <v>324</v>
      </c>
      <c r="G43" s="109"/>
    </row>
    <row r="44" spans="1:7" ht="78.2" customHeight="1" x14ac:dyDescent="0.25">
      <c r="A44" s="105" t="s">
        <v>325</v>
      </c>
      <c r="B44" s="119" t="s">
        <v>326</v>
      </c>
      <c r="C44" s="107" t="s">
        <v>338</v>
      </c>
      <c r="D44" s="107" t="s">
        <v>308</v>
      </c>
      <c r="E44" s="120">
        <v>1.139</v>
      </c>
      <c r="F44" s="121" t="s">
        <v>328</v>
      </c>
      <c r="G44" s="113"/>
    </row>
    <row r="45" spans="1:7" ht="62.45" customHeight="1" x14ac:dyDescent="0.25">
      <c r="A45" s="105" t="s">
        <v>329</v>
      </c>
      <c r="B45" s="122" t="s">
        <v>339</v>
      </c>
      <c r="C45" s="107" t="s">
        <v>340</v>
      </c>
      <c r="D45" s="107" t="s">
        <v>341</v>
      </c>
      <c r="E45" s="123">
        <f>((E39*E41/E40)*E43)*E44</f>
        <v>583.68784860578</v>
      </c>
      <c r="F45" s="106" t="s">
        <v>333</v>
      </c>
      <c r="G45" s="109"/>
    </row>
    <row r="46" spans="1:7" ht="15.6" customHeight="1" x14ac:dyDescent="0.25">
      <c r="A46" s="103"/>
      <c r="B46" s="174" t="s">
        <v>343</v>
      </c>
      <c r="C46" s="174"/>
      <c r="D46" s="174"/>
      <c r="E46" s="174"/>
      <c r="F46" s="175"/>
      <c r="G46" s="104"/>
    </row>
    <row r="47" spans="1:7" ht="109.35" customHeight="1" x14ac:dyDescent="0.25">
      <c r="A47" s="105" t="s">
        <v>305</v>
      </c>
      <c r="B47" s="106" t="s">
        <v>306</v>
      </c>
      <c r="C47" s="107" t="s">
        <v>335</v>
      </c>
      <c r="D47" s="107" t="s">
        <v>308</v>
      </c>
      <c r="E47" s="108">
        <v>47872.94</v>
      </c>
      <c r="F47" s="106" t="s">
        <v>309</v>
      </c>
      <c r="G47" s="109"/>
    </row>
    <row r="48" spans="1:7" ht="31.35" customHeight="1" x14ac:dyDescent="0.25">
      <c r="A48" s="105" t="s">
        <v>310</v>
      </c>
      <c r="B48" s="106" t="s">
        <v>311</v>
      </c>
      <c r="C48" s="107" t="s">
        <v>336</v>
      </c>
      <c r="D48" s="107" t="s">
        <v>313</v>
      </c>
      <c r="E48" s="110">
        <f>1973/12</f>
        <v>164.41666666667001</v>
      </c>
      <c r="F48" s="111" t="s">
        <v>314</v>
      </c>
      <c r="G48" s="112"/>
    </row>
    <row r="49" spans="1:7" ht="15.6" customHeight="1" x14ac:dyDescent="0.25">
      <c r="A49" s="105" t="s">
        <v>315</v>
      </c>
      <c r="B49" s="106" t="s">
        <v>316</v>
      </c>
      <c r="C49" s="107" t="s">
        <v>317</v>
      </c>
      <c r="D49" s="107" t="s">
        <v>308</v>
      </c>
      <c r="E49" s="110">
        <v>1</v>
      </c>
      <c r="F49" s="111"/>
      <c r="G49" s="113"/>
    </row>
    <row r="50" spans="1:7" ht="15.6" customHeight="1" x14ac:dyDescent="0.25">
      <c r="A50" s="105" t="s">
        <v>318</v>
      </c>
      <c r="B50" s="106" t="s">
        <v>319</v>
      </c>
      <c r="C50" s="107"/>
      <c r="D50" s="107"/>
      <c r="E50" s="114">
        <v>1</v>
      </c>
      <c r="F50" s="111" t="s">
        <v>320</v>
      </c>
      <c r="G50" s="113"/>
    </row>
    <row r="51" spans="1:7" ht="78.2" customHeight="1" x14ac:dyDescent="0.25">
      <c r="A51" s="115" t="s">
        <v>321</v>
      </c>
      <c r="B51" s="116" t="s">
        <v>322</v>
      </c>
      <c r="C51" s="117" t="s">
        <v>337</v>
      </c>
      <c r="D51" s="117" t="s">
        <v>308</v>
      </c>
      <c r="E51" s="118">
        <v>1.42</v>
      </c>
      <c r="F51" s="116" t="s">
        <v>324</v>
      </c>
      <c r="G51" s="109"/>
    </row>
    <row r="52" spans="1:7" ht="78.2" customHeight="1" x14ac:dyDescent="0.25">
      <c r="A52" s="105" t="s">
        <v>325</v>
      </c>
      <c r="B52" s="119" t="s">
        <v>326</v>
      </c>
      <c r="C52" s="107" t="s">
        <v>338</v>
      </c>
      <c r="D52" s="107" t="s">
        <v>308</v>
      </c>
      <c r="E52" s="120">
        <v>1.139</v>
      </c>
      <c r="F52" s="121" t="s">
        <v>328</v>
      </c>
      <c r="G52" s="113"/>
    </row>
    <row r="53" spans="1:7" ht="62.45" customHeight="1" x14ac:dyDescent="0.25">
      <c r="A53" s="105" t="s">
        <v>329</v>
      </c>
      <c r="B53" s="122" t="s">
        <v>339</v>
      </c>
      <c r="C53" s="107" t="s">
        <v>340</v>
      </c>
      <c r="D53" s="107" t="s">
        <v>341</v>
      </c>
      <c r="E53" s="123">
        <f>((E47*E49/E48)*E51)*E52</f>
        <v>470.92996876147998</v>
      </c>
      <c r="F53" s="106" t="s">
        <v>333</v>
      </c>
      <c r="G53" s="109"/>
    </row>
  </sheetData>
  <mergeCells count="6">
    <mergeCell ref="B46:F46"/>
    <mergeCell ref="A2:F2"/>
    <mergeCell ref="B14:F14"/>
    <mergeCell ref="B22:F22"/>
    <mergeCell ref="B30:F30"/>
    <mergeCell ref="B38:F38"/>
  </mergeCells>
  <pageMargins left="0.7" right="0.7" top="0.75" bottom="0.75" header="0.3" footer="0.3"/>
  <pageSetup paperSize="9" scale="56"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2023-11-27T04:26:46Z</cp:lastPrinted>
  <dcterms:created xsi:type="dcterms:W3CDTF">2020-09-30T08:50:27Z</dcterms:created>
  <dcterms:modified xsi:type="dcterms:W3CDTF">2023-11-27T04:26:58Z</dcterms:modified>
  <cp:category/>
</cp:coreProperties>
</file>