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EBE48BA0-77A3-4D96-A278-D3D32C21D706}" xr6:coauthVersionLast="40" xr6:coauthVersionMax="40" xr10:uidLastSave="{00000000-0000-0000-0000-000000000000}"/>
  <bookViews>
    <workbookView xWindow="0" yWindow="0" windowWidth="28800" windowHeight="12225" tabRatio="89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Прил.3!$A$1:$H$78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ФОТр.тек.!$A$1:$F$53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53" i="9" l="1"/>
  <c r="E48" i="9"/>
  <c r="E45" i="9"/>
  <c r="E40" i="9"/>
  <c r="E37" i="9"/>
  <c r="E32" i="9"/>
  <c r="E29" i="9"/>
  <c r="E24" i="9"/>
  <c r="E21" i="9"/>
  <c r="E16" i="9"/>
  <c r="E13" i="9"/>
  <c r="E8" i="9"/>
  <c r="D5" i="7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F16" i="6"/>
  <c r="E16" i="6"/>
  <c r="G16" i="6" s="1"/>
  <c r="D16" i="6"/>
  <c r="C16" i="6"/>
  <c r="B16" i="6"/>
  <c r="F15" i="6"/>
  <c r="E15" i="6"/>
  <c r="G15" i="6" s="1"/>
  <c r="D15" i="6"/>
  <c r="C15" i="6"/>
  <c r="B15" i="6"/>
  <c r="E14" i="6"/>
  <c r="D14" i="6"/>
  <c r="C14" i="6"/>
  <c r="B14" i="6"/>
  <c r="A6" i="6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J76" i="5" s="1"/>
  <c r="C17" i="4" s="1"/>
  <c r="G52" i="5"/>
  <c r="I50" i="5"/>
  <c r="J50" i="5" s="1"/>
  <c r="G50" i="5"/>
  <c r="J49" i="5"/>
  <c r="I49" i="5"/>
  <c r="G49" i="5"/>
  <c r="J48" i="5"/>
  <c r="I48" i="5"/>
  <c r="G48" i="5"/>
  <c r="I47" i="5"/>
  <c r="J47" i="5" s="1"/>
  <c r="G47" i="5"/>
  <c r="J46" i="5"/>
  <c r="J51" i="5" s="1"/>
  <c r="I46" i="5"/>
  <c r="G46" i="5"/>
  <c r="G51" i="5" s="1"/>
  <c r="I40" i="5"/>
  <c r="J40" i="5" s="1"/>
  <c r="G40" i="5"/>
  <c r="I39" i="5"/>
  <c r="J39" i="5" s="1"/>
  <c r="G39" i="5"/>
  <c r="I38" i="5"/>
  <c r="J38" i="5" s="1"/>
  <c r="G38" i="5"/>
  <c r="G41" i="5" s="1"/>
  <c r="I37" i="5"/>
  <c r="J37" i="5" s="1"/>
  <c r="J41" i="5" s="1"/>
  <c r="G37" i="5"/>
  <c r="I35" i="5"/>
  <c r="J35" i="5" s="1"/>
  <c r="G35" i="5"/>
  <c r="J34" i="5"/>
  <c r="I34" i="5"/>
  <c r="G34" i="5"/>
  <c r="J33" i="5"/>
  <c r="I33" i="5"/>
  <c r="G33" i="5"/>
  <c r="J32" i="5"/>
  <c r="I32" i="5"/>
  <c r="F32" i="5"/>
  <c r="F14" i="6" s="1"/>
  <c r="J27" i="5"/>
  <c r="I27" i="5"/>
  <c r="G27" i="5"/>
  <c r="J26" i="5"/>
  <c r="I26" i="5"/>
  <c r="G26" i="5"/>
  <c r="I25" i="5"/>
  <c r="J25" i="5" s="1"/>
  <c r="J28" i="5" s="1"/>
  <c r="C13" i="4" s="1"/>
  <c r="G25" i="5"/>
  <c r="G28" i="5" s="1"/>
  <c r="I23" i="5"/>
  <c r="J23" i="5" s="1"/>
  <c r="G23" i="5"/>
  <c r="I22" i="5"/>
  <c r="J22" i="5" s="1"/>
  <c r="G22" i="5"/>
  <c r="I21" i="5"/>
  <c r="J21" i="5" s="1"/>
  <c r="G21" i="5"/>
  <c r="G18" i="5"/>
  <c r="F18" i="5" s="1"/>
  <c r="I18" i="5" s="1"/>
  <c r="J18" i="5" s="1"/>
  <c r="C15" i="4" s="1"/>
  <c r="E16" i="5"/>
  <c r="J15" i="5"/>
  <c r="I15" i="5"/>
  <c r="G15" i="5"/>
  <c r="F15" i="5"/>
  <c r="J14" i="5"/>
  <c r="J16" i="5" s="1"/>
  <c r="I14" i="5"/>
  <c r="G14" i="5"/>
  <c r="F14" i="5"/>
  <c r="J13" i="5"/>
  <c r="I13" i="5"/>
  <c r="G13" i="5"/>
  <c r="G16" i="5" s="1"/>
  <c r="A7" i="5"/>
  <c r="B8" i="4"/>
  <c r="B7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A7" i="3"/>
  <c r="F14" i="2"/>
  <c r="H12" i="2"/>
  <c r="D19" i="1" s="1"/>
  <c r="D17" i="1" s="1"/>
  <c r="B7" i="2"/>
  <c r="B6" i="2"/>
  <c r="D18" i="1"/>
  <c r="J24" i="5" l="1"/>
  <c r="J36" i="5"/>
  <c r="J42" i="5" s="1"/>
  <c r="C25" i="4" s="1"/>
  <c r="C16" i="4"/>
  <c r="J77" i="5"/>
  <c r="C18" i="4"/>
  <c r="C11" i="4"/>
  <c r="C22" i="4" s="1"/>
  <c r="G14" i="6"/>
  <c r="G22" i="6" s="1"/>
  <c r="G32" i="5"/>
  <c r="G76" i="5"/>
  <c r="G77" i="5" s="1"/>
  <c r="G24" i="5"/>
  <c r="J14" i="2"/>
  <c r="H15" i="5"/>
  <c r="D23" i="1"/>
  <c r="D24" i="1"/>
  <c r="E79" i="5"/>
  <c r="J79" i="5" s="1"/>
  <c r="H14" i="5"/>
  <c r="E80" i="5"/>
  <c r="J80" i="5" s="1"/>
  <c r="C20" i="4"/>
  <c r="H13" i="5"/>
  <c r="H73" i="5" l="1"/>
  <c r="H70" i="5"/>
  <c r="H67" i="5"/>
  <c r="H64" i="5"/>
  <c r="H61" i="5"/>
  <c r="H58" i="5"/>
  <c r="H50" i="5"/>
  <c r="H47" i="5"/>
  <c r="H48" i="5"/>
  <c r="H57" i="5"/>
  <c r="H68" i="5"/>
  <c r="H71" i="5"/>
  <c r="H66" i="5"/>
  <c r="H59" i="5"/>
  <c r="H62" i="5"/>
  <c r="H65" i="5"/>
  <c r="H49" i="5"/>
  <c r="H74" i="5"/>
  <c r="H69" i="5"/>
  <c r="H54" i="5"/>
  <c r="H72" i="5"/>
  <c r="H52" i="5"/>
  <c r="H75" i="5"/>
  <c r="H46" i="5"/>
  <c r="H51" i="5"/>
  <c r="H55" i="5"/>
  <c r="H53" i="5"/>
  <c r="H60" i="5"/>
  <c r="H63" i="5"/>
  <c r="H56" i="5"/>
  <c r="C19" i="4"/>
  <c r="G23" i="6"/>
  <c r="G43" i="5"/>
  <c r="J81" i="5"/>
  <c r="J82" i="5" s="1"/>
  <c r="J83" i="5" s="1"/>
  <c r="G29" i="5"/>
  <c r="H24" i="5" s="1"/>
  <c r="H76" i="5"/>
  <c r="J29" i="5"/>
  <c r="J78" i="5" s="1"/>
  <c r="C12" i="4"/>
  <c r="C14" i="4" s="1"/>
  <c r="G36" i="5"/>
  <c r="D22" i="4"/>
  <c r="C24" i="4"/>
  <c r="D20" i="4" s="1"/>
  <c r="H42" i="5" l="1"/>
  <c r="G42" i="5"/>
  <c r="H36" i="5" s="1"/>
  <c r="J43" i="5"/>
  <c r="C26" i="4" s="1"/>
  <c r="H43" i="5"/>
  <c r="H25" i="5"/>
  <c r="H26" i="5"/>
  <c r="H23" i="5"/>
  <c r="H27" i="5"/>
  <c r="H21" i="5"/>
  <c r="H28" i="5"/>
  <c r="G81" i="5"/>
  <c r="G82" i="5" s="1"/>
  <c r="G83" i="5" s="1"/>
  <c r="H22" i="5"/>
  <c r="G78" i="5"/>
  <c r="C29" i="4"/>
  <c r="D18" i="4"/>
  <c r="D16" i="4"/>
  <c r="D14" i="4"/>
  <c r="D12" i="4"/>
  <c r="D17" i="4"/>
  <c r="D13" i="4"/>
  <c r="D11" i="4"/>
  <c r="C27" i="4"/>
  <c r="D24" i="4"/>
  <c r="C30" i="4"/>
  <c r="D15" i="4"/>
  <c r="H35" i="5" l="1"/>
  <c r="H33" i="5"/>
  <c r="H39" i="5"/>
  <c r="H38" i="5"/>
  <c r="H37" i="5"/>
  <c r="H41" i="5"/>
  <c r="H40" i="5"/>
  <c r="H34" i="5"/>
  <c r="H32" i="5"/>
  <c r="C37" i="4"/>
  <c r="C36" i="4"/>
  <c r="C38" i="4" s="1"/>
  <c r="C39" i="4" l="1"/>
  <c r="C40" i="4" l="1"/>
  <c r="E39" i="4" s="1"/>
  <c r="E40" i="4" l="1"/>
  <c r="E33" i="4"/>
  <c r="E34" i="4"/>
  <c r="E14" i="4"/>
  <c r="E32" i="4"/>
  <c r="E16" i="4"/>
  <c r="E31" i="4"/>
  <c r="E17" i="4"/>
  <c r="E13" i="4"/>
  <c r="E11" i="4"/>
  <c r="E26" i="4"/>
  <c r="C41" i="4"/>
  <c r="D11" i="7" s="1"/>
  <c r="E25" i="4"/>
  <c r="E18" i="4"/>
  <c r="E12" i="4"/>
  <c r="E35" i="4"/>
  <c r="E15" i="4"/>
  <c r="E20" i="4"/>
  <c r="E22" i="4"/>
  <c r="E24" i="4"/>
  <c r="E30" i="4"/>
  <c r="E27" i="4"/>
  <c r="E29" i="4"/>
  <c r="E38" i="4"/>
  <c r="E37" i="4"/>
  <c r="E36" i="4"/>
</calcChain>
</file>

<file path=xl/sharedStrings.xml><?xml version="1.0" encoding="utf-8"?>
<sst xmlns="http://schemas.openxmlformats.org/spreadsheetml/2006/main" count="730" uniqueCount="343">
  <si>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</si>
  <si>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</si>
  <si>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</si>
  <si>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УНЦ: Постоянная часть ПС, система периметральной сигнализации ЗПС 35 кВ</t>
  </si>
  <si>
    <t xml:space="preserve">Сопоставимый уровень цен: </t>
  </si>
  <si>
    <t>3 квартал 2015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</si>
  <si>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</si>
  <si>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</si>
  <si>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</si>
  <si>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</si>
  <si>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</si>
  <si>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</si>
  <si>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</si>
  <si>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</si>
  <si>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</si>
  <si>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</si>
  <si>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</si>
  <si>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</si>
  <si>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161,33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</si>
  <si>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</si>
  <si>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</si>
  <si>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</si>
  <si>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</si>
  <si>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</si>
  <si>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</si>
  <si>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</si>
  <si>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</si>
  <si>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</si>
  <si>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</si>
  <si>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</si>
  <si>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</si>
  <si>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</si>
  <si>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</si>
  <si>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</si>
  <si>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</si>
  <si>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</si>
  <si>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</si>
  <si>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</si>
  <si>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</si>
  <si>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</si>
  <si>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</si>
  <si>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</si>
  <si>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</si>
  <si>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</si>
  <si>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</si>
  <si>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</si>
  <si>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</si>
  <si>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ЗПС 35 кВ</t>
  </si>
  <si>
    <t>Всего по объекту:</t>
  </si>
  <si>
    <t>Всего по объекту в сопоставимом уровне цен 3кв. 2015г: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</si>
  <si>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</si>
  <si>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</si>
  <si>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</si>
  <si>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</si>
  <si>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</si>
  <si>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</si>
  <si>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</si>
  <si>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</si>
  <si>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</si>
  <si>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</si>
  <si>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</si>
  <si>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</si>
  <si>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</si>
  <si>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</si>
  <si>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</si>
  <si>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</si>
  <si>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</si>
  <si>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</si>
  <si>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</si>
  <si>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</si>
  <si>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</si>
  <si>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</si>
  <si>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</si>
  <si>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</si>
  <si>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</si>
  <si>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</si>
  <si>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</si>
  <si>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</si>
  <si>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</si>
  <si>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</si>
  <si>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</si>
  <si>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</si>
  <si>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</si>
  <si>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</si>
  <si>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</si>
  <si>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</si>
  <si>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</si>
  <si>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</si>
  <si>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</si>
  <si>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</si>
  <si>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</si>
  <si>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</si>
  <si>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</si>
  <si>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</si>
  <si>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</si>
  <si>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</si>
  <si>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</si>
  <si>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</si>
  <si>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</si>
  <si>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</si>
  <si>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</si>
  <si>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</si>
  <si>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</si>
  <si>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</si>
  <si>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</si>
  <si>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</si>
  <si>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</si>
  <si>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</si>
  <si>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</si>
  <si>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</si>
  <si>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</si>
  <si>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</si>
  <si>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</si>
  <si>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</si>
  <si>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</si>
  <si>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</si>
  <si>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</si>
  <si>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</si>
  <si>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</si>
  <si>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</si>
  <si>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</si>
  <si>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</si>
  <si>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</si>
  <si>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</si>
  <si>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</si>
  <si>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</si>
  <si>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</si>
  <si>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</si>
  <si>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</si>
  <si>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</si>
  <si>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</si>
  <si>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</si>
  <si>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</si>
  <si>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</si>
  <si>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</si>
  <si>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</si>
  <si>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</si>
  <si>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</si>
  <si>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</si>
  <si>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</si>
  <si>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</si>
  <si>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</si>
  <si>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</si>
  <si>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</si>
  <si>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</si>
  <si>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</si>
  <si>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</si>
  <si>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</si>
  <si>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</si>
  <si>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</si>
  <si>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</si>
  <si>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</si>
  <si>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</si>
  <si>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</si>
  <si>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</si>
  <si>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</si>
  <si>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</si>
  <si>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</si>
  <si>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</si>
  <si>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</si>
  <si>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</si>
  <si>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</si>
  <si>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</si>
  <si>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</si>
  <si>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</si>
  <si>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</si>
  <si>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</si>
  <si>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</si>
  <si>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</si>
  <si>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</si>
  <si>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</si>
  <si>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</si>
  <si>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</si>
  <si>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</si>
  <si>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</si>
  <si>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</si>
  <si>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</si>
  <si>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</si>
  <si>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</si>
  <si>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</si>
  <si>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</si>
  <si>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</si>
  <si>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</si>
  <si>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</si>
  <si>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</si>
  <si>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</si>
  <si>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</si>
  <si>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</si>
  <si>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</si>
  <si>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</si>
  <si>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</si>
  <si>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</si>
  <si>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</si>
  <si>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</si>
  <si>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</si>
  <si>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</si>
  <si>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</si>
  <si>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</si>
  <si>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</si>
  <si>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</si>
  <si>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</si>
  <si>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</si>
  <si>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</si>
  <si>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</si>
  <si>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</si>
  <si>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</si>
  <si>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</si>
  <si>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</si>
  <si>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</si>
  <si>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ЗПС 35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</si>
  <si>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</si>
  <si>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</si>
  <si>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</si>
  <si>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</si>
  <si>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</si>
  <si>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</si>
  <si>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</si>
  <si>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</si>
  <si>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</si>
  <si>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</si>
  <si>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</si>
  <si>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</si>
  <si>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</si>
  <si>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</si>
  <si>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</si>
  <si>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</si>
  <si>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</si>
  <si>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</si>
  <si>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</si>
  <si>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</si>
  <si>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</si>
  <si>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</si>
  <si>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</si>
  <si>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</si>
  <si>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</si>
  <si>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</si>
  <si>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</si>
  <si>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</si>
  <si>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</si>
  <si>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</si>
  <si>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</si>
  <si>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</si>
  <si>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</si>
  <si>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</si>
  <si>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</si>
  <si>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</si>
  <si>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</si>
  <si>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</si>
  <si>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</si>
  <si>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</si>
  <si>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</si>
  <si>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</si>
  <si>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</si>
  <si>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</si>
  <si>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</si>
  <si>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</si>
  <si>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</si>
  <si>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</si>
  <si>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</si>
  <si>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</si>
  <si>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</si>
  <si>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</si>
  <si>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</si>
  <si>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</si>
  <si>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</si>
  <si>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</si>
  <si>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</si>
  <si>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</si>
  <si>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</si>
  <si>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</si>
  <si>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</si>
  <si>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</si>
  <si>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</si>
  <si>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</si>
  <si>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</si>
  <si>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</si>
  <si>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З2_ЗПС_пер.сигн._35_кВ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</si>
  <si>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</si>
  <si>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</si>
  <si>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</si>
  <si>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</si>
  <si>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</si>
  <si>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</si>
  <si>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</si>
  <si>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</si>
  <si>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</si>
  <si>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</si>
  <si>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</si>
  <si>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</si>
  <si>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</si>
  <si>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</si>
  <si>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</si>
  <si>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</si>
  <si>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</si>
  <si>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</si>
  <si>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</si>
  <si>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</si>
  <si>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</si>
  <si>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</si>
  <si>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</si>
  <si>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</si>
  <si>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</si>
  <si>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</si>
  <si>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</si>
  <si>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</si>
  <si>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</si>
  <si>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</si>
  <si>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</si>
  <si>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</si>
  <si>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</si>
  <si>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</si>
  <si>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</si>
  <si>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</si>
  <si>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</si>
  <si>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</si>
  <si>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</si>
  <si>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</si>
  <si>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</si>
  <si>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</si>
  <si>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</si>
  <si>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</si>
  <si>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</si>
  <si>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</si>
  <si>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</si>
  <si>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</si>
  <si>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</si>
  <si>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</si>
  <si>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</si>
  <si>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</si>
  <si>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</si>
  <si>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</si>
  <si>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</si>
  <si>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</si>
  <si>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Ведущий инженер</t>
  </si>
  <si>
    <r>
      <t>С</t>
    </r>
    <r>
      <rPr>
        <vertAlign val="subscript"/>
        <sz val="12"/>
        <color rgb="FF000000"/>
        <rFont val="Times New Roman"/>
      </rPr>
      <t>1ср</t>
    </r>
  </si>
  <si>
    <r>
      <t>t</t>
    </r>
    <r>
      <rPr>
        <vertAlign val="subscript"/>
        <sz val="12"/>
        <color rgb="FF000000"/>
        <rFont val="Times New Roman"/>
      </rPr>
      <t>ср</t>
    </r>
  </si>
  <si>
    <r>
      <t>К</t>
    </r>
    <r>
      <rPr>
        <vertAlign val="subscript"/>
        <sz val="12"/>
        <color rgb="FF000000"/>
        <rFont val="Times New Roman"/>
      </rPr>
      <t>Т</t>
    </r>
  </si>
  <si>
    <r>
      <t>К</t>
    </r>
    <r>
      <rPr>
        <vertAlign val="subscript"/>
        <sz val="12"/>
        <color rgb="FF000000"/>
        <rFont val="Times New Roman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</si>
  <si>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</si>
  <si>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</si>
  <si>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</si>
  <si>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Инженер III категории</t>
  </si>
  <si>
    <t>Техник I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</si>
</sst>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00"/>
    <numFmt numFmtId="170" formatCode="#,##0.000000"/>
  </numFmts>
  <fonts count="21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u/>
      <sz val="12"/>
      <color rgb="FF0000FF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vertAlign val="subscript"/>
      <sz val="12"/>
      <color rgb="FF000000"/>
      <name val="Times New Roman"/>
    </font>
    <font>
      <b/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9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14" fillId="0" borderId="2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0" xfId="0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9" fillId="0" borderId="0" xfId="0" applyFont="1"/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4" fontId="1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278279</xdr:colOff>
      <xdr:row>28</xdr:row>
      <xdr:rowOff>212165</xdr:rowOff>
    </xdr:from>
    <xdr:to>
      <xdr:col>2</xdr:col>
      <xdr:colOff>1223081</xdr:colOff>
      <xdr:row>31</xdr:row>
      <xdr:rowOff>36197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5BB48B-00BA-4193-B4C8-00302287C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514" y="11070665"/>
          <a:ext cx="944802" cy="518797"/>
        </a:xfrm>
        <a:prstGeom prst="rect">
          <a:avLst/>
        </a:prstGeom>
      </xdr:spPr>
    </xdr:pic>
    <xdr:clientData/>
  </xdr:twoCellAnchor>
  <xdr:twoCellAnchor editAs="oneCell">
    <xdr:from>
      <xdr:col>2</xdr:col>
      <xdr:colOff>430679</xdr:colOff>
      <xdr:row>26</xdr:row>
      <xdr:rowOff>187</xdr:rowOff>
    </xdr:from>
    <xdr:to>
      <xdr:col>2</xdr:col>
      <xdr:colOff>1097298</xdr:colOff>
      <xdr:row>28</xdr:row>
      <xdr:rowOff>288365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1F2CC88-5131-4DA2-B890-0F064958B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14" y="10455275"/>
          <a:ext cx="666619" cy="6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238125</xdr:rowOff>
    </xdr:from>
    <xdr:to>
      <xdr:col>2</xdr:col>
      <xdr:colOff>1754427</xdr:colOff>
      <xdr:row>20</xdr:row>
      <xdr:rowOff>63838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C13504-A72C-470D-ABC7-661D4A844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0290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15</xdr:row>
      <xdr:rowOff>15875</xdr:rowOff>
    </xdr:from>
    <xdr:to>
      <xdr:col>2</xdr:col>
      <xdr:colOff>1628644</xdr:colOff>
      <xdr:row>18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A4F2847-B947-43C6-9F15-355A61903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3416300"/>
          <a:ext cx="666619" cy="688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166688</xdr:colOff>
      <xdr:row>71</xdr:row>
      <xdr:rowOff>102054</xdr:rowOff>
    </xdr:from>
    <xdr:to>
      <xdr:col>2</xdr:col>
      <xdr:colOff>1111490</xdr:colOff>
      <xdr:row>74</xdr:row>
      <xdr:rowOff>27553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088B5D5-A3ED-4F3B-BB2A-8260781C8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9771179"/>
          <a:ext cx="944802" cy="496999"/>
        </a:xfrm>
        <a:prstGeom prst="rect">
          <a:avLst/>
        </a:prstGeom>
      </xdr:spPr>
    </xdr:pic>
    <xdr:clientData/>
  </xdr:twoCellAnchor>
  <xdr:twoCellAnchor editAs="oneCell">
    <xdr:from>
      <xdr:col>2</xdr:col>
      <xdr:colOff>319088</xdr:colOff>
      <xdr:row>68</xdr:row>
      <xdr:rowOff>95251</xdr:rowOff>
    </xdr:from>
    <xdr:to>
      <xdr:col>2</xdr:col>
      <xdr:colOff>985707</xdr:colOff>
      <xdr:row>71</xdr:row>
      <xdr:rowOff>178254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C112BAB-1D1D-449E-AECD-2F30B229E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9192876"/>
          <a:ext cx="666619" cy="654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819150</xdr:colOff>
      <xdr:row>43</xdr:row>
      <xdr:rowOff>123825</xdr:rowOff>
    </xdr:from>
    <xdr:to>
      <xdr:col>1</xdr:col>
      <xdr:colOff>1763952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5EB48AA-A968-4FE7-8B6F-657423E4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11925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D06B45C-ADE0-47E0-B281-4029E9935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500446</xdr:colOff>
      <xdr:row>86</xdr:row>
      <xdr:rowOff>143640</xdr:rowOff>
    </xdr:from>
    <xdr:to>
      <xdr:col>1</xdr:col>
      <xdr:colOff>1440486</xdr:colOff>
      <xdr:row>89</xdr:row>
      <xdr:rowOff>113672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EAB55C-8DB4-4EAD-8EA4-2A9FDE85F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446" y="14050140"/>
          <a:ext cx="940040" cy="489577"/>
        </a:xfrm>
        <a:prstGeom prst="rect">
          <a:avLst/>
        </a:prstGeom>
      </xdr:spPr>
    </xdr:pic>
    <xdr:clientData/>
  </xdr:twoCellAnchor>
  <xdr:twoCellAnchor editAs="oneCell">
    <xdr:from>
      <xdr:col>1</xdr:col>
      <xdr:colOff>652846</xdr:colOff>
      <xdr:row>83</xdr:row>
      <xdr:rowOff>113334</xdr:rowOff>
    </xdr:from>
    <xdr:to>
      <xdr:col>1</xdr:col>
      <xdr:colOff>1319465</xdr:colOff>
      <xdr:row>87</xdr:row>
      <xdr:rowOff>46658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EB058AF-5C48-494A-9CF4-3A3EAD75E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846" y="13482970"/>
          <a:ext cx="666619" cy="6433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25</xdr:row>
      <xdr:rowOff>114300</xdr:rowOff>
    </xdr:from>
    <xdr:to>
      <xdr:col>2</xdr:col>
      <xdr:colOff>354252</xdr:colOff>
      <xdr:row>28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3E9A69E-1D2E-4872-A3A1-E2949382A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648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22</xdr:row>
      <xdr:rowOff>123825</xdr:rowOff>
    </xdr:from>
    <xdr:to>
      <xdr:col>2</xdr:col>
      <xdr:colOff>228469</xdr:colOff>
      <xdr:row>26</xdr:row>
      <xdr:rowOff>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E5D4666-DFF4-4CFE-B1AF-428B583C5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70294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133350</xdr:rowOff>
    </xdr:from>
    <xdr:to>
      <xdr:col>1</xdr:col>
      <xdr:colOff>801927</xdr:colOff>
      <xdr:row>16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ED8741-B232-4A91-84FD-2E859428D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95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B5AE438-DDCD-4BDF-A846-F999BAC1D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127000</xdr:rowOff>
    </xdr:from>
    <xdr:to>
      <xdr:col>1</xdr:col>
      <xdr:colOff>1754427</xdr:colOff>
      <xdr:row>29</xdr:row>
      <xdr:rowOff>79713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D14B3B-17AF-497C-884D-505DAF0AF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56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962025</xdr:colOff>
      <xdr:row>23</xdr:row>
      <xdr:rowOff>79375</xdr:rowOff>
    </xdr:from>
    <xdr:to>
      <xdr:col>1</xdr:col>
      <xdr:colOff>1628644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766B656-436D-45E6-96EF-7B7E5F8B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3" zoomScale="85" zoomScaleNormal="85" zoomScaleSheetLayoutView="85" workbookViewId="0">
      <selection activeCell="D28" sqref="D28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27" t="s">
        <v>0</v>
      </c>
      <c r="C3" s="127"/>
      <c r="D3" s="127"/>
      <c r="E3" s="57"/>
      <c r="F3" s="57"/>
      <c r="G3" s="57"/>
      <c r="H3" s="57"/>
      <c r="I3" s="57"/>
    </row>
    <row r="4" spans="2:9" x14ac:dyDescent="0.25">
      <c r="B4" s="128" t="s">
        <v>1</v>
      </c>
      <c r="C4" s="128"/>
      <c r="D4" s="128"/>
      <c r="E4" s="57"/>
      <c r="F4" s="57"/>
      <c r="G4" s="57"/>
      <c r="H4" s="57"/>
      <c r="I4" s="57"/>
    </row>
    <row r="5" spans="2:9" ht="66" customHeight="1" x14ac:dyDescent="0.25">
      <c r="B5" s="129" t="s">
        <v>2</v>
      </c>
      <c r="C5" s="129"/>
      <c r="D5" s="129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" customHeight="1" x14ac:dyDescent="0.25">
      <c r="B7" s="126" t="s">
        <v>3</v>
      </c>
      <c r="C7" s="126"/>
      <c r="D7" s="126"/>
      <c r="E7" s="66"/>
      <c r="F7" s="57"/>
      <c r="G7" s="57"/>
      <c r="H7" s="57"/>
      <c r="I7" s="57"/>
    </row>
    <row r="8" spans="2:9" ht="15.75" customHeight="1" x14ac:dyDescent="0.25">
      <c r="B8" s="64" t="s">
        <v>4</v>
      </c>
      <c r="C8" s="64"/>
      <c r="D8" s="76" t="s">
        <v>5</v>
      </c>
      <c r="E8" s="57"/>
      <c r="F8" s="57"/>
      <c r="G8" s="57"/>
      <c r="H8" s="57"/>
      <c r="I8" s="57"/>
    </row>
    <row r="9" spans="2:9" ht="15.75" customHeight="1" x14ac:dyDescent="0.25">
      <c r="B9" s="126" t="s">
        <v>6</v>
      </c>
      <c r="C9" s="126"/>
      <c r="D9" s="126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7</v>
      </c>
      <c r="C11" s="36" t="s">
        <v>8</v>
      </c>
      <c r="D11" s="36" t="s">
        <v>9</v>
      </c>
      <c r="E11" s="66"/>
      <c r="F11" s="57"/>
      <c r="G11" s="57"/>
      <c r="H11" s="57"/>
      <c r="I11" s="57"/>
    </row>
    <row r="12" spans="2:9" ht="31.5" customHeight="1" x14ac:dyDescent="0.25">
      <c r="B12" s="36">
        <v>1</v>
      </c>
      <c r="C12" s="67" t="s">
        <v>10</v>
      </c>
      <c r="D12" s="100" t="s">
        <v>11</v>
      </c>
      <c r="E12" s="57"/>
      <c r="F12" s="57"/>
      <c r="G12" s="57"/>
      <c r="H12" s="57"/>
      <c r="I12" s="57"/>
    </row>
    <row r="13" spans="2:9" ht="31.5" customHeight="1" x14ac:dyDescent="0.25">
      <c r="B13" s="36">
        <v>2</v>
      </c>
      <c r="C13" s="67" t="s">
        <v>12</v>
      </c>
      <c r="D13" s="100" t="s">
        <v>13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14</v>
      </c>
      <c r="D14" s="100" t="s">
        <v>15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16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17</v>
      </c>
      <c r="D16" s="36" t="s">
        <v>18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19</v>
      </c>
      <c r="D17" s="68">
        <f>D18+D19</f>
        <v>732.59614909999993</v>
      </c>
      <c r="E17" s="69"/>
      <c r="F17" s="57"/>
      <c r="G17" s="57"/>
      <c r="H17" s="57"/>
      <c r="I17" s="57"/>
    </row>
    <row r="18" spans="2:9" x14ac:dyDescent="0.25">
      <c r="B18" s="70" t="s">
        <v>20</v>
      </c>
      <c r="C18" s="67" t="s">
        <v>21</v>
      </c>
      <c r="D18" s="68">
        <f>'Прил.2 Расч стоим'!F12</f>
        <v>186.93903270000001</v>
      </c>
      <c r="E18" s="57"/>
      <c r="F18" s="57"/>
      <c r="G18" s="57"/>
      <c r="H18" s="57"/>
      <c r="I18" s="57"/>
    </row>
    <row r="19" spans="2:9" x14ac:dyDescent="0.25">
      <c r="B19" s="70" t="s">
        <v>22</v>
      </c>
      <c r="C19" s="67" t="s">
        <v>23</v>
      </c>
      <c r="D19" s="68">
        <f>'Прил.2 Расч стоим'!H12</f>
        <v>545.65711639999995</v>
      </c>
      <c r="E19" s="57"/>
      <c r="F19" s="57"/>
      <c r="G19" s="57"/>
      <c r="H19" s="57"/>
      <c r="I19" s="57"/>
    </row>
    <row r="20" spans="2:9" x14ac:dyDescent="0.25">
      <c r="B20" s="70" t="s">
        <v>24</v>
      </c>
      <c r="C20" s="67" t="s">
        <v>25</v>
      </c>
      <c r="D20" s="68"/>
      <c r="E20" s="57"/>
      <c r="F20" s="57"/>
      <c r="G20" s="57"/>
      <c r="H20" s="57"/>
      <c r="I20" s="57"/>
    </row>
    <row r="21" spans="2:9" x14ac:dyDescent="0.25">
      <c r="B21" s="70" t="s">
        <v>26</v>
      </c>
      <c r="C21" s="71" t="s">
        <v>27</v>
      </c>
      <c r="D21" s="8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28</v>
      </c>
      <c r="D22" s="36" t="s">
        <v>5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29</v>
      </c>
      <c r="D23" s="73">
        <f>D17</f>
        <v>732.59614909999993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30</v>
      </c>
      <c r="D24" s="73">
        <f>D17/D15</f>
        <v>732.59614909999993</v>
      </c>
      <c r="E24" s="69"/>
      <c r="F24" s="57"/>
      <c r="G24" s="57"/>
      <c r="H24" s="57"/>
      <c r="I24" s="57"/>
    </row>
    <row r="25" spans="2:9" x14ac:dyDescent="0.25">
      <c r="B25" s="36">
        <v>10</v>
      </c>
      <c r="C25" s="67" t="s">
        <v>31</v>
      </c>
      <c r="D25" s="67"/>
      <c r="E25" s="57"/>
      <c r="F25" s="57"/>
      <c r="G25" s="57"/>
      <c r="H25" s="57"/>
      <c r="I25" s="57"/>
    </row>
    <row r="26" spans="2:9" x14ac:dyDescent="0.25">
      <c r="B26" s="74"/>
      <c r="C26" s="75"/>
      <c r="D26" s="75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32</v>
      </c>
      <c r="E28" s="57"/>
      <c r="F28" s="57"/>
      <c r="G28" s="57"/>
      <c r="H28" s="57"/>
      <c r="I28" s="57"/>
    </row>
    <row r="29" spans="2:9" ht="22.5" customHeight="1" x14ac:dyDescent="0.25">
      <c r="B29" s="83" t="s">
        <v>33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34</v>
      </c>
      <c r="E31" s="57"/>
      <c r="F31" s="57"/>
      <c r="G31" s="57"/>
      <c r="H31" s="57"/>
      <c r="I31" s="57"/>
    </row>
    <row r="32" spans="2:9" ht="22.5" customHeight="1" x14ac:dyDescent="0.25">
      <c r="B32" s="83" t="s">
        <v>35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60" zoomScaleNormal="100" workbookViewId="0">
      <selection activeCell="E17" sqref="E17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15.75" customHeight="1" x14ac:dyDescent="0.25">
      <c r="A3" s="57"/>
      <c r="B3" s="127" t="s">
        <v>36</v>
      </c>
      <c r="C3" s="127"/>
      <c r="D3" s="127"/>
      <c r="E3" s="127"/>
      <c r="F3" s="127"/>
      <c r="G3" s="127"/>
      <c r="H3" s="127"/>
      <c r="I3" s="127"/>
      <c r="J3" s="127"/>
    </row>
    <row r="4" spans="1:10" ht="15.75" customHeight="1" x14ac:dyDescent="0.25">
      <c r="A4" s="57"/>
      <c r="B4" s="128" t="s">
        <v>37</v>
      </c>
      <c r="C4" s="128"/>
      <c r="D4" s="128"/>
      <c r="E4" s="128"/>
      <c r="F4" s="128"/>
      <c r="G4" s="128"/>
      <c r="H4" s="128"/>
      <c r="I4" s="128"/>
      <c r="J4" s="128"/>
    </row>
    <row r="5" spans="1:10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0" ht="15.75" customHeight="1" x14ac:dyDescent="0.25">
      <c r="A6" s="57"/>
      <c r="B6" s="132" t="str">
        <f>'Прил.1 Сравнит табл'!B7</f>
        <v>Наименование разрабатываемого показателя УНЦ: Постоянная часть ПС, система периметральной сигнализации ЗПС 35 кВ</v>
      </c>
      <c r="C6" s="132"/>
      <c r="D6" s="132"/>
      <c r="E6" s="132"/>
      <c r="F6" s="132"/>
      <c r="G6" s="132"/>
      <c r="H6" s="132"/>
      <c r="I6" s="132"/>
      <c r="J6" s="132"/>
    </row>
    <row r="7" spans="1:10" ht="15.75" customHeight="1" x14ac:dyDescent="0.25">
      <c r="A7" s="57"/>
      <c r="B7" s="126" t="str">
        <f>'Прил.1 Сравнит табл'!B9</f>
        <v>Единица измерения  — 1 ПС</v>
      </c>
      <c r="C7" s="126"/>
      <c r="D7" s="126"/>
      <c r="E7" s="126"/>
      <c r="F7" s="126"/>
      <c r="G7" s="126"/>
      <c r="H7" s="126"/>
      <c r="I7" s="126"/>
      <c r="J7" s="126"/>
    </row>
    <row r="8" spans="1:10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0" ht="15.75" customHeight="1" x14ac:dyDescent="0.25">
      <c r="A9" s="57"/>
      <c r="B9" s="133" t="s">
        <v>7</v>
      </c>
      <c r="C9" s="133" t="s">
        <v>38</v>
      </c>
      <c r="D9" s="133" t="s">
        <v>9</v>
      </c>
      <c r="E9" s="133"/>
      <c r="F9" s="133"/>
      <c r="G9" s="133"/>
      <c r="H9" s="133"/>
      <c r="I9" s="133"/>
      <c r="J9" s="133"/>
    </row>
    <row r="10" spans="1:10" ht="15.75" customHeight="1" x14ac:dyDescent="0.25">
      <c r="A10" s="57"/>
      <c r="B10" s="133"/>
      <c r="C10" s="133"/>
      <c r="D10" s="133" t="s">
        <v>39</v>
      </c>
      <c r="E10" s="133" t="s">
        <v>40</v>
      </c>
      <c r="F10" s="133" t="s">
        <v>41</v>
      </c>
      <c r="G10" s="133"/>
      <c r="H10" s="133"/>
      <c r="I10" s="133"/>
      <c r="J10" s="133"/>
    </row>
    <row r="11" spans="1:10" ht="31.5" customHeight="1" x14ac:dyDescent="0.25">
      <c r="A11" s="57"/>
      <c r="B11" s="134"/>
      <c r="C11" s="134"/>
      <c r="D11" s="134"/>
      <c r="E11" s="134"/>
      <c r="F11" s="77" t="s">
        <v>42</v>
      </c>
      <c r="G11" s="77" t="s">
        <v>43</v>
      </c>
      <c r="H11" s="77" t="s">
        <v>44</v>
      </c>
      <c r="I11" s="77" t="s">
        <v>45</v>
      </c>
      <c r="J11" s="77" t="s">
        <v>46</v>
      </c>
    </row>
    <row r="12" spans="1:10" ht="31.5" customHeight="1" x14ac:dyDescent="0.25">
      <c r="A12" s="57"/>
      <c r="B12" s="104">
        <v>1</v>
      </c>
      <c r="C12" s="104" t="s">
        <v>47</v>
      </c>
      <c r="D12" s="104"/>
      <c r="E12" s="104"/>
      <c r="F12" s="135">
        <v>186.93903270000001</v>
      </c>
      <c r="G12" s="136"/>
      <c r="H12" s="104">
        <f>Прил.3!H29*4.18/1000</f>
        <v>545.65711639999995</v>
      </c>
      <c r="I12" s="104"/>
      <c r="J12" s="104"/>
    </row>
    <row r="13" spans="1:10" ht="15.75" customHeight="1" x14ac:dyDescent="0.25">
      <c r="A13" s="57"/>
      <c r="B13" s="130" t="s">
        <v>48</v>
      </c>
      <c r="C13" s="130"/>
      <c r="D13" s="130"/>
      <c r="E13" s="130"/>
      <c r="F13" s="137"/>
      <c r="G13" s="138"/>
      <c r="H13" s="103"/>
      <c r="I13" s="103"/>
      <c r="J13" s="103"/>
    </row>
    <row r="14" spans="1:10" ht="15.75" customHeight="1" x14ac:dyDescent="0.25">
      <c r="A14" s="57"/>
      <c r="B14" s="131" t="s">
        <v>49</v>
      </c>
      <c r="C14" s="131"/>
      <c r="D14" s="131"/>
      <c r="E14" s="131"/>
      <c r="F14" s="137">
        <f>F12</f>
        <v>186.93903270000001</v>
      </c>
      <c r="G14" s="138"/>
      <c r="H14" s="90">
        <v>545.65711639999995</v>
      </c>
      <c r="I14" s="90"/>
      <c r="J14" s="90">
        <f>F12+H12</f>
        <v>732.59614909999993</v>
      </c>
    </row>
    <row r="15" spans="1:10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32</v>
      </c>
      <c r="C17" s="57"/>
      <c r="D17" s="57"/>
    </row>
    <row r="18" spans="2:4" ht="22.5" customHeight="1" x14ac:dyDescent="0.25">
      <c r="B18" s="83" t="s">
        <v>33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34</v>
      </c>
      <c r="C20" s="57"/>
      <c r="D20" s="57"/>
    </row>
    <row r="21" spans="2:4" ht="22.5" customHeight="1" x14ac:dyDescent="0.25">
      <c r="B21" s="83" t="s">
        <v>35</v>
      </c>
      <c r="C21" s="57"/>
      <c r="D21" s="57"/>
    </row>
  </sheetData>
  <mergeCells count="15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75"/>
  <sheetViews>
    <sheetView view="pageBreakPreview" zoomScale="40" zoomScaleSheetLayoutView="40" workbookViewId="0">
      <selection activeCell="P174" sqref="P174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2" spans="1:8" s="106" customFormat="1" x14ac:dyDescent="0.25">
      <c r="A2" s="111"/>
      <c r="B2" s="111"/>
      <c r="C2" s="111"/>
      <c r="D2" s="111"/>
      <c r="E2" s="111"/>
      <c r="F2" s="111"/>
      <c r="G2" s="111"/>
      <c r="H2" s="111"/>
    </row>
    <row r="3" spans="1:8" s="106" customFormat="1" x14ac:dyDescent="0.25">
      <c r="A3" s="111"/>
      <c r="B3" s="111"/>
      <c r="C3" s="111"/>
      <c r="D3" s="111"/>
      <c r="E3" s="111"/>
      <c r="F3" s="111"/>
      <c r="G3" s="111"/>
      <c r="H3" s="111"/>
    </row>
    <row r="4" spans="1:8" x14ac:dyDescent="0.25">
      <c r="A4" s="127" t="s">
        <v>50</v>
      </c>
      <c r="B4" s="127"/>
      <c r="C4" s="127"/>
      <c r="D4" s="127"/>
      <c r="E4" s="127"/>
      <c r="F4" s="127"/>
      <c r="G4" s="127"/>
      <c r="H4" s="127"/>
    </row>
    <row r="5" spans="1:8" x14ac:dyDescent="0.25">
      <c r="A5" s="128" t="s">
        <v>51</v>
      </c>
      <c r="B5" s="128"/>
      <c r="C5" s="128"/>
      <c r="D5" s="128"/>
      <c r="E5" s="128"/>
      <c r="F5" s="128"/>
      <c r="G5" s="128"/>
      <c r="H5" s="128"/>
    </row>
    <row r="6" spans="1:8" ht="18.75" customHeight="1" x14ac:dyDescent="0.25">
      <c r="A6" s="63"/>
    </row>
    <row r="7" spans="1:8" x14ac:dyDescent="0.25">
      <c r="A7" s="132" t="str">
        <f>'Прил.1 Сравнит табл'!B7</f>
        <v>Наименование разрабатываемого показателя УНЦ: Постоянная часть ПС, система периметральной сигнализации ЗПС 35 кВ</v>
      </c>
      <c r="B7" s="132"/>
      <c r="C7" s="132"/>
      <c r="D7" s="132"/>
      <c r="E7" s="132"/>
      <c r="F7" s="132"/>
      <c r="G7" s="132"/>
      <c r="H7" s="132"/>
    </row>
    <row r="8" spans="1:8" x14ac:dyDescent="0.25">
      <c r="A8" s="76"/>
      <c r="B8" s="76"/>
      <c r="C8" s="76"/>
      <c r="D8" s="76"/>
      <c r="E8" s="76"/>
      <c r="F8" s="76"/>
      <c r="G8" s="76"/>
      <c r="H8" s="76"/>
    </row>
    <row r="9" spans="1:8" ht="15.75" customHeight="1" x14ac:dyDescent="0.25">
      <c r="A9" s="133" t="s">
        <v>52</v>
      </c>
      <c r="B9" s="133" t="s">
        <v>53</v>
      </c>
      <c r="C9" s="133" t="s">
        <v>54</v>
      </c>
      <c r="D9" s="133" t="s">
        <v>55</v>
      </c>
      <c r="E9" s="133" t="s">
        <v>56</v>
      </c>
      <c r="F9" s="133" t="s">
        <v>57</v>
      </c>
      <c r="G9" s="133" t="s">
        <v>58</v>
      </c>
      <c r="H9" s="133"/>
    </row>
    <row r="10" spans="1:8" x14ac:dyDescent="0.25">
      <c r="A10" s="133"/>
      <c r="B10" s="133"/>
      <c r="C10" s="133"/>
      <c r="D10" s="133"/>
      <c r="E10" s="133"/>
      <c r="F10" s="133"/>
      <c r="G10" s="36" t="s">
        <v>59</v>
      </c>
      <c r="H10" s="36" t="s">
        <v>60</v>
      </c>
    </row>
    <row r="11" spans="1:8" x14ac:dyDescent="0.25">
      <c r="A11" s="77">
        <v>1</v>
      </c>
      <c r="B11" s="77"/>
      <c r="C11" s="77">
        <v>2</v>
      </c>
      <c r="D11" s="77" t="s">
        <v>61</v>
      </c>
      <c r="E11" s="77">
        <v>4</v>
      </c>
      <c r="F11" s="77">
        <v>5</v>
      </c>
      <c r="G11" s="77">
        <v>6</v>
      </c>
      <c r="H11" s="77">
        <v>7</v>
      </c>
    </row>
    <row r="12" spans="1:8" x14ac:dyDescent="0.25">
      <c r="A12" s="139" t="s">
        <v>62</v>
      </c>
      <c r="B12" s="140"/>
      <c r="C12" s="141"/>
      <c r="D12" s="141"/>
      <c r="E12" s="140"/>
      <c r="F12" s="78">
        <f>SUM(F13:F19)</f>
        <v>255.66142476632001</v>
      </c>
      <c r="G12" s="78"/>
      <c r="H12" s="78">
        <f>SUM(H13:H19)</f>
        <v>2494.7399999999998</v>
      </c>
    </row>
    <row r="13" spans="1:8" x14ac:dyDescent="0.25">
      <c r="A13" s="79">
        <v>1</v>
      </c>
      <c r="B13" s="91"/>
      <c r="C13" s="80" t="s">
        <v>63</v>
      </c>
      <c r="D13" s="81" t="s">
        <v>64</v>
      </c>
      <c r="E13" s="79" t="s">
        <v>65</v>
      </c>
      <c r="F13" s="79">
        <v>166.56267106753</v>
      </c>
      <c r="G13" s="82">
        <v>9.4</v>
      </c>
      <c r="H13" s="82">
        <f t="shared" ref="H13:H19" si="0">ROUND(F13*G13,2)</f>
        <v>1565.69</v>
      </c>
    </row>
    <row r="14" spans="1:8" ht="15" customHeight="1" x14ac:dyDescent="0.25">
      <c r="A14" s="79">
        <v>2</v>
      </c>
      <c r="B14" s="89"/>
      <c r="C14" s="80" t="s">
        <v>66</v>
      </c>
      <c r="D14" s="81" t="s">
        <v>67</v>
      </c>
      <c r="E14" s="79" t="s">
        <v>65</v>
      </c>
      <c r="F14" s="79">
        <v>62.001378204833003</v>
      </c>
      <c r="G14" s="82">
        <v>9.6199999999999992</v>
      </c>
      <c r="H14" s="82">
        <f t="shared" si="0"/>
        <v>596.45000000000005</v>
      </c>
    </row>
    <row r="15" spans="1:8" x14ac:dyDescent="0.25">
      <c r="A15" s="79">
        <v>3</v>
      </c>
      <c r="B15" s="89"/>
      <c r="C15" s="80" t="s">
        <v>68</v>
      </c>
      <c r="D15" s="81" t="s">
        <v>69</v>
      </c>
      <c r="E15" s="79" t="s">
        <v>65</v>
      </c>
      <c r="F15" s="79">
        <v>10.321978322216999</v>
      </c>
      <c r="G15" s="82">
        <v>9.76</v>
      </c>
      <c r="H15" s="82">
        <f t="shared" si="0"/>
        <v>100.74</v>
      </c>
    </row>
    <row r="16" spans="1:8" x14ac:dyDescent="0.25">
      <c r="A16" s="79">
        <v>4</v>
      </c>
      <c r="B16" s="89"/>
      <c r="C16" s="80" t="s">
        <v>70</v>
      </c>
      <c r="D16" s="81" t="s">
        <v>71</v>
      </c>
      <c r="E16" s="79" t="s">
        <v>65</v>
      </c>
      <c r="F16" s="79">
        <v>1.5661082429122</v>
      </c>
      <c r="G16" s="82">
        <v>8.64</v>
      </c>
      <c r="H16" s="82">
        <f t="shared" si="0"/>
        <v>13.53</v>
      </c>
    </row>
    <row r="17" spans="1:8" x14ac:dyDescent="0.25">
      <c r="A17" s="79">
        <v>5</v>
      </c>
      <c r="B17" s="89"/>
      <c r="C17" s="80" t="s">
        <v>72</v>
      </c>
      <c r="D17" s="81" t="s">
        <v>73</v>
      </c>
      <c r="E17" s="79" t="s">
        <v>65</v>
      </c>
      <c r="F17" s="79">
        <v>1.1186487449372999</v>
      </c>
      <c r="G17" s="82">
        <v>8.86</v>
      </c>
      <c r="H17" s="82">
        <f t="shared" si="0"/>
        <v>9.91</v>
      </c>
    </row>
    <row r="18" spans="1:8" x14ac:dyDescent="0.25">
      <c r="A18" s="79">
        <v>6</v>
      </c>
      <c r="B18" s="89"/>
      <c r="C18" s="80" t="s">
        <v>74</v>
      </c>
      <c r="D18" s="81" t="s">
        <v>75</v>
      </c>
      <c r="E18" s="79" t="s">
        <v>65</v>
      </c>
      <c r="F18" s="79">
        <v>7.0608416738731004</v>
      </c>
      <c r="G18" s="82">
        <v>15.49</v>
      </c>
      <c r="H18" s="82">
        <f t="shared" si="0"/>
        <v>109.37</v>
      </c>
    </row>
    <row r="19" spans="1:8" x14ac:dyDescent="0.25">
      <c r="A19" s="79">
        <v>7</v>
      </c>
      <c r="B19" s="89"/>
      <c r="C19" s="80" t="s">
        <v>76</v>
      </c>
      <c r="D19" s="81" t="s">
        <v>77</v>
      </c>
      <c r="E19" s="79" t="s">
        <v>65</v>
      </c>
      <c r="F19" s="79">
        <v>7.0297985100130997</v>
      </c>
      <c r="G19" s="82">
        <v>14.09</v>
      </c>
      <c r="H19" s="82">
        <f t="shared" si="0"/>
        <v>99.05</v>
      </c>
    </row>
    <row r="20" spans="1:8" x14ac:dyDescent="0.25">
      <c r="A20" s="139" t="s">
        <v>78</v>
      </c>
      <c r="B20" s="140"/>
      <c r="C20" s="141"/>
      <c r="D20" s="141"/>
      <c r="E20" s="140"/>
      <c r="F20" s="102">
        <f>F21</f>
        <v>6.8642599999999998</v>
      </c>
      <c r="G20" s="78"/>
      <c r="H20" s="78">
        <f>H21</f>
        <v>389.93</v>
      </c>
    </row>
    <row r="21" spans="1:8" x14ac:dyDescent="0.25">
      <c r="A21" s="79">
        <v>8</v>
      </c>
      <c r="B21" s="89"/>
      <c r="C21" s="87">
        <v>2</v>
      </c>
      <c r="D21" s="81" t="s">
        <v>78</v>
      </c>
      <c r="E21" s="79" t="s">
        <v>65</v>
      </c>
      <c r="F21" s="79">
        <v>6.8642599999999998</v>
      </c>
      <c r="G21" s="82"/>
      <c r="H21" s="82">
        <v>389.93</v>
      </c>
    </row>
    <row r="22" spans="1:8" x14ac:dyDescent="0.25">
      <c r="A22" s="139" t="s">
        <v>79</v>
      </c>
      <c r="B22" s="140"/>
      <c r="C22" s="141"/>
      <c r="D22" s="141"/>
      <c r="E22" s="140"/>
      <c r="F22" s="102"/>
      <c r="G22" s="78"/>
      <c r="H22" s="78">
        <f>SUM(H23:H28)</f>
        <v>783.97</v>
      </c>
    </row>
    <row r="23" spans="1:8" ht="31.5" customHeight="1" x14ac:dyDescent="0.25">
      <c r="A23" s="79">
        <v>9</v>
      </c>
      <c r="B23" s="89"/>
      <c r="C23" s="81" t="s">
        <v>80</v>
      </c>
      <c r="D23" s="81" t="s">
        <v>81</v>
      </c>
      <c r="E23" s="79" t="s">
        <v>82</v>
      </c>
      <c r="F23" s="79">
        <v>3.385364610511</v>
      </c>
      <c r="G23" s="82">
        <v>115.4</v>
      </c>
      <c r="H23" s="82">
        <f t="shared" ref="H23:H28" si="1">ROUND(F23*G23,2)</f>
        <v>390.67</v>
      </c>
    </row>
    <row r="24" spans="1:8" ht="31.5" x14ac:dyDescent="0.25">
      <c r="A24" s="79">
        <v>10</v>
      </c>
      <c r="B24" s="89"/>
      <c r="C24" s="81" t="s">
        <v>83</v>
      </c>
      <c r="D24" s="81" t="s">
        <v>84</v>
      </c>
      <c r="E24" s="79" t="s">
        <v>82</v>
      </c>
      <c r="F24" s="79">
        <v>3.3984517466472002</v>
      </c>
      <c r="G24" s="82">
        <v>65.709999999999994</v>
      </c>
      <c r="H24" s="82">
        <f t="shared" si="1"/>
        <v>223.31</v>
      </c>
    </row>
    <row r="25" spans="1:8" ht="31.5" customHeight="1" x14ac:dyDescent="0.25">
      <c r="A25" s="79">
        <v>11</v>
      </c>
      <c r="B25" s="89"/>
      <c r="C25" s="81" t="s">
        <v>85</v>
      </c>
      <c r="D25" s="81" t="s">
        <v>86</v>
      </c>
      <c r="E25" s="79" t="s">
        <v>82</v>
      </c>
      <c r="F25" s="79">
        <v>40.523709479148003</v>
      </c>
      <c r="G25" s="82">
        <v>3.28</v>
      </c>
      <c r="H25" s="82">
        <f t="shared" si="1"/>
        <v>132.91999999999999</v>
      </c>
    </row>
    <row r="26" spans="1:8" ht="31.5" customHeight="1" x14ac:dyDescent="0.25">
      <c r="A26" s="79">
        <v>12</v>
      </c>
      <c r="B26" s="89"/>
      <c r="C26" s="81" t="s">
        <v>87</v>
      </c>
      <c r="D26" s="81" t="s">
        <v>88</v>
      </c>
      <c r="E26" s="79" t="s">
        <v>82</v>
      </c>
      <c r="F26" s="79">
        <v>40.535673887893999</v>
      </c>
      <c r="G26" s="82">
        <v>0.9</v>
      </c>
      <c r="H26" s="82">
        <f t="shared" si="1"/>
        <v>36.479999999999997</v>
      </c>
    </row>
    <row r="27" spans="1:8" ht="31.5" customHeight="1" x14ac:dyDescent="0.25">
      <c r="A27" s="79">
        <v>13</v>
      </c>
      <c r="B27" s="89"/>
      <c r="C27" s="81" t="s">
        <v>89</v>
      </c>
      <c r="D27" s="81" t="s">
        <v>90</v>
      </c>
      <c r="E27" s="79" t="s">
        <v>82</v>
      </c>
      <c r="F27" s="79">
        <v>4.3157112383399997E-2</v>
      </c>
      <c r="G27" s="82">
        <v>8.1</v>
      </c>
      <c r="H27" s="82">
        <f t="shared" si="1"/>
        <v>0.35</v>
      </c>
    </row>
    <row r="28" spans="1:8" x14ac:dyDescent="0.25">
      <c r="A28" s="79">
        <v>14</v>
      </c>
      <c r="B28" s="89"/>
      <c r="C28" s="81" t="s">
        <v>91</v>
      </c>
      <c r="D28" s="81" t="s">
        <v>92</v>
      </c>
      <c r="E28" s="79" t="s">
        <v>82</v>
      </c>
      <c r="F28" s="79">
        <v>0.10254761485076</v>
      </c>
      <c r="G28" s="82">
        <v>2.36</v>
      </c>
      <c r="H28" s="82">
        <f t="shared" si="1"/>
        <v>0.24</v>
      </c>
    </row>
    <row r="29" spans="1:8" x14ac:dyDescent="0.25">
      <c r="A29" s="139" t="s">
        <v>44</v>
      </c>
      <c r="B29" s="140"/>
      <c r="C29" s="141"/>
      <c r="D29" s="141"/>
      <c r="E29" s="140"/>
      <c r="F29" s="102"/>
      <c r="G29" s="78"/>
      <c r="H29" s="78">
        <f>SUM(H30:H40)</f>
        <v>130539.98</v>
      </c>
    </row>
    <row r="30" spans="1:8" x14ac:dyDescent="0.25">
      <c r="A30" s="79">
        <v>15</v>
      </c>
      <c r="B30" s="89"/>
      <c r="C30" s="81" t="s">
        <v>93</v>
      </c>
      <c r="D30" s="81" t="s">
        <v>94</v>
      </c>
      <c r="E30" s="79" t="s">
        <v>95</v>
      </c>
      <c r="F30" s="79">
        <v>1.3105103032540999</v>
      </c>
      <c r="G30" s="82">
        <v>34762.120000000003</v>
      </c>
      <c r="H30" s="82">
        <f t="shared" ref="H30:H40" si="2">ROUND(F30*G30,2)</f>
        <v>45556.12</v>
      </c>
    </row>
    <row r="31" spans="1:8" ht="31.5" customHeight="1" x14ac:dyDescent="0.25">
      <c r="A31" s="79">
        <v>16</v>
      </c>
      <c r="B31" s="89"/>
      <c r="C31" s="81" t="s">
        <v>93</v>
      </c>
      <c r="D31" s="81" t="s">
        <v>96</v>
      </c>
      <c r="E31" s="79" t="s">
        <v>95</v>
      </c>
      <c r="F31" s="79">
        <v>0.21841833842177999</v>
      </c>
      <c r="G31" s="82">
        <v>94533.14</v>
      </c>
      <c r="H31" s="82">
        <f t="shared" si="2"/>
        <v>20647.77</v>
      </c>
    </row>
    <row r="32" spans="1:8" x14ac:dyDescent="0.25">
      <c r="A32" s="79">
        <v>17</v>
      </c>
      <c r="B32" s="89"/>
      <c r="C32" s="81" t="s">
        <v>93</v>
      </c>
      <c r="D32" s="81" t="s">
        <v>97</v>
      </c>
      <c r="E32" s="79" t="s">
        <v>95</v>
      </c>
      <c r="F32" s="79">
        <v>0.43683672301554</v>
      </c>
      <c r="G32" s="82">
        <v>46328.83</v>
      </c>
      <c r="H32" s="82">
        <f t="shared" si="2"/>
        <v>20238.13</v>
      </c>
    </row>
    <row r="33" spans="1:8" x14ac:dyDescent="0.25">
      <c r="A33" s="79">
        <v>18</v>
      </c>
      <c r="B33" s="89"/>
      <c r="C33" s="81" t="s">
        <v>93</v>
      </c>
      <c r="D33" s="81" t="s">
        <v>98</v>
      </c>
      <c r="E33" s="79" t="s">
        <v>95</v>
      </c>
      <c r="F33" s="79">
        <v>0.21841833842177999</v>
      </c>
      <c r="G33" s="82">
        <v>65606.13</v>
      </c>
      <c r="H33" s="82">
        <f t="shared" si="2"/>
        <v>14329.58</v>
      </c>
    </row>
    <row r="34" spans="1:8" ht="31.5" customHeight="1" x14ac:dyDescent="0.25">
      <c r="A34" s="79">
        <v>19</v>
      </c>
      <c r="B34" s="89"/>
      <c r="C34" s="81" t="s">
        <v>93</v>
      </c>
      <c r="D34" s="81" t="s">
        <v>99</v>
      </c>
      <c r="E34" s="79" t="s">
        <v>95</v>
      </c>
      <c r="F34" s="79">
        <v>0.21841833842177999</v>
      </c>
      <c r="G34" s="82">
        <v>63581.05</v>
      </c>
      <c r="H34" s="82">
        <f t="shared" si="2"/>
        <v>13887.27</v>
      </c>
    </row>
    <row r="35" spans="1:8" x14ac:dyDescent="0.25">
      <c r="A35" s="79">
        <v>20</v>
      </c>
      <c r="B35" s="89"/>
      <c r="C35" s="81" t="s">
        <v>93</v>
      </c>
      <c r="D35" s="81" t="s">
        <v>100</v>
      </c>
      <c r="E35" s="79" t="s">
        <v>95</v>
      </c>
      <c r="F35" s="79">
        <v>0.43683672301554</v>
      </c>
      <c r="G35" s="82">
        <v>10744.21</v>
      </c>
      <c r="H35" s="82">
        <f t="shared" si="2"/>
        <v>4693.47</v>
      </c>
    </row>
    <row r="36" spans="1:8" ht="31.5" customHeight="1" x14ac:dyDescent="0.25">
      <c r="A36" s="79">
        <v>21</v>
      </c>
      <c r="B36" s="89"/>
      <c r="C36" s="81" t="s">
        <v>93</v>
      </c>
      <c r="D36" s="81" t="s">
        <v>101</v>
      </c>
      <c r="E36" s="79" t="s">
        <v>95</v>
      </c>
      <c r="F36" s="79">
        <v>0.43683672301554</v>
      </c>
      <c r="G36" s="82">
        <v>10704.61</v>
      </c>
      <c r="H36" s="82">
        <f t="shared" si="2"/>
        <v>4676.17</v>
      </c>
    </row>
    <row r="37" spans="1:8" x14ac:dyDescent="0.25">
      <c r="A37" s="79">
        <v>22</v>
      </c>
      <c r="B37" s="89"/>
      <c r="C37" s="81" t="s">
        <v>93</v>
      </c>
      <c r="D37" s="81" t="s">
        <v>102</v>
      </c>
      <c r="E37" s="79" t="s">
        <v>95</v>
      </c>
      <c r="F37" s="79">
        <v>1.7473453516866</v>
      </c>
      <c r="G37" s="82">
        <v>1636.18</v>
      </c>
      <c r="H37" s="82">
        <f t="shared" si="2"/>
        <v>2858.97</v>
      </c>
    </row>
    <row r="38" spans="1:8" ht="31.5" customHeight="1" x14ac:dyDescent="0.25">
      <c r="A38" s="79">
        <v>23</v>
      </c>
      <c r="B38" s="89"/>
      <c r="C38" s="81" t="s">
        <v>93</v>
      </c>
      <c r="D38" s="81" t="s">
        <v>103</v>
      </c>
      <c r="E38" s="79" t="s">
        <v>95</v>
      </c>
      <c r="F38" s="79">
        <v>0.21841833842177999</v>
      </c>
      <c r="G38" s="82">
        <v>7736.38</v>
      </c>
      <c r="H38" s="82">
        <f t="shared" si="2"/>
        <v>1689.77</v>
      </c>
    </row>
    <row r="39" spans="1:8" x14ac:dyDescent="0.25">
      <c r="A39" s="79">
        <v>24</v>
      </c>
      <c r="B39" s="89"/>
      <c r="C39" s="81" t="s">
        <v>93</v>
      </c>
      <c r="D39" s="81" t="s">
        <v>104</v>
      </c>
      <c r="E39" s="79" t="s">
        <v>95</v>
      </c>
      <c r="F39" s="79">
        <v>0.43683672301554</v>
      </c>
      <c r="G39" s="82">
        <v>2635.12</v>
      </c>
      <c r="H39" s="82">
        <f t="shared" si="2"/>
        <v>1151.1199999999999</v>
      </c>
    </row>
    <row r="40" spans="1:8" x14ac:dyDescent="0.25">
      <c r="A40" s="79">
        <v>25</v>
      </c>
      <c r="B40" s="89"/>
      <c r="C40" s="81" t="s">
        <v>93</v>
      </c>
      <c r="D40" s="81" t="s">
        <v>105</v>
      </c>
      <c r="E40" s="79" t="s">
        <v>95</v>
      </c>
      <c r="F40" s="79">
        <v>0.43683672301554</v>
      </c>
      <c r="G40" s="82">
        <v>1857.93</v>
      </c>
      <c r="H40" s="82">
        <f t="shared" si="2"/>
        <v>811.61</v>
      </c>
    </row>
    <row r="41" spans="1:8" x14ac:dyDescent="0.25">
      <c r="A41" s="139" t="s">
        <v>106</v>
      </c>
      <c r="B41" s="140"/>
      <c r="C41" s="141"/>
      <c r="D41" s="141"/>
      <c r="E41" s="140"/>
      <c r="F41" s="102"/>
      <c r="G41" s="78"/>
      <c r="H41" s="78">
        <f>SUM(H42:H68)</f>
        <v>27962.33</v>
      </c>
    </row>
    <row r="42" spans="1:8" ht="31.5" customHeight="1" x14ac:dyDescent="0.25">
      <c r="A42" s="79">
        <v>26</v>
      </c>
      <c r="B42" s="89"/>
      <c r="C42" s="81" t="s">
        <v>107</v>
      </c>
      <c r="D42" s="81" t="s">
        <v>108</v>
      </c>
      <c r="E42" s="79" t="s">
        <v>109</v>
      </c>
      <c r="F42" s="79">
        <v>0.91736524142293996</v>
      </c>
      <c r="G42" s="82">
        <v>18047.849999999999</v>
      </c>
      <c r="H42" s="82">
        <f t="shared" ref="H42:H68" si="3">ROUND(F42*G42,2)</f>
        <v>16556.47</v>
      </c>
    </row>
    <row r="43" spans="1:8" ht="31.5" customHeight="1" x14ac:dyDescent="0.25">
      <c r="A43" s="79">
        <v>27</v>
      </c>
      <c r="B43" s="89"/>
      <c r="C43" s="81" t="s">
        <v>110</v>
      </c>
      <c r="D43" s="81" t="s">
        <v>111</v>
      </c>
      <c r="E43" s="79" t="s">
        <v>109</v>
      </c>
      <c r="F43" s="79">
        <v>0.61157670903524997</v>
      </c>
      <c r="G43" s="82">
        <v>6920.41</v>
      </c>
      <c r="H43" s="82">
        <f t="shared" si="3"/>
        <v>4232.3599999999997</v>
      </c>
    </row>
    <row r="44" spans="1:8" ht="47.25" customHeight="1" x14ac:dyDescent="0.25">
      <c r="A44" s="79">
        <v>28</v>
      </c>
      <c r="B44" s="89"/>
      <c r="C44" s="81" t="s">
        <v>112</v>
      </c>
      <c r="D44" s="81" t="s">
        <v>113</v>
      </c>
      <c r="E44" s="79" t="s">
        <v>114</v>
      </c>
      <c r="F44" s="79">
        <v>436.71856844462002</v>
      </c>
      <c r="G44" s="82">
        <v>3.89</v>
      </c>
      <c r="H44" s="82">
        <f t="shared" si="3"/>
        <v>1698.84</v>
      </c>
    </row>
    <row r="45" spans="1:8" ht="78.75" customHeight="1" x14ac:dyDescent="0.25">
      <c r="A45" s="79">
        <v>29</v>
      </c>
      <c r="B45" s="89"/>
      <c r="C45" s="81" t="s">
        <v>115</v>
      </c>
      <c r="D45" s="81" t="s">
        <v>116</v>
      </c>
      <c r="E45" s="79" t="s">
        <v>117</v>
      </c>
      <c r="F45" s="79">
        <v>55.918285297829001</v>
      </c>
      <c r="G45" s="82">
        <v>22.61</v>
      </c>
      <c r="H45" s="82">
        <f t="shared" si="3"/>
        <v>1264.31</v>
      </c>
    </row>
    <row r="46" spans="1:8" ht="15" customHeight="1" x14ac:dyDescent="0.25">
      <c r="A46" s="79">
        <v>30</v>
      </c>
      <c r="B46" s="89"/>
      <c r="C46" s="81" t="s">
        <v>118</v>
      </c>
      <c r="D46" s="81" t="s">
        <v>119</v>
      </c>
      <c r="E46" s="79" t="s">
        <v>114</v>
      </c>
      <c r="F46" s="79">
        <v>131.07137600570999</v>
      </c>
      <c r="G46" s="82">
        <v>8.3699999999999992</v>
      </c>
      <c r="H46" s="82">
        <f t="shared" si="3"/>
        <v>1097.07</v>
      </c>
    </row>
    <row r="47" spans="1:8" ht="63" customHeight="1" x14ac:dyDescent="0.25">
      <c r="A47" s="79">
        <v>31</v>
      </c>
      <c r="B47" s="89"/>
      <c r="C47" s="81" t="s">
        <v>120</v>
      </c>
      <c r="D47" s="81" t="s">
        <v>121</v>
      </c>
      <c r="E47" s="79" t="s">
        <v>114</v>
      </c>
      <c r="F47" s="79">
        <v>6.7541883770597</v>
      </c>
      <c r="G47" s="82">
        <v>156.97999999999999</v>
      </c>
      <c r="H47" s="82">
        <f t="shared" si="3"/>
        <v>1060.27</v>
      </c>
    </row>
    <row r="48" spans="1:8" ht="31.5" customHeight="1" x14ac:dyDescent="0.25">
      <c r="A48" s="79">
        <v>32</v>
      </c>
      <c r="B48" s="89"/>
      <c r="C48" s="81" t="s">
        <v>122</v>
      </c>
      <c r="D48" s="81" t="s">
        <v>123</v>
      </c>
      <c r="E48" s="79" t="s">
        <v>109</v>
      </c>
      <c r="F48" s="79">
        <v>0.15944614129651999</v>
      </c>
      <c r="G48" s="82">
        <v>3708.36</v>
      </c>
      <c r="H48" s="82">
        <f t="shared" si="3"/>
        <v>591.28</v>
      </c>
    </row>
    <row r="49" spans="1:8" ht="15" customHeight="1" x14ac:dyDescent="0.25">
      <c r="A49" s="79">
        <v>33</v>
      </c>
      <c r="B49" s="89"/>
      <c r="C49" s="81" t="s">
        <v>124</v>
      </c>
      <c r="D49" s="81" t="s">
        <v>125</v>
      </c>
      <c r="E49" s="79" t="s">
        <v>126</v>
      </c>
      <c r="F49" s="79">
        <v>8.4419743326457995E-3</v>
      </c>
      <c r="G49" s="82">
        <v>68050</v>
      </c>
      <c r="H49" s="82">
        <f t="shared" si="3"/>
        <v>574.48</v>
      </c>
    </row>
    <row r="50" spans="1:8" ht="31.5" customHeight="1" x14ac:dyDescent="0.25">
      <c r="A50" s="79">
        <v>34</v>
      </c>
      <c r="B50" s="89"/>
      <c r="C50" s="81" t="s">
        <v>127</v>
      </c>
      <c r="D50" s="81" t="s">
        <v>128</v>
      </c>
      <c r="E50" s="79" t="s">
        <v>109</v>
      </c>
      <c r="F50" s="79">
        <v>0.17473664368778</v>
      </c>
      <c r="G50" s="82">
        <v>2719.53</v>
      </c>
      <c r="H50" s="82">
        <f t="shared" si="3"/>
        <v>475.2</v>
      </c>
    </row>
    <row r="51" spans="1:8" ht="31.5" customHeight="1" x14ac:dyDescent="0.25">
      <c r="A51" s="79">
        <v>35</v>
      </c>
      <c r="B51" s="89"/>
      <c r="C51" s="81" t="s">
        <v>129</v>
      </c>
      <c r="D51" s="81" t="s">
        <v>130</v>
      </c>
      <c r="E51" s="79" t="s">
        <v>131</v>
      </c>
      <c r="F51" s="79">
        <v>2.8788055118750999</v>
      </c>
      <c r="G51" s="82">
        <v>83</v>
      </c>
      <c r="H51" s="82">
        <f t="shared" si="3"/>
        <v>238.94</v>
      </c>
    </row>
    <row r="52" spans="1:8" x14ac:dyDescent="0.25">
      <c r="A52" s="79">
        <v>36</v>
      </c>
      <c r="B52" s="89"/>
      <c r="C52" s="81" t="s">
        <v>132</v>
      </c>
      <c r="D52" s="81" t="s">
        <v>133</v>
      </c>
      <c r="E52" s="79" t="s">
        <v>134</v>
      </c>
      <c r="F52" s="79">
        <v>2.3483005704578002</v>
      </c>
      <c r="G52" s="82">
        <v>28.93</v>
      </c>
      <c r="H52" s="82">
        <f t="shared" si="3"/>
        <v>67.94</v>
      </c>
    </row>
    <row r="53" spans="1:8" ht="31.5" customHeight="1" x14ac:dyDescent="0.25">
      <c r="A53" s="79">
        <v>37</v>
      </c>
      <c r="B53" s="89"/>
      <c r="C53" s="81" t="s">
        <v>135</v>
      </c>
      <c r="D53" s="81" t="s">
        <v>136</v>
      </c>
      <c r="E53" s="79" t="s">
        <v>137</v>
      </c>
      <c r="F53" s="79">
        <v>50.197659135636997</v>
      </c>
      <c r="G53" s="82">
        <v>1</v>
      </c>
      <c r="H53" s="82">
        <f t="shared" si="3"/>
        <v>50.2</v>
      </c>
    </row>
    <row r="54" spans="1:8" x14ac:dyDescent="0.25">
      <c r="A54" s="79">
        <v>38</v>
      </c>
      <c r="B54" s="89"/>
      <c r="C54" s="81" t="s">
        <v>138</v>
      </c>
      <c r="D54" s="81" t="s">
        <v>139</v>
      </c>
      <c r="E54" s="79" t="s">
        <v>140</v>
      </c>
      <c r="F54" s="79">
        <v>1.6198749445578999</v>
      </c>
      <c r="G54" s="82">
        <v>6.9</v>
      </c>
      <c r="H54" s="82">
        <f t="shared" si="3"/>
        <v>11.18</v>
      </c>
    </row>
    <row r="55" spans="1:8" ht="31.5" customHeight="1" x14ac:dyDescent="0.25">
      <c r="A55" s="79">
        <v>39</v>
      </c>
      <c r="B55" s="89"/>
      <c r="C55" s="81" t="s">
        <v>141</v>
      </c>
      <c r="D55" s="81" t="s">
        <v>142</v>
      </c>
      <c r="E55" s="79" t="s">
        <v>134</v>
      </c>
      <c r="F55" s="79">
        <v>0.27962730774118</v>
      </c>
      <c r="G55" s="82">
        <v>38.340000000000003</v>
      </c>
      <c r="H55" s="82">
        <f t="shared" si="3"/>
        <v>10.72</v>
      </c>
    </row>
    <row r="56" spans="1:8" ht="47.25" customHeight="1" x14ac:dyDescent="0.25">
      <c r="A56" s="79">
        <v>40</v>
      </c>
      <c r="B56" s="89"/>
      <c r="C56" s="81" t="s">
        <v>143</v>
      </c>
      <c r="D56" s="81" t="s">
        <v>144</v>
      </c>
      <c r="E56" s="79" t="s">
        <v>126</v>
      </c>
      <c r="F56" s="79">
        <v>1.5292115213059001E-3</v>
      </c>
      <c r="G56" s="82">
        <v>6834.81</v>
      </c>
      <c r="H56" s="82">
        <f t="shared" si="3"/>
        <v>10.45</v>
      </c>
    </row>
    <row r="57" spans="1:8" x14ac:dyDescent="0.25">
      <c r="A57" s="79">
        <v>41</v>
      </c>
      <c r="B57" s="89"/>
      <c r="C57" s="81" t="s">
        <v>145</v>
      </c>
      <c r="D57" s="81" t="s">
        <v>146</v>
      </c>
      <c r="E57" s="79" t="s">
        <v>134</v>
      </c>
      <c r="F57" s="79">
        <v>0.65524191629164996</v>
      </c>
      <c r="G57" s="82">
        <v>12.6</v>
      </c>
      <c r="H57" s="82">
        <f t="shared" si="3"/>
        <v>8.26</v>
      </c>
    </row>
    <row r="58" spans="1:8" x14ac:dyDescent="0.25">
      <c r="A58" s="79">
        <v>42</v>
      </c>
      <c r="B58" s="89"/>
      <c r="C58" s="81" t="s">
        <v>147</v>
      </c>
      <c r="D58" s="81" t="s">
        <v>148</v>
      </c>
      <c r="E58" s="79" t="s">
        <v>126</v>
      </c>
      <c r="F58" s="79">
        <v>1.0135586774729999E-3</v>
      </c>
      <c r="G58" s="82">
        <v>7826.9</v>
      </c>
      <c r="H58" s="82">
        <f t="shared" si="3"/>
        <v>7.93</v>
      </c>
    </row>
    <row r="59" spans="1:8" ht="31.5" customHeight="1" x14ac:dyDescent="0.25">
      <c r="A59" s="79">
        <v>43</v>
      </c>
      <c r="B59" s="89"/>
      <c r="C59" s="81" t="s">
        <v>149</v>
      </c>
      <c r="D59" s="81" t="s">
        <v>150</v>
      </c>
      <c r="E59" s="79" t="s">
        <v>126</v>
      </c>
      <c r="F59" s="79">
        <v>4.3626428363398997E-5</v>
      </c>
      <c r="G59" s="82">
        <v>65750</v>
      </c>
      <c r="H59" s="82">
        <f t="shared" si="3"/>
        <v>2.87</v>
      </c>
    </row>
    <row r="60" spans="1:8" ht="31.5" customHeight="1" x14ac:dyDescent="0.25">
      <c r="A60" s="79">
        <v>44</v>
      </c>
      <c r="B60" s="89"/>
      <c r="C60" s="81" t="s">
        <v>151</v>
      </c>
      <c r="D60" s="81" t="s">
        <v>152</v>
      </c>
      <c r="E60" s="79" t="s">
        <v>134</v>
      </c>
      <c r="F60" s="79">
        <v>5.1848558511115E-2</v>
      </c>
      <c r="G60" s="82">
        <v>25.76</v>
      </c>
      <c r="H60" s="82">
        <f t="shared" si="3"/>
        <v>1.34</v>
      </c>
    </row>
    <row r="61" spans="1:8" x14ac:dyDescent="0.25">
      <c r="A61" s="79">
        <v>45</v>
      </c>
      <c r="B61" s="89"/>
      <c r="C61" s="81" t="s">
        <v>153</v>
      </c>
      <c r="D61" s="81" t="s">
        <v>154</v>
      </c>
      <c r="E61" s="79" t="s">
        <v>126</v>
      </c>
      <c r="F61" s="79">
        <v>1.4367138528043001E-3</v>
      </c>
      <c r="G61" s="82">
        <v>729.98</v>
      </c>
      <c r="H61" s="82">
        <f t="shared" si="3"/>
        <v>1.05</v>
      </c>
    </row>
    <row r="62" spans="1:8" x14ac:dyDescent="0.25">
      <c r="A62" s="79">
        <v>46</v>
      </c>
      <c r="B62" s="89"/>
      <c r="C62" s="81" t="s">
        <v>155</v>
      </c>
      <c r="D62" s="81" t="s">
        <v>156</v>
      </c>
      <c r="E62" s="79" t="s">
        <v>95</v>
      </c>
      <c r="F62" s="79">
        <v>2.1919754644284</v>
      </c>
      <c r="G62" s="82">
        <v>0.27</v>
      </c>
      <c r="H62" s="82">
        <f t="shared" si="3"/>
        <v>0.59</v>
      </c>
    </row>
    <row r="63" spans="1:8" x14ac:dyDescent="0.25">
      <c r="A63" s="79">
        <v>47</v>
      </c>
      <c r="B63" s="89"/>
      <c r="C63" s="81" t="s">
        <v>157</v>
      </c>
      <c r="D63" s="81" t="s">
        <v>158</v>
      </c>
      <c r="E63" s="79" t="s">
        <v>126</v>
      </c>
      <c r="F63" s="79">
        <v>2.6070360802442E-5</v>
      </c>
      <c r="G63" s="82">
        <v>10315.01</v>
      </c>
      <c r="H63" s="82">
        <f t="shared" si="3"/>
        <v>0.27</v>
      </c>
    </row>
    <row r="64" spans="1:8" x14ac:dyDescent="0.25">
      <c r="A64" s="79">
        <v>48</v>
      </c>
      <c r="B64" s="89"/>
      <c r="C64" s="81" t="s">
        <v>159</v>
      </c>
      <c r="D64" s="81" t="s">
        <v>160</v>
      </c>
      <c r="E64" s="79" t="s">
        <v>126</v>
      </c>
      <c r="F64" s="79">
        <v>4.4343594307127001E-6</v>
      </c>
      <c r="G64" s="82">
        <v>28300.400000000001</v>
      </c>
      <c r="H64" s="82">
        <f t="shared" si="3"/>
        <v>0.13</v>
      </c>
    </row>
    <row r="65" spans="1:8" x14ac:dyDescent="0.25">
      <c r="A65" s="79">
        <v>49</v>
      </c>
      <c r="B65" s="89"/>
      <c r="C65" s="81" t="s">
        <v>161</v>
      </c>
      <c r="D65" s="81" t="s">
        <v>162</v>
      </c>
      <c r="E65" s="79" t="s">
        <v>134</v>
      </c>
      <c r="F65" s="79">
        <v>3.5545193903731998E-3</v>
      </c>
      <c r="G65" s="82">
        <v>27.74</v>
      </c>
      <c r="H65" s="82">
        <f t="shared" si="3"/>
        <v>0.1</v>
      </c>
    </row>
    <row r="66" spans="1:8" x14ac:dyDescent="0.25">
      <c r="A66" s="79">
        <v>50</v>
      </c>
      <c r="B66" s="89"/>
      <c r="C66" s="81" t="s">
        <v>163</v>
      </c>
      <c r="D66" s="81" t="s">
        <v>164</v>
      </c>
      <c r="E66" s="79" t="s">
        <v>126</v>
      </c>
      <c r="F66" s="79">
        <v>2.2954846870147002E-6</v>
      </c>
      <c r="G66" s="82">
        <v>15620</v>
      </c>
      <c r="H66" s="82">
        <f t="shared" si="3"/>
        <v>0.04</v>
      </c>
    </row>
    <row r="67" spans="1:8" x14ac:dyDescent="0.25">
      <c r="A67" s="79">
        <v>51</v>
      </c>
      <c r="B67" s="89"/>
      <c r="C67" s="81" t="s">
        <v>165</v>
      </c>
      <c r="D67" s="81" t="s">
        <v>166</v>
      </c>
      <c r="E67" s="79" t="s">
        <v>134</v>
      </c>
      <c r="F67" s="79">
        <v>1.9030762168062E-3</v>
      </c>
      <c r="G67" s="82">
        <v>9.42</v>
      </c>
      <c r="H67" s="82">
        <f t="shared" si="3"/>
        <v>0.02</v>
      </c>
    </row>
    <row r="68" spans="1:8" x14ac:dyDescent="0.25">
      <c r="A68" s="79">
        <v>52</v>
      </c>
      <c r="B68" s="89"/>
      <c r="C68" s="81" t="s">
        <v>167</v>
      </c>
      <c r="D68" s="81" t="s">
        <v>168</v>
      </c>
      <c r="E68" s="79" t="s">
        <v>134</v>
      </c>
      <c r="F68" s="79">
        <v>2.6876560257485999E-3</v>
      </c>
      <c r="G68" s="82">
        <v>6.67</v>
      </c>
      <c r="H68" s="82">
        <f t="shared" si="3"/>
        <v>0.02</v>
      </c>
    </row>
    <row r="71" spans="1:8" x14ac:dyDescent="0.25">
      <c r="B71" s="57" t="s">
        <v>32</v>
      </c>
    </row>
    <row r="72" spans="1:8" x14ac:dyDescent="0.25">
      <c r="B72" s="64" t="s">
        <v>33</v>
      </c>
    </row>
    <row r="74" spans="1:8" x14ac:dyDescent="0.25">
      <c r="B74" s="57" t="s">
        <v>34</v>
      </c>
    </row>
    <row r="75" spans="1:8" x14ac:dyDescent="0.25">
      <c r="B75" s="64" t="s">
        <v>35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50"/>
  <sheetViews>
    <sheetView view="pageBreakPreview" topLeftCell="A35" workbookViewId="0">
      <selection activeCell="C44" sqref="C44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9" width="9.140625" customWidth="1"/>
    <col min="10" max="10" width="13.5703125" customWidth="1"/>
    <col min="11" max="11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169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42" t="s">
        <v>170</v>
      </c>
      <c r="C5" s="142"/>
      <c r="D5" s="142"/>
      <c r="E5" s="142"/>
    </row>
    <row r="6" spans="2:5" x14ac:dyDescent="0.25">
      <c r="B6" s="16"/>
      <c r="C6" s="6"/>
      <c r="D6" s="6"/>
      <c r="E6" s="6"/>
    </row>
    <row r="7" spans="2:5" ht="39.75" customHeight="1" x14ac:dyDescent="0.25">
      <c r="B7" s="143" t="str">
        <f>'Прил.1 Сравнит табл'!B7</f>
        <v>Наименование разрабатываемого показателя УНЦ: Постоянная часть ПС, система периметральной сигнализации ЗПС 35 кВ</v>
      </c>
      <c r="C7" s="143"/>
      <c r="D7" s="143"/>
      <c r="E7" s="143"/>
    </row>
    <row r="8" spans="2:5" x14ac:dyDescent="0.25">
      <c r="B8" s="144" t="str">
        <f>'Прил.1 Сравнит табл'!B9</f>
        <v>Единица измерения  — 1 ПС</v>
      </c>
      <c r="C8" s="144"/>
      <c r="D8" s="144"/>
      <c r="E8" s="144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171</v>
      </c>
      <c r="C10" s="2" t="s">
        <v>172</v>
      </c>
      <c r="D10" s="2" t="s">
        <v>173</v>
      </c>
      <c r="E10" s="2" t="s">
        <v>174</v>
      </c>
    </row>
    <row r="11" spans="2:5" x14ac:dyDescent="0.25">
      <c r="B11" s="7" t="s">
        <v>175</v>
      </c>
      <c r="C11" s="41">
        <f>'Прил.5 Расчет СМР и ОБ'!J16</f>
        <v>115675.97</v>
      </c>
      <c r="D11" s="40">
        <f t="shared" ref="D11:D18" si="0">C11/$C$24</f>
        <v>0.21084740900007856</v>
      </c>
      <c r="E11" s="40">
        <f t="shared" ref="E11:E18" si="1">C11/$C$40</f>
        <v>6.9601877949119817E-2</v>
      </c>
    </row>
    <row r="12" spans="2:5" x14ac:dyDescent="0.25">
      <c r="B12" s="7" t="s">
        <v>176</v>
      </c>
      <c r="C12" s="41">
        <f>'Прил.5 Расчет СМР и ОБ'!J24</f>
        <v>10060.69</v>
      </c>
      <c r="D12" s="40">
        <f t="shared" si="0"/>
        <v>1.8338038740915684E-2</v>
      </c>
      <c r="E12" s="40">
        <f t="shared" si="1"/>
        <v>6.0534864541350311E-3</v>
      </c>
    </row>
    <row r="13" spans="2:5" x14ac:dyDescent="0.25">
      <c r="B13" s="7" t="s">
        <v>177</v>
      </c>
      <c r="C13" s="41">
        <f>'Прил.5 Расчет СМР и ОБ'!J28</f>
        <v>499.26</v>
      </c>
      <c r="D13" s="40">
        <f t="shared" si="0"/>
        <v>9.1002199866903409E-4</v>
      </c>
      <c r="E13" s="40">
        <f t="shared" si="1"/>
        <v>3.0040321758164257E-4</v>
      </c>
    </row>
    <row r="14" spans="2:5" x14ac:dyDescent="0.25">
      <c r="B14" s="7" t="s">
        <v>178</v>
      </c>
      <c r="C14" s="41">
        <f>C13+C12</f>
        <v>10559.95</v>
      </c>
      <c r="D14" s="40">
        <f t="shared" si="0"/>
        <v>1.9248060739584721E-2</v>
      </c>
      <c r="E14" s="40">
        <f t="shared" si="1"/>
        <v>6.3538896717166733E-3</v>
      </c>
    </row>
    <row r="15" spans="2:5" x14ac:dyDescent="0.25">
      <c r="B15" s="7" t="s">
        <v>179</v>
      </c>
      <c r="C15" s="41">
        <f>'Прил.5 Расчет СМР и ОБ'!J18</f>
        <v>17270</v>
      </c>
      <c r="D15" s="40">
        <f t="shared" si="0"/>
        <v>3.1478748381633254E-2</v>
      </c>
      <c r="E15" s="40">
        <f t="shared" si="1"/>
        <v>1.0391306268547383E-2</v>
      </c>
    </row>
    <row r="16" spans="2:5" x14ac:dyDescent="0.25">
      <c r="B16" s="7" t="s">
        <v>180</v>
      </c>
      <c r="C16" s="41">
        <f>'Прил.5 Расчет СМР и ОБ'!J51</f>
        <v>199787.38999999998</v>
      </c>
      <c r="D16" s="40">
        <f t="shared" si="0"/>
        <v>0.36416079789422301</v>
      </c>
      <c r="E16" s="40">
        <f t="shared" si="1"/>
        <v>0.12021146254103768</v>
      </c>
    </row>
    <row r="17" spans="2:5" x14ac:dyDescent="0.25">
      <c r="B17" s="7" t="s">
        <v>181</v>
      </c>
      <c r="C17" s="41">
        <f>'Прил.5 Расчет СМР и ОБ'!J76</f>
        <v>32488.05</v>
      </c>
      <c r="D17" s="40">
        <f t="shared" si="0"/>
        <v>5.9217322024315011E-2</v>
      </c>
      <c r="E17" s="40">
        <f t="shared" si="1"/>
        <v>1.9547960487427959E-2</v>
      </c>
    </row>
    <row r="18" spans="2:5" x14ac:dyDescent="0.25">
      <c r="B18" s="7" t="s">
        <v>182</v>
      </c>
      <c r="C18" s="41">
        <f>C17+C16</f>
        <v>232275.43999999997</v>
      </c>
      <c r="D18" s="40">
        <f t="shared" si="0"/>
        <v>0.42337811991853802</v>
      </c>
      <c r="E18" s="40">
        <f t="shared" si="1"/>
        <v>0.13975942302846564</v>
      </c>
    </row>
    <row r="19" spans="2:5" x14ac:dyDescent="0.25">
      <c r="B19" s="7" t="s">
        <v>183</v>
      </c>
      <c r="C19" s="41">
        <f>C18+C14+C11</f>
        <v>358511.35999999999</v>
      </c>
      <c r="D19" s="40"/>
      <c r="E19" s="7"/>
    </row>
    <row r="20" spans="2:5" x14ac:dyDescent="0.25">
      <c r="B20" s="7" t="s">
        <v>184</v>
      </c>
      <c r="C20" s="41">
        <f>ROUND(C21*(C11+C15),2)</f>
        <v>65143.53</v>
      </c>
      <c r="D20" s="40">
        <f>C20/$C$24</f>
        <v>0.11873982568392456</v>
      </c>
      <c r="E20" s="40">
        <f>C20/$C$40</f>
        <v>3.9196663094632572E-2</v>
      </c>
    </row>
    <row r="21" spans="2:5" x14ac:dyDescent="0.25">
      <c r="B21" s="7" t="s">
        <v>185</v>
      </c>
      <c r="C21" s="42">
        <v>0.49</v>
      </c>
      <c r="D21" s="40"/>
      <c r="E21" s="7"/>
    </row>
    <row r="22" spans="2:5" x14ac:dyDescent="0.25">
      <c r="B22" s="7" t="s">
        <v>186</v>
      </c>
      <c r="C22" s="41">
        <f>ROUND(C23*(C11+C15),2)</f>
        <v>124969.21</v>
      </c>
      <c r="D22" s="40">
        <f>C22/$C$24</f>
        <v>0.22778658465787416</v>
      </c>
      <c r="E22" s="40">
        <f>C22/$C$40</f>
        <v>7.5193592081552657E-2</v>
      </c>
    </row>
    <row r="23" spans="2:5" x14ac:dyDescent="0.25">
      <c r="B23" s="7" t="s">
        <v>187</v>
      </c>
      <c r="C23" s="42">
        <v>0.94</v>
      </c>
      <c r="D23" s="40"/>
      <c r="E23" s="7"/>
    </row>
    <row r="24" spans="2:5" x14ac:dyDescent="0.25">
      <c r="B24" s="7" t="s">
        <v>188</v>
      </c>
      <c r="C24" s="41">
        <f>C19+C20+C22</f>
        <v>548624.1</v>
      </c>
      <c r="D24" s="40">
        <f>C24/$C$24</f>
        <v>1</v>
      </c>
      <c r="E24" s="40">
        <f>C24/$C$40</f>
        <v>0.33010544582548734</v>
      </c>
    </row>
    <row r="25" spans="2:5" ht="25.5" customHeight="1" x14ac:dyDescent="0.25">
      <c r="B25" s="7" t="s">
        <v>189</v>
      </c>
      <c r="C25" s="41">
        <f>'Прил.5 Расчет СМР и ОБ'!J42</f>
        <v>943264.6</v>
      </c>
      <c r="D25" s="40"/>
      <c r="E25" s="40">
        <f>C25/$C$40</f>
        <v>0.56755942969767459</v>
      </c>
    </row>
    <row r="26" spans="2:5" ht="25.5" customHeight="1" x14ac:dyDescent="0.25">
      <c r="B26" s="7" t="s">
        <v>190</v>
      </c>
      <c r="C26" s="41">
        <f>'Прил.5 Расчет СМР и ОБ'!J43</f>
        <v>943264.63</v>
      </c>
      <c r="D26" s="40"/>
      <c r="E26" s="40">
        <f>C26/$C$40</f>
        <v>0.56755944774858302</v>
      </c>
    </row>
    <row r="27" spans="2:5" x14ac:dyDescent="0.25">
      <c r="B27" s="7" t="s">
        <v>191</v>
      </c>
      <c r="C27" s="39">
        <f>C24+C25</f>
        <v>1491888.7</v>
      </c>
      <c r="D27" s="40"/>
      <c r="E27" s="40">
        <f>C27/$C$40</f>
        <v>0.89766487552316199</v>
      </c>
    </row>
    <row r="28" spans="2:5" ht="33" customHeight="1" x14ac:dyDescent="0.25">
      <c r="B28" s="7" t="s">
        <v>192</v>
      </c>
      <c r="C28" s="7"/>
      <c r="D28" s="7"/>
      <c r="E28" s="7"/>
    </row>
    <row r="29" spans="2:5" ht="25.5" customHeight="1" x14ac:dyDescent="0.25">
      <c r="B29" s="7" t="s">
        <v>193</v>
      </c>
      <c r="C29" s="39">
        <f>ROUND(C24*3.9%,2)</f>
        <v>21396.34</v>
      </c>
      <c r="D29" s="7"/>
      <c r="E29" s="40">
        <f t="shared" ref="E29:E40" si="2">C29/$C$40</f>
        <v>1.2874112447363702E-2</v>
      </c>
    </row>
    <row r="30" spans="2:5" ht="38.25" customHeight="1" x14ac:dyDescent="0.25">
      <c r="B30" s="94" t="s">
        <v>194</v>
      </c>
      <c r="C30" s="95">
        <f>ROUND((C24+C29)*2.1%,2)</f>
        <v>11970.43</v>
      </c>
      <c r="D30" s="94"/>
      <c r="E30" s="40">
        <f t="shared" si="2"/>
        <v>7.2025711810195523E-3</v>
      </c>
    </row>
    <row r="31" spans="2:5" x14ac:dyDescent="0.25">
      <c r="B31" s="94" t="s">
        <v>195</v>
      </c>
      <c r="C31" s="95">
        <v>51410</v>
      </c>
      <c r="D31" s="94"/>
      <c r="E31" s="40">
        <f t="shared" si="2"/>
        <v>3.0933240026984422E-2</v>
      </c>
    </row>
    <row r="32" spans="2:5" ht="25.5" customHeight="1" x14ac:dyDescent="0.25">
      <c r="B32" s="94" t="s">
        <v>196</v>
      </c>
      <c r="C32" s="95">
        <v>0</v>
      </c>
      <c r="D32" s="94"/>
      <c r="E32" s="40">
        <f t="shared" si="2"/>
        <v>0</v>
      </c>
    </row>
    <row r="33" spans="2:10" ht="25.5" customHeight="1" x14ac:dyDescent="0.25">
      <c r="B33" s="94" t="s">
        <v>197</v>
      </c>
      <c r="C33" s="95">
        <v>0</v>
      </c>
      <c r="D33" s="94"/>
      <c r="E33" s="40">
        <f t="shared" si="2"/>
        <v>0</v>
      </c>
    </row>
    <row r="34" spans="2:10" ht="51" customHeight="1" x14ac:dyDescent="0.25">
      <c r="B34" s="7" t="s">
        <v>198</v>
      </c>
      <c r="C34" s="39">
        <v>0</v>
      </c>
      <c r="D34" s="7"/>
      <c r="E34" s="40">
        <f t="shared" si="2"/>
        <v>0</v>
      </c>
    </row>
    <row r="35" spans="2:10" ht="76.5" customHeight="1" x14ac:dyDescent="0.25">
      <c r="B35" s="7" t="s">
        <v>199</v>
      </c>
      <c r="C35" s="39">
        <v>0</v>
      </c>
      <c r="D35" s="7"/>
      <c r="E35" s="40">
        <f t="shared" si="2"/>
        <v>0</v>
      </c>
    </row>
    <row r="36" spans="2:10" ht="25.5" customHeight="1" x14ac:dyDescent="0.25">
      <c r="B36" s="7" t="s">
        <v>200</v>
      </c>
      <c r="C36" s="39">
        <f>ROUND(SUM(C27:C35)*2.14%,2)</f>
        <v>33740.639999999999</v>
      </c>
      <c r="D36" s="7"/>
      <c r="E36" s="40">
        <f t="shared" si="2"/>
        <v>2.0301640065825164E-2</v>
      </c>
      <c r="J36" s="17"/>
    </row>
    <row r="37" spans="2:10" x14ac:dyDescent="0.25">
      <c r="B37" s="7" t="s">
        <v>201</v>
      </c>
      <c r="C37" s="39">
        <f>ROUND(SUM(C27:C35)*0.2%,2)</f>
        <v>3153.33</v>
      </c>
      <c r="D37" s="7"/>
      <c r="E37" s="40">
        <f t="shared" si="2"/>
        <v>1.8973490327619295E-3</v>
      </c>
      <c r="J37" s="17"/>
    </row>
    <row r="38" spans="2:10" ht="38.25" customHeight="1" x14ac:dyDescent="0.25">
      <c r="B38" s="7" t="s">
        <v>202</v>
      </c>
      <c r="C38" s="41">
        <f>SUM(C27:C37)</f>
        <v>1613559.44</v>
      </c>
      <c r="D38" s="7"/>
      <c r="E38" s="40">
        <f t="shared" si="2"/>
        <v>0.97087378827711668</v>
      </c>
    </row>
    <row r="39" spans="2:10" ht="13.5" customHeight="1" x14ac:dyDescent="0.25">
      <c r="B39" s="7" t="s">
        <v>203</v>
      </c>
      <c r="C39" s="41">
        <f>ROUND(C38*3%,2)</f>
        <v>48406.78</v>
      </c>
      <c r="D39" s="7"/>
      <c r="E39" s="40">
        <f t="shared" si="2"/>
        <v>2.9126211722883273E-2</v>
      </c>
    </row>
    <row r="40" spans="2:10" x14ac:dyDescent="0.25">
      <c r="B40" s="7" t="s">
        <v>204</v>
      </c>
      <c r="C40" s="41">
        <f>C39+C38</f>
        <v>1661966.22</v>
      </c>
      <c r="D40" s="7"/>
      <c r="E40" s="40">
        <f t="shared" si="2"/>
        <v>1</v>
      </c>
    </row>
    <row r="41" spans="2:10" x14ac:dyDescent="0.25">
      <c r="B41" s="7" t="s">
        <v>205</v>
      </c>
      <c r="C41" s="41">
        <f>C40/'Прил.5 Расчет СМР и ОБ'!E83</f>
        <v>1661966.22</v>
      </c>
      <c r="D41" s="7"/>
      <c r="E41" s="7"/>
    </row>
    <row r="42" spans="2:10" x14ac:dyDescent="0.25">
      <c r="B42" s="18"/>
      <c r="C42" s="6"/>
      <c r="D42" s="6"/>
      <c r="E42" s="6"/>
    </row>
    <row r="43" spans="2:10" x14ac:dyDescent="0.25">
      <c r="B43" s="6" t="s">
        <v>32</v>
      </c>
      <c r="C43" s="1"/>
      <c r="D43" s="6"/>
      <c r="E43" s="6"/>
    </row>
    <row r="44" spans="2:10" x14ac:dyDescent="0.25">
      <c r="B44" s="58" t="s">
        <v>33</v>
      </c>
      <c r="C44" s="1"/>
      <c r="D44" s="6"/>
      <c r="E44" s="6"/>
    </row>
    <row r="45" spans="2:10" x14ac:dyDescent="0.25">
      <c r="B45" s="6"/>
      <c r="C45" s="1"/>
      <c r="D45" s="6"/>
      <c r="E45" s="6"/>
    </row>
    <row r="46" spans="2:10" x14ac:dyDescent="0.25">
      <c r="B46" s="6" t="s">
        <v>34</v>
      </c>
      <c r="C46" s="1"/>
      <c r="D46" s="6"/>
      <c r="E46" s="6"/>
    </row>
    <row r="47" spans="2:10" x14ac:dyDescent="0.25">
      <c r="B47" s="58" t="s">
        <v>35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view="pageBreakPreview" zoomScale="55" zoomScaleSheetLayoutView="55" workbookViewId="0">
      <selection activeCell="M49" sqref="M49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206</v>
      </c>
    </row>
    <row r="4" spans="1:10" s="6" customFormat="1" ht="12.75" customHeight="1" x14ac:dyDescent="0.2">
      <c r="A4" s="142" t="s">
        <v>207</v>
      </c>
      <c r="B4" s="142"/>
      <c r="C4" s="142"/>
      <c r="D4" s="142"/>
      <c r="E4" s="142"/>
      <c r="F4" s="142"/>
      <c r="G4" s="142"/>
      <c r="H4" s="142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4" t="s">
        <v>208</v>
      </c>
      <c r="B6" s="85"/>
      <c r="C6" s="85"/>
      <c r="D6" s="158" t="s">
        <v>209</v>
      </c>
      <c r="E6" s="158"/>
      <c r="F6" s="158"/>
      <c r="G6" s="158"/>
      <c r="H6" s="158"/>
      <c r="I6" s="158"/>
      <c r="J6" s="158"/>
    </row>
    <row r="7" spans="1:10" s="6" customFormat="1" ht="12.75" customHeight="1" x14ac:dyDescent="0.2">
      <c r="A7" s="158" t="str">
        <f>'Прил.1 Сравнит табл'!B9</f>
        <v>Единица измерения  — 1 ПС</v>
      </c>
      <c r="B7" s="143"/>
      <c r="C7" s="143"/>
      <c r="D7" s="143"/>
      <c r="E7" s="143"/>
      <c r="F7" s="143"/>
      <c r="G7" s="143"/>
      <c r="H7" s="143"/>
      <c r="I7" s="86"/>
      <c r="J7" s="86"/>
    </row>
    <row r="8" spans="1:10" s="6" customFormat="1" ht="12.75" customHeight="1" x14ac:dyDescent="0.2"/>
    <row r="9" spans="1:10" ht="27" customHeight="1" x14ac:dyDescent="0.25">
      <c r="A9" s="145" t="s">
        <v>210</v>
      </c>
      <c r="B9" s="145" t="s">
        <v>54</v>
      </c>
      <c r="C9" s="145" t="s">
        <v>171</v>
      </c>
      <c r="D9" s="145" t="s">
        <v>56</v>
      </c>
      <c r="E9" s="146" t="s">
        <v>211</v>
      </c>
      <c r="F9" s="148" t="s">
        <v>58</v>
      </c>
      <c r="G9" s="149"/>
      <c r="H9" s="146" t="s">
        <v>212</v>
      </c>
      <c r="I9" s="148" t="s">
        <v>213</v>
      </c>
      <c r="J9" s="149"/>
    </row>
    <row r="10" spans="1:10" ht="28.5" customHeight="1" x14ac:dyDescent="0.25">
      <c r="A10" s="145"/>
      <c r="B10" s="145"/>
      <c r="C10" s="145"/>
      <c r="D10" s="145"/>
      <c r="E10" s="147"/>
      <c r="F10" s="2" t="s">
        <v>214</v>
      </c>
      <c r="G10" s="2" t="s">
        <v>60</v>
      </c>
      <c r="H10" s="147"/>
      <c r="I10" s="2" t="s">
        <v>214</v>
      </c>
      <c r="J10" s="2" t="s">
        <v>60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59" t="s">
        <v>215</v>
      </c>
      <c r="C12" s="150"/>
      <c r="D12" s="145"/>
      <c r="E12" s="151"/>
      <c r="F12" s="152"/>
      <c r="G12" s="152"/>
      <c r="H12" s="160"/>
      <c r="I12" s="44"/>
      <c r="J12" s="44"/>
    </row>
    <row r="13" spans="1:10" ht="25.5" customHeight="1" x14ac:dyDescent="0.25">
      <c r="A13" s="2">
        <v>1</v>
      </c>
      <c r="B13" s="47" t="s">
        <v>216</v>
      </c>
      <c r="C13" s="3" t="s">
        <v>217</v>
      </c>
      <c r="D13" s="2" t="s">
        <v>218</v>
      </c>
      <c r="E13" s="46">
        <v>241.57078458243001</v>
      </c>
      <c r="F13" s="14">
        <v>9.51</v>
      </c>
      <c r="G13" s="14">
        <f>SUM(Прил.3!H13:H17)</f>
        <v>2286.3200000000002</v>
      </c>
      <c r="H13" s="45">
        <f>G13/$G$16</f>
        <v>0.91645622389507519</v>
      </c>
      <c r="I13" s="14">
        <f>ФОТр.тек.!E13</f>
        <v>439.09244974661999</v>
      </c>
      <c r="J13" s="14">
        <f>ROUND(I13*E13,2)</f>
        <v>106071.91</v>
      </c>
    </row>
    <row r="14" spans="1:10" x14ac:dyDescent="0.25">
      <c r="A14" s="2">
        <v>2</v>
      </c>
      <c r="B14" s="47" t="s">
        <v>74</v>
      </c>
      <c r="C14" s="3" t="s">
        <v>75</v>
      </c>
      <c r="D14" s="2" t="s">
        <v>65</v>
      </c>
      <c r="E14" s="46">
        <v>7.0608416738731004</v>
      </c>
      <c r="F14" s="14">
        <f>Прил.3!G18</f>
        <v>15.49</v>
      </c>
      <c r="G14" s="14">
        <f>Прил.3!H18</f>
        <v>109.37</v>
      </c>
      <c r="H14" s="45">
        <f>G14/$G$16</f>
        <v>4.3840239864675272E-2</v>
      </c>
      <c r="I14" s="14">
        <f>ФОТр.тек.!E29</f>
        <v>713.02776960364997</v>
      </c>
      <c r="J14" s="14">
        <f>ROUND(I14*E14,2)</f>
        <v>5034.58</v>
      </c>
    </row>
    <row r="15" spans="1:10" x14ac:dyDescent="0.25">
      <c r="A15" s="2">
        <v>3</v>
      </c>
      <c r="B15" s="47" t="s">
        <v>76</v>
      </c>
      <c r="C15" s="3" t="s">
        <v>77</v>
      </c>
      <c r="D15" s="2" t="s">
        <v>65</v>
      </c>
      <c r="E15" s="46">
        <v>7.0297985100130997</v>
      </c>
      <c r="F15" s="14">
        <f>Прил.3!G19</f>
        <v>14.09</v>
      </c>
      <c r="G15" s="14">
        <f>Прил.3!H19</f>
        <v>99.05</v>
      </c>
      <c r="H15" s="45">
        <f>G15/$G$16</f>
        <v>3.9703536240249478E-2</v>
      </c>
      <c r="I15" s="14">
        <f>ФОТр.тек.!E37</f>
        <v>650.01601322007002</v>
      </c>
      <c r="J15" s="14">
        <f>ROUND(I15*E15,2)</f>
        <v>4569.4799999999996</v>
      </c>
    </row>
    <row r="16" spans="1:10" s="1" customFormat="1" ht="25.5" customHeight="1" x14ac:dyDescent="0.2">
      <c r="A16" s="2"/>
      <c r="B16" s="2"/>
      <c r="C16" s="5" t="s">
        <v>219</v>
      </c>
      <c r="D16" s="2" t="s">
        <v>218</v>
      </c>
      <c r="E16" s="46">
        <f>SUM(E13:E15)</f>
        <v>255.66142476631623</v>
      </c>
      <c r="F16" s="14"/>
      <c r="G16" s="14">
        <f>SUM(G13:G15)</f>
        <v>2494.7400000000002</v>
      </c>
      <c r="H16" s="45">
        <v>1</v>
      </c>
      <c r="I16" s="14"/>
      <c r="J16" s="14">
        <f>SUM(J13:J15)</f>
        <v>115675.97</v>
      </c>
    </row>
    <row r="17" spans="1:10" s="1" customFormat="1" ht="14.25" customHeight="1" x14ac:dyDescent="0.2">
      <c r="A17" s="2"/>
      <c r="B17" s="150" t="s">
        <v>78</v>
      </c>
      <c r="C17" s="150"/>
      <c r="D17" s="145"/>
      <c r="E17" s="151"/>
      <c r="F17" s="152"/>
      <c r="G17" s="152"/>
      <c r="H17" s="160"/>
      <c r="I17" s="44"/>
      <c r="J17" s="44"/>
    </row>
    <row r="18" spans="1:10" s="1" customFormat="1" ht="14.25" customHeight="1" x14ac:dyDescent="0.2">
      <c r="A18" s="2">
        <v>4</v>
      </c>
      <c r="B18" s="2">
        <v>2</v>
      </c>
      <c r="C18" s="3" t="s">
        <v>78</v>
      </c>
      <c r="D18" s="2" t="s">
        <v>218</v>
      </c>
      <c r="E18" s="46">
        <v>6.8642599999999998</v>
      </c>
      <c r="F18" s="14">
        <f>G18/E18</f>
        <v>56.805831946925089</v>
      </c>
      <c r="G18" s="14">
        <f>Прил.3!H21</f>
        <v>389.93</v>
      </c>
      <c r="H18" s="45">
        <v>1</v>
      </c>
      <c r="I18" s="14">
        <f>ROUND(F18*Прил.10!D10,2)</f>
        <v>2515.9299999999998</v>
      </c>
      <c r="J18" s="14">
        <f>ROUND(I18*E18,2)</f>
        <v>17270</v>
      </c>
    </row>
    <row r="19" spans="1:10" s="1" customFormat="1" ht="14.25" customHeight="1" x14ac:dyDescent="0.2">
      <c r="A19" s="2"/>
      <c r="B19" s="159" t="s">
        <v>79</v>
      </c>
      <c r="C19" s="150"/>
      <c r="D19" s="145"/>
      <c r="E19" s="151"/>
      <c r="F19" s="152"/>
      <c r="G19" s="152"/>
      <c r="H19" s="153"/>
      <c r="I19" s="45"/>
      <c r="J19" s="45"/>
    </row>
    <row r="20" spans="1:10" s="1" customFormat="1" ht="14.25" customHeight="1" x14ac:dyDescent="0.2">
      <c r="A20" s="2"/>
      <c r="B20" s="150" t="s">
        <v>220</v>
      </c>
      <c r="C20" s="150"/>
      <c r="D20" s="145"/>
      <c r="E20" s="151"/>
      <c r="F20" s="152"/>
      <c r="G20" s="152"/>
      <c r="H20" s="160"/>
      <c r="I20" s="44"/>
      <c r="J20" s="44"/>
    </row>
    <row r="21" spans="1:10" s="1" customFormat="1" ht="25.5" customHeight="1" x14ac:dyDescent="0.2">
      <c r="A21" s="2">
        <v>5</v>
      </c>
      <c r="B21" s="47" t="s">
        <v>80</v>
      </c>
      <c r="C21" s="3" t="s">
        <v>81</v>
      </c>
      <c r="D21" s="2" t="s">
        <v>82</v>
      </c>
      <c r="E21" s="46">
        <v>3.385364610511</v>
      </c>
      <c r="F21" s="9">
        <v>115.4</v>
      </c>
      <c r="G21" s="14">
        <f>ROUND(E21*F21,2)</f>
        <v>390.67</v>
      </c>
      <c r="H21" s="45">
        <f>G21/$G$29</f>
        <v>0.49832263989693482</v>
      </c>
      <c r="I21" s="14">
        <f>ROUND(F21*Прил.10!$D$11,2)</f>
        <v>1554.44</v>
      </c>
      <c r="J21" s="14">
        <f>ROUND(I21*E21,2)</f>
        <v>5262.35</v>
      </c>
    </row>
    <row r="22" spans="1:10" s="1" customFormat="1" ht="25.5" customHeight="1" x14ac:dyDescent="0.2">
      <c r="A22" s="2">
        <v>6</v>
      </c>
      <c r="B22" s="47" t="s">
        <v>83</v>
      </c>
      <c r="C22" s="3" t="s">
        <v>84</v>
      </c>
      <c r="D22" s="2" t="s">
        <v>82</v>
      </c>
      <c r="E22" s="46">
        <v>3.3984517466472002</v>
      </c>
      <c r="F22" s="9">
        <v>65.709999999999994</v>
      </c>
      <c r="G22" s="14">
        <f>ROUND(E22*F22,2)</f>
        <v>223.31</v>
      </c>
      <c r="H22" s="45">
        <f>G22/$G$29</f>
        <v>0.28484508335778153</v>
      </c>
      <c r="I22" s="14">
        <f>ROUND(F22*Прил.10!$D$11,2)</f>
        <v>885.11</v>
      </c>
      <c r="J22" s="14">
        <f>ROUND(I22*E22,2)</f>
        <v>3008</v>
      </c>
    </row>
    <row r="23" spans="1:10" s="1" customFormat="1" ht="25.5" customHeight="1" x14ac:dyDescent="0.2">
      <c r="A23" s="2">
        <v>7</v>
      </c>
      <c r="B23" s="47" t="s">
        <v>85</v>
      </c>
      <c r="C23" s="3" t="s">
        <v>86</v>
      </c>
      <c r="D23" s="2" t="s">
        <v>82</v>
      </c>
      <c r="E23" s="46">
        <v>40.523709479148003</v>
      </c>
      <c r="F23" s="9">
        <v>3.28</v>
      </c>
      <c r="G23" s="14">
        <f>ROUND(E23*F23,2)</f>
        <v>132.91999999999999</v>
      </c>
      <c r="H23" s="45">
        <f>G23/$G$29</f>
        <v>0.16954730410602445</v>
      </c>
      <c r="I23" s="14">
        <f>ROUND(F23*Прил.10!$D$11,2)</f>
        <v>44.18</v>
      </c>
      <c r="J23" s="14">
        <f>ROUND(I23*E23,2)</f>
        <v>1790.34</v>
      </c>
    </row>
    <row r="24" spans="1:10" s="1" customFormat="1" ht="14.25" customHeight="1" x14ac:dyDescent="0.2">
      <c r="B24" s="2"/>
      <c r="C24" s="3" t="s">
        <v>221</v>
      </c>
      <c r="D24" s="2"/>
      <c r="E24" s="48"/>
      <c r="F24" s="14"/>
      <c r="G24" s="14">
        <f>SUM(G21:G23)</f>
        <v>746.9</v>
      </c>
      <c r="H24" s="45">
        <f>G24/G29</f>
        <v>0.95271502736074076</v>
      </c>
      <c r="I24" s="14"/>
      <c r="J24" s="14">
        <f>SUM(J21:J23)</f>
        <v>10060.69</v>
      </c>
    </row>
    <row r="25" spans="1:10" s="1" customFormat="1" ht="25.5" hidden="1" customHeight="1" outlineLevel="1" x14ac:dyDescent="0.2">
      <c r="A25" s="2">
        <v>8</v>
      </c>
      <c r="B25" s="47" t="s">
        <v>87</v>
      </c>
      <c r="C25" s="3" t="s">
        <v>88</v>
      </c>
      <c r="D25" s="2" t="s">
        <v>82</v>
      </c>
      <c r="E25" s="46">
        <v>40.535673887893999</v>
      </c>
      <c r="F25" s="9">
        <v>0.9</v>
      </c>
      <c r="G25" s="14">
        <f>ROUND(E25*F25,2)</f>
        <v>36.479999999999997</v>
      </c>
      <c r="H25" s="45">
        <f>G25/$G$29</f>
        <v>4.6532392821153866E-2</v>
      </c>
      <c r="I25" s="14">
        <f>ROUND(F25*Прил.10!$D$11,2)</f>
        <v>12.12</v>
      </c>
      <c r="J25" s="14">
        <f>ROUND(I25*E25,2)</f>
        <v>491.29</v>
      </c>
    </row>
    <row r="26" spans="1:10" s="1" customFormat="1" ht="25.5" hidden="1" customHeight="1" outlineLevel="1" x14ac:dyDescent="0.2">
      <c r="A26" s="2">
        <v>9</v>
      </c>
      <c r="B26" s="47" t="s">
        <v>89</v>
      </c>
      <c r="C26" s="3" t="s">
        <v>90</v>
      </c>
      <c r="D26" s="2" t="s">
        <v>82</v>
      </c>
      <c r="E26" s="46">
        <v>4.3157112383399997E-2</v>
      </c>
      <c r="F26" s="9">
        <v>8.1</v>
      </c>
      <c r="G26" s="14">
        <f>ROUND(E26*F26,2)</f>
        <v>0.35</v>
      </c>
      <c r="H26" s="45">
        <f>G26/$G$29</f>
        <v>4.4644565480821965E-4</v>
      </c>
      <c r="I26" s="14">
        <f>ROUND(F26*Прил.10!$D$11,2)</f>
        <v>109.11</v>
      </c>
      <c r="J26" s="14">
        <f>ROUND(I26*E26,2)</f>
        <v>4.71</v>
      </c>
    </row>
    <row r="27" spans="1:10" s="1" customFormat="1" ht="14.25" hidden="1" customHeight="1" outlineLevel="1" x14ac:dyDescent="0.2">
      <c r="A27" s="2">
        <v>10</v>
      </c>
      <c r="B27" s="47" t="s">
        <v>91</v>
      </c>
      <c r="C27" s="3" t="s">
        <v>92</v>
      </c>
      <c r="D27" s="2" t="s">
        <v>82</v>
      </c>
      <c r="E27" s="46">
        <v>0.10254761485076</v>
      </c>
      <c r="F27" s="9">
        <v>2.36</v>
      </c>
      <c r="G27" s="14">
        <f>ROUND(E27*F27,2)</f>
        <v>0.24</v>
      </c>
      <c r="H27" s="45">
        <f>G27/$G$29</f>
        <v>3.061341632970649E-4</v>
      </c>
      <c r="I27" s="14">
        <f>ROUND(F27*Прил.10!$D$11,2)</f>
        <v>31.79</v>
      </c>
      <c r="J27" s="14">
        <f>ROUND(I27*E27,2)</f>
        <v>3.26</v>
      </c>
    </row>
    <row r="28" spans="1:10" s="1" customFormat="1" ht="14.25" customHeight="1" collapsed="1" x14ac:dyDescent="0.2">
      <c r="A28" s="2"/>
      <c r="B28" s="2"/>
      <c r="C28" s="3" t="s">
        <v>222</v>
      </c>
      <c r="D28" s="2"/>
      <c r="E28" s="49"/>
      <c r="F28" s="14"/>
      <c r="G28" s="14">
        <f>SUM(G25:G27)</f>
        <v>37.07</v>
      </c>
      <c r="H28" s="45">
        <f>G28/G29</f>
        <v>4.7284972639259154E-2</v>
      </c>
      <c r="I28" s="14"/>
      <c r="J28" s="14">
        <f>SUM(J25:J27)</f>
        <v>499.26</v>
      </c>
    </row>
    <row r="29" spans="1:10" s="1" customFormat="1" ht="25.5" customHeight="1" x14ac:dyDescent="0.2">
      <c r="A29" s="2"/>
      <c r="B29" s="50"/>
      <c r="C29" s="51" t="s">
        <v>223</v>
      </c>
      <c r="D29" s="50"/>
      <c r="E29" s="52"/>
      <c r="F29" s="53"/>
      <c r="G29" s="53">
        <f>G24+G28</f>
        <v>783.97</v>
      </c>
      <c r="H29" s="54">
        <v>1</v>
      </c>
      <c r="I29" s="53"/>
      <c r="J29" s="53">
        <f>J24+J28</f>
        <v>10559.95</v>
      </c>
    </row>
    <row r="30" spans="1:10" x14ac:dyDescent="0.25">
      <c r="A30" s="61"/>
      <c r="B30" s="154" t="s">
        <v>224</v>
      </c>
      <c r="C30" s="154"/>
      <c r="D30" s="154"/>
      <c r="E30" s="154"/>
      <c r="F30" s="154"/>
      <c r="G30" s="154"/>
      <c r="H30" s="154"/>
      <c r="I30" s="154"/>
      <c r="J30" s="154"/>
    </row>
    <row r="31" spans="1:10" ht="15" customHeight="1" x14ac:dyDescent="0.25">
      <c r="A31" s="2"/>
      <c r="B31" s="150" t="s">
        <v>225</v>
      </c>
      <c r="C31" s="150"/>
      <c r="D31" s="150"/>
      <c r="E31" s="150"/>
      <c r="F31" s="150"/>
      <c r="G31" s="150"/>
      <c r="H31" s="150"/>
      <c r="I31" s="150"/>
      <c r="J31" s="150"/>
    </row>
    <row r="32" spans="1:10" ht="25.5" customHeight="1" x14ac:dyDescent="0.25">
      <c r="A32" s="2">
        <v>11</v>
      </c>
      <c r="B32" s="47" t="s">
        <v>93</v>
      </c>
      <c r="C32" s="3" t="s">
        <v>94</v>
      </c>
      <c r="D32" s="2" t="s">
        <v>95</v>
      </c>
      <c r="E32" s="46">
        <v>1.3105103032540999</v>
      </c>
      <c r="F32" s="4">
        <f>ROUND(I32/Прил.10!$D$13,2)</f>
        <v>34762.120000000003</v>
      </c>
      <c r="G32" s="14">
        <f>ROUND(E32*F32,2)</f>
        <v>45556.12</v>
      </c>
      <c r="H32" s="45">
        <f t="shared" ref="H32:H41" si="0">G32/$G$42</f>
        <v>0.30233436476004805</v>
      </c>
      <c r="I32" s="14">
        <f>6.26*34762.12</f>
        <v>217610.87119999999</v>
      </c>
      <c r="J32" s="14">
        <f>ROUND(I32*E32,2)</f>
        <v>285181.28999999998</v>
      </c>
    </row>
    <row r="33" spans="1:10" x14ac:dyDescent="0.25">
      <c r="A33" s="2">
        <v>12</v>
      </c>
      <c r="B33" s="47" t="s">
        <v>226</v>
      </c>
      <c r="C33" s="3" t="s">
        <v>227</v>
      </c>
      <c r="D33" s="2" t="s">
        <v>228</v>
      </c>
      <c r="E33" s="46">
        <v>0.21841833842177999</v>
      </c>
      <c r="F33" s="4">
        <v>167693</v>
      </c>
      <c r="G33" s="14">
        <f>ROUND(E33*F33,2)</f>
        <v>36627.230000000003</v>
      </c>
      <c r="H33" s="45">
        <f t="shared" si="0"/>
        <v>0.24307755609938195</v>
      </c>
      <c r="I33" s="14">
        <f>ROUND(F33*Прил.10!$D$13,2)</f>
        <v>1049758.18</v>
      </c>
      <c r="J33" s="14">
        <f>ROUND(I33*E33,2)</f>
        <v>229286.44</v>
      </c>
    </row>
    <row r="34" spans="1:10" ht="63.75" customHeight="1" x14ac:dyDescent="0.25">
      <c r="A34" s="2">
        <v>13</v>
      </c>
      <c r="B34" s="47" t="s">
        <v>229</v>
      </c>
      <c r="C34" s="3" t="s">
        <v>230</v>
      </c>
      <c r="D34" s="2" t="s">
        <v>228</v>
      </c>
      <c r="E34" s="46">
        <v>0.21841837649932999</v>
      </c>
      <c r="F34" s="4">
        <v>123565.7</v>
      </c>
      <c r="G34" s="14">
        <f>ROUND(E34*F34,2)</f>
        <v>26989.02</v>
      </c>
      <c r="H34" s="45">
        <f t="shared" si="0"/>
        <v>0.17911332697332943</v>
      </c>
      <c r="I34" s="14">
        <f>ROUND(F34*Прил.10!$D$13,2)</f>
        <v>773521.28</v>
      </c>
      <c r="J34" s="14">
        <f>ROUND(I34*E34,2)</f>
        <v>168951.26</v>
      </c>
    </row>
    <row r="35" spans="1:10" x14ac:dyDescent="0.25">
      <c r="A35" s="2">
        <v>14</v>
      </c>
      <c r="B35" s="47" t="s">
        <v>231</v>
      </c>
      <c r="C35" s="3" t="s">
        <v>232</v>
      </c>
      <c r="D35" s="2" t="s">
        <v>95</v>
      </c>
      <c r="E35" s="46">
        <v>0.43683672301554</v>
      </c>
      <c r="F35" s="4">
        <v>45204.3</v>
      </c>
      <c r="G35" s="14">
        <f>ROUND(E35*F35,2)</f>
        <v>19746.900000000001</v>
      </c>
      <c r="H35" s="45">
        <f t="shared" si="0"/>
        <v>0.13105081090049359</v>
      </c>
      <c r="I35" s="14">
        <f>ROUND(F35*Прил.10!$D$13,2)</f>
        <v>282978.92</v>
      </c>
      <c r="J35" s="14">
        <f>ROUND(I35*E35,2)</f>
        <v>123615.58</v>
      </c>
    </row>
    <row r="36" spans="1:10" x14ac:dyDescent="0.25">
      <c r="A36" s="62"/>
      <c r="B36" s="2"/>
      <c r="C36" s="3" t="s">
        <v>233</v>
      </c>
      <c r="D36" s="2"/>
      <c r="E36" s="46"/>
      <c r="F36" s="4"/>
      <c r="G36" s="14">
        <f>SUM(G32:G35)</f>
        <v>128919.27000000002</v>
      </c>
      <c r="H36" s="45">
        <f t="shared" si="0"/>
        <v>0.85557605873325315</v>
      </c>
      <c r="I36" s="14"/>
      <c r="J36" s="14">
        <f>SUM(J32:J35)</f>
        <v>807034.57</v>
      </c>
    </row>
    <row r="37" spans="1:10" ht="38.25" hidden="1" customHeight="1" outlineLevel="1" x14ac:dyDescent="0.25">
      <c r="A37" s="2">
        <v>15</v>
      </c>
      <c r="B37" s="2" t="s">
        <v>234</v>
      </c>
      <c r="C37" s="3" t="s">
        <v>235</v>
      </c>
      <c r="D37" s="2" t="s">
        <v>95</v>
      </c>
      <c r="E37" s="46">
        <v>0.87367339995861004</v>
      </c>
      <c r="F37" s="4">
        <v>10196.26</v>
      </c>
      <c r="G37" s="14">
        <f>ROUND(E37*F37,2)</f>
        <v>8908.2000000000007</v>
      </c>
      <c r="H37" s="45">
        <f t="shared" si="0"/>
        <v>5.91194989423037E-2</v>
      </c>
      <c r="I37" s="14">
        <f>ROUND(F37*Прил.10!$D$13,2)</f>
        <v>63828.59</v>
      </c>
      <c r="J37" s="14">
        <f>ROUND(I37*E37,2)</f>
        <v>55765.34</v>
      </c>
    </row>
    <row r="38" spans="1:10" ht="25.5" hidden="1" customHeight="1" outlineLevel="1" x14ac:dyDescent="0.25">
      <c r="A38" s="2">
        <v>16</v>
      </c>
      <c r="B38" s="2" t="s">
        <v>236</v>
      </c>
      <c r="C38" s="3" t="s">
        <v>237</v>
      </c>
      <c r="D38" s="2" t="s">
        <v>95</v>
      </c>
      <c r="E38" s="46">
        <v>0.21841823828008</v>
      </c>
      <c r="F38" s="4">
        <v>37158.83</v>
      </c>
      <c r="G38" s="14">
        <f>ROUND(E38*F38,2)</f>
        <v>8116.17</v>
      </c>
      <c r="H38" s="45">
        <f t="shared" si="0"/>
        <v>5.386317142975651E-2</v>
      </c>
      <c r="I38" s="14">
        <f>ROUND(F38*Прил.10!$D$13,2)</f>
        <v>232614.28</v>
      </c>
      <c r="J38" s="14">
        <f>ROUND(I38*E38,2)</f>
        <v>50807.199999999997</v>
      </c>
    </row>
    <row r="39" spans="1:10" ht="38.25" hidden="1" customHeight="1" outlineLevel="1" x14ac:dyDescent="0.25">
      <c r="A39" s="2">
        <v>17</v>
      </c>
      <c r="B39" s="2" t="s">
        <v>238</v>
      </c>
      <c r="C39" s="3" t="s">
        <v>239</v>
      </c>
      <c r="D39" s="2" t="s">
        <v>95</v>
      </c>
      <c r="E39" s="46">
        <v>1.7473453516866</v>
      </c>
      <c r="F39" s="4">
        <v>2122.7199999999998</v>
      </c>
      <c r="G39" s="14">
        <f>ROUND(E39*F39,2)</f>
        <v>3709.12</v>
      </c>
      <c r="H39" s="45">
        <f t="shared" si="0"/>
        <v>2.461567049649508E-2</v>
      </c>
      <c r="I39" s="14">
        <f>ROUND(F39*Прил.10!$D$13,2)</f>
        <v>13288.23</v>
      </c>
      <c r="J39" s="14">
        <f>ROUND(I39*E39,2)</f>
        <v>23219.13</v>
      </c>
    </row>
    <row r="40" spans="1:10" ht="25.5" hidden="1" customHeight="1" outlineLevel="1" x14ac:dyDescent="0.25">
      <c r="A40" s="2">
        <v>18</v>
      </c>
      <c r="B40" s="2" t="s">
        <v>240</v>
      </c>
      <c r="C40" s="3" t="s">
        <v>241</v>
      </c>
      <c r="D40" s="2" t="s">
        <v>95</v>
      </c>
      <c r="E40" s="46">
        <v>0.21841912436054001</v>
      </c>
      <c r="F40" s="4">
        <v>4708.8</v>
      </c>
      <c r="G40" s="14">
        <f>ROUND(E40*F40,2)</f>
        <v>1028.49</v>
      </c>
      <c r="H40" s="45">
        <f t="shared" si="0"/>
        <v>6.8256003981915451E-3</v>
      </c>
      <c r="I40" s="14">
        <f>ROUND(F40*Прил.10!$D$13,2)</f>
        <v>29477.09</v>
      </c>
      <c r="J40" s="14">
        <f>ROUND(I40*E40,2)</f>
        <v>6438.36</v>
      </c>
    </row>
    <row r="41" spans="1:10" collapsed="1" x14ac:dyDescent="0.25">
      <c r="A41" s="62"/>
      <c r="B41" s="2"/>
      <c r="C41" s="3" t="s">
        <v>242</v>
      </c>
      <c r="D41" s="2"/>
      <c r="E41" s="49"/>
      <c r="F41" s="4"/>
      <c r="G41" s="14">
        <f>SUM(G37:G40)</f>
        <v>21761.980000000003</v>
      </c>
      <c r="H41" s="45">
        <f t="shared" si="0"/>
        <v>0.14442394126674685</v>
      </c>
      <c r="I41" s="14"/>
      <c r="J41" s="14">
        <f>SUM(J37:J40)</f>
        <v>136230.03</v>
      </c>
    </row>
    <row r="42" spans="1:10" x14ac:dyDescent="0.25">
      <c r="A42" s="2"/>
      <c r="B42" s="2"/>
      <c r="C42" s="5" t="s">
        <v>243</v>
      </c>
      <c r="D42" s="2"/>
      <c r="E42" s="49"/>
      <c r="F42" s="4"/>
      <c r="G42" s="14">
        <f>G36+G41</f>
        <v>150681.25000000003</v>
      </c>
      <c r="H42" s="45">
        <f>(G36+G41)/G42</f>
        <v>1</v>
      </c>
      <c r="I42" s="14"/>
      <c r="J42" s="14">
        <f>J41+J36</f>
        <v>943264.6</v>
      </c>
    </row>
    <row r="43" spans="1:10" ht="25.5" customHeight="1" x14ac:dyDescent="0.25">
      <c r="A43" s="2"/>
      <c r="B43" s="2"/>
      <c r="C43" s="3" t="s">
        <v>244</v>
      </c>
      <c r="D43" s="2"/>
      <c r="E43" s="49"/>
      <c r="F43" s="4"/>
      <c r="G43" s="14">
        <f>'Прил.6 Расчет ОБ'!G22</f>
        <v>150681.25000000003</v>
      </c>
      <c r="H43" s="45">
        <f>G43/$G$42</f>
        <v>1</v>
      </c>
      <c r="I43" s="14"/>
      <c r="J43" s="14">
        <f>ROUND(G43*Прил.10!$D$13,2)</f>
        <v>943264.63</v>
      </c>
    </row>
    <row r="44" spans="1:10" s="1" customFormat="1" ht="14.25" customHeight="1" x14ac:dyDescent="0.2">
      <c r="A44" s="60"/>
      <c r="B44" s="155" t="s">
        <v>106</v>
      </c>
      <c r="C44" s="156"/>
      <c r="D44" s="156"/>
      <c r="E44" s="156"/>
      <c r="F44" s="156"/>
      <c r="G44" s="156"/>
      <c r="H44" s="156"/>
      <c r="I44" s="156"/>
      <c r="J44" s="157"/>
    </row>
    <row r="45" spans="1:10" s="1" customFormat="1" ht="14.25" customHeight="1" x14ac:dyDescent="0.2">
      <c r="A45" s="2"/>
      <c r="B45" s="150" t="s">
        <v>245</v>
      </c>
      <c r="C45" s="150"/>
      <c r="D45" s="145"/>
      <c r="E45" s="151"/>
      <c r="F45" s="152"/>
      <c r="G45" s="152"/>
      <c r="H45" s="153"/>
      <c r="I45" s="45"/>
      <c r="J45" s="45"/>
    </row>
    <row r="46" spans="1:10" s="1" customFormat="1" ht="25.5" customHeight="1" x14ac:dyDescent="0.2">
      <c r="A46" s="2">
        <v>19</v>
      </c>
      <c r="B46" s="47" t="s">
        <v>107</v>
      </c>
      <c r="C46" s="3" t="s">
        <v>108</v>
      </c>
      <c r="D46" s="2" t="s">
        <v>109</v>
      </c>
      <c r="E46" s="46">
        <v>0.91736524142293996</v>
      </c>
      <c r="F46" s="9">
        <v>18047.849999999999</v>
      </c>
      <c r="G46" s="14">
        <f>ROUND(E46*F46,2)</f>
        <v>16556.47</v>
      </c>
      <c r="H46" s="45">
        <f t="shared" ref="H46:H75" si="1">G46/$G$77</f>
        <v>0.5730891139350921</v>
      </c>
      <c r="I46" s="14">
        <f>ROUND(F46*Прил.10!$D$12,2)</f>
        <v>145104.71</v>
      </c>
      <c r="J46" s="14">
        <f>ROUND(I46*E46,2)</f>
        <v>133114.01999999999</v>
      </c>
    </row>
    <row r="47" spans="1:10" s="1" customFormat="1" ht="25.5" customHeight="1" x14ac:dyDescent="0.2">
      <c r="A47" s="2">
        <v>20</v>
      </c>
      <c r="B47" s="47" t="s">
        <v>110</v>
      </c>
      <c r="C47" s="3" t="s">
        <v>111</v>
      </c>
      <c r="D47" s="2" t="s">
        <v>109</v>
      </c>
      <c r="E47" s="46">
        <v>0.61157670903524997</v>
      </c>
      <c r="F47" s="9">
        <v>6920.41</v>
      </c>
      <c r="G47" s="14">
        <f>ROUND(E47*F47,2)</f>
        <v>4232.3599999999997</v>
      </c>
      <c r="H47" s="45">
        <f t="shared" si="1"/>
        <v>0.14649979387238501</v>
      </c>
      <c r="I47" s="14">
        <f>ROUND(F47*Прил.10!$D$12,2)</f>
        <v>55640.1</v>
      </c>
      <c r="J47" s="14">
        <f>ROUND(I47*E47,2)</f>
        <v>34028.19</v>
      </c>
    </row>
    <row r="48" spans="1:10" s="1" customFormat="1" ht="38.25" customHeight="1" x14ac:dyDescent="0.2">
      <c r="A48" s="2">
        <v>21</v>
      </c>
      <c r="B48" s="47" t="s">
        <v>112</v>
      </c>
      <c r="C48" s="3" t="s">
        <v>113</v>
      </c>
      <c r="D48" s="2" t="s">
        <v>114</v>
      </c>
      <c r="E48" s="46">
        <v>436.71856844462002</v>
      </c>
      <c r="F48" s="9">
        <v>3.89</v>
      </c>
      <c r="G48" s="14">
        <f>ROUND(E48*F48,2)</f>
        <v>1698.84</v>
      </c>
      <c r="H48" s="45">
        <f t="shared" si="1"/>
        <v>5.8804002925592944E-2</v>
      </c>
      <c r="I48" s="14">
        <f>ROUND(F48*Прил.10!$D$12,2)</f>
        <v>31.28</v>
      </c>
      <c r="J48" s="14">
        <f>ROUND(I48*E48,2)</f>
        <v>13660.56</v>
      </c>
    </row>
    <row r="49" spans="1:10" s="1" customFormat="1" ht="63.75" customHeight="1" x14ac:dyDescent="0.2">
      <c r="A49" s="2">
        <v>22</v>
      </c>
      <c r="B49" s="47" t="s">
        <v>115</v>
      </c>
      <c r="C49" s="3" t="s">
        <v>116</v>
      </c>
      <c r="D49" s="2" t="s">
        <v>117</v>
      </c>
      <c r="E49" s="46">
        <v>55.918285297829001</v>
      </c>
      <c r="F49" s="9">
        <v>22.61</v>
      </c>
      <c r="G49" s="14">
        <f>ROUND(E49*F49,2)</f>
        <v>1264.31</v>
      </c>
      <c r="H49" s="45">
        <f t="shared" si="1"/>
        <v>4.3763090661190232E-2</v>
      </c>
      <c r="I49" s="14">
        <f>ROUND(F49*Прил.10!$D$12,2)</f>
        <v>181.78</v>
      </c>
      <c r="J49" s="14">
        <f>ROUND(I49*E49,2)</f>
        <v>10164.83</v>
      </c>
    </row>
    <row r="50" spans="1:10" s="1" customFormat="1" ht="38.25" customHeight="1" x14ac:dyDescent="0.2">
      <c r="A50" s="2">
        <v>23</v>
      </c>
      <c r="B50" s="47" t="s">
        <v>118</v>
      </c>
      <c r="C50" s="3" t="s">
        <v>119</v>
      </c>
      <c r="D50" s="2" t="s">
        <v>114</v>
      </c>
      <c r="E50" s="46">
        <v>131.07137600570999</v>
      </c>
      <c r="F50" s="9">
        <v>8.3699999999999992</v>
      </c>
      <c r="G50" s="14">
        <f>ROUND(E50*F50,2)</f>
        <v>1097.07</v>
      </c>
      <c r="H50" s="45">
        <f t="shared" si="1"/>
        <v>3.7974210337395072E-2</v>
      </c>
      <c r="I50" s="14">
        <f>ROUND(F50*Прил.10!$D$12,2)</f>
        <v>67.290000000000006</v>
      </c>
      <c r="J50" s="14">
        <f>ROUND(I50*E50,2)</f>
        <v>8819.7900000000009</v>
      </c>
    </row>
    <row r="51" spans="1:10" s="1" customFormat="1" ht="14.25" customHeight="1" x14ac:dyDescent="0.2">
      <c r="B51" s="2"/>
      <c r="C51" s="3" t="s">
        <v>246</v>
      </c>
      <c r="D51" s="2"/>
      <c r="E51" s="46"/>
      <c r="F51" s="4"/>
      <c r="G51" s="14">
        <f>SUM(G46:G50)</f>
        <v>24849.050000000003</v>
      </c>
      <c r="H51" s="45">
        <f t="shared" si="1"/>
        <v>0.86013021173165549</v>
      </c>
      <c r="I51" s="14"/>
      <c r="J51" s="14">
        <f>SUM(J46:J50)</f>
        <v>199787.38999999998</v>
      </c>
    </row>
    <row r="52" spans="1:10" s="1" customFormat="1" ht="51" hidden="1" customHeight="1" outlineLevel="1" x14ac:dyDescent="0.2">
      <c r="A52" s="2">
        <v>24</v>
      </c>
      <c r="B52" s="59" t="s">
        <v>120</v>
      </c>
      <c r="C52" s="3" t="s">
        <v>121</v>
      </c>
      <c r="D52" s="2" t="s">
        <v>114</v>
      </c>
      <c r="E52" s="46">
        <v>6.7541883770597</v>
      </c>
      <c r="F52" s="9">
        <v>156.97999999999999</v>
      </c>
      <c r="G52" s="14">
        <f t="shared" ref="G52:G75" si="2">ROUND(F52*E52,2)</f>
        <v>1060.27</v>
      </c>
      <c r="H52" s="45">
        <f t="shared" si="1"/>
        <v>3.6700407443854881E-2</v>
      </c>
      <c r="I52" s="14">
        <f>ROUND(F52*Прил.10!$D$12,2)</f>
        <v>1262.1199999999999</v>
      </c>
      <c r="J52" s="14">
        <f t="shared" ref="J52:J75" si="3">ROUND(I52*E52,2)</f>
        <v>8524.6</v>
      </c>
    </row>
    <row r="53" spans="1:10" s="1" customFormat="1" ht="25.5" hidden="1" customHeight="1" outlineLevel="1" x14ac:dyDescent="0.2">
      <c r="A53" s="2">
        <v>25</v>
      </c>
      <c r="B53" s="47" t="s">
        <v>122</v>
      </c>
      <c r="C53" s="3" t="s">
        <v>123</v>
      </c>
      <c r="D53" s="2" t="s">
        <v>109</v>
      </c>
      <c r="E53" s="46">
        <v>0.15944614129651999</v>
      </c>
      <c r="F53" s="9">
        <v>3708.36</v>
      </c>
      <c r="G53" s="14">
        <f t="shared" si="2"/>
        <v>591.28</v>
      </c>
      <c r="H53" s="45">
        <f t="shared" si="1"/>
        <v>2.0466689535120784E-2</v>
      </c>
      <c r="I53" s="14">
        <f>ROUND(F53*Прил.10!$D$12,2)</f>
        <v>29815.21</v>
      </c>
      <c r="J53" s="14">
        <f t="shared" si="3"/>
        <v>4753.92</v>
      </c>
    </row>
    <row r="54" spans="1:10" s="1" customFormat="1" ht="25.5" hidden="1" customHeight="1" outlineLevel="1" x14ac:dyDescent="0.2">
      <c r="A54" s="2">
        <v>26</v>
      </c>
      <c r="B54" s="47" t="s">
        <v>124</v>
      </c>
      <c r="C54" s="3" t="s">
        <v>125</v>
      </c>
      <c r="D54" s="2" t="s">
        <v>126</v>
      </c>
      <c r="E54" s="46">
        <v>8.4419743326457995E-3</v>
      </c>
      <c r="F54" s="9">
        <v>68050</v>
      </c>
      <c r="G54" s="14">
        <f t="shared" si="2"/>
        <v>574.48</v>
      </c>
      <c r="H54" s="45">
        <f t="shared" si="1"/>
        <v>1.988517082285244E-2</v>
      </c>
      <c r="I54" s="14">
        <f>ROUND(F54*Прил.10!$D$12,2)</f>
        <v>547122</v>
      </c>
      <c r="J54" s="14">
        <f t="shared" si="3"/>
        <v>4618.79</v>
      </c>
    </row>
    <row r="55" spans="1:10" s="1" customFormat="1" ht="25.5" hidden="1" customHeight="1" outlineLevel="1" x14ac:dyDescent="0.2">
      <c r="A55" s="2">
        <v>27</v>
      </c>
      <c r="B55" s="47" t="s">
        <v>247</v>
      </c>
      <c r="C55" s="3" t="s">
        <v>248</v>
      </c>
      <c r="D55" s="2" t="s">
        <v>228</v>
      </c>
      <c r="E55" s="46">
        <v>0.43684372416849998</v>
      </c>
      <c r="F55" s="9">
        <v>1249.83</v>
      </c>
      <c r="G55" s="14">
        <f t="shared" si="2"/>
        <v>545.98</v>
      </c>
      <c r="H55" s="45">
        <f t="shared" si="1"/>
        <v>1.889866586454006E-2</v>
      </c>
      <c r="I55" s="14">
        <f>ROUND(F55*Прил.10!$D$12,2)</f>
        <v>10048.629999999999</v>
      </c>
      <c r="J55" s="14">
        <f t="shared" si="3"/>
        <v>4389.68</v>
      </c>
    </row>
    <row r="56" spans="1:10" s="1" customFormat="1" ht="25.5" hidden="1" customHeight="1" outlineLevel="1" x14ac:dyDescent="0.2">
      <c r="A56" s="2">
        <v>28</v>
      </c>
      <c r="B56" s="47" t="s">
        <v>127</v>
      </c>
      <c r="C56" s="3" t="s">
        <v>128</v>
      </c>
      <c r="D56" s="2" t="s">
        <v>109</v>
      </c>
      <c r="E56" s="46">
        <v>0.17473664368778</v>
      </c>
      <c r="F56" s="9">
        <v>2719.53</v>
      </c>
      <c r="G56" s="14">
        <f t="shared" si="2"/>
        <v>475.2</v>
      </c>
      <c r="H56" s="45">
        <f t="shared" si="1"/>
        <v>1.6448672147019006E-2</v>
      </c>
      <c r="I56" s="14">
        <f>ROUND(F56*Прил.10!$D$12,2)</f>
        <v>21865.02</v>
      </c>
      <c r="J56" s="14">
        <f t="shared" si="3"/>
        <v>3820.62</v>
      </c>
    </row>
    <row r="57" spans="1:10" s="1" customFormat="1" ht="14.25" hidden="1" customHeight="1" outlineLevel="1" x14ac:dyDescent="0.2">
      <c r="A57" s="2">
        <v>29</v>
      </c>
      <c r="B57" s="47" t="s">
        <v>249</v>
      </c>
      <c r="C57" s="3" t="s">
        <v>250</v>
      </c>
      <c r="D57" s="2" t="s">
        <v>95</v>
      </c>
      <c r="E57" s="46">
        <v>0.43684298029770002</v>
      </c>
      <c r="F57" s="9">
        <v>873.46</v>
      </c>
      <c r="G57" s="14">
        <f t="shared" si="2"/>
        <v>381.56</v>
      </c>
      <c r="H57" s="45">
        <f t="shared" si="1"/>
        <v>1.3207397610304233E-2</v>
      </c>
      <c r="I57" s="14">
        <f>ROUND(F57*Прил.10!$D$12,2)</f>
        <v>7022.62</v>
      </c>
      <c r="J57" s="14">
        <f t="shared" si="3"/>
        <v>3067.78</v>
      </c>
    </row>
    <row r="58" spans="1:10" s="1" customFormat="1" ht="25.5" hidden="1" customHeight="1" outlineLevel="1" x14ac:dyDescent="0.2">
      <c r="A58" s="2">
        <v>30</v>
      </c>
      <c r="B58" s="47" t="s">
        <v>129</v>
      </c>
      <c r="C58" s="3" t="s">
        <v>130</v>
      </c>
      <c r="D58" s="2" t="s">
        <v>131</v>
      </c>
      <c r="E58" s="46">
        <v>2.8788055118750999</v>
      </c>
      <c r="F58" s="9">
        <v>83</v>
      </c>
      <c r="G58" s="14">
        <f t="shared" si="2"/>
        <v>238.94</v>
      </c>
      <c r="H58" s="45">
        <f t="shared" si="1"/>
        <v>8.2707191136547169E-3</v>
      </c>
      <c r="I58" s="14">
        <f>ROUND(F58*Прил.10!$D$12,2)</f>
        <v>667.32</v>
      </c>
      <c r="J58" s="14">
        <f t="shared" si="3"/>
        <v>1921.08</v>
      </c>
    </row>
    <row r="59" spans="1:10" s="1" customFormat="1" ht="14.25" hidden="1" customHeight="1" outlineLevel="1" x14ac:dyDescent="0.2">
      <c r="A59" s="2">
        <v>31</v>
      </c>
      <c r="B59" s="47" t="s">
        <v>132</v>
      </c>
      <c r="C59" s="3" t="s">
        <v>133</v>
      </c>
      <c r="D59" s="2" t="s">
        <v>134</v>
      </c>
      <c r="E59" s="46">
        <v>2.3483005704578002</v>
      </c>
      <c r="F59" s="9">
        <v>28.93</v>
      </c>
      <c r="G59" s="14">
        <f t="shared" si="2"/>
        <v>67.94</v>
      </c>
      <c r="H59" s="45">
        <f t="shared" si="1"/>
        <v>2.3516893637804529E-3</v>
      </c>
      <c r="I59" s="14">
        <f>ROUND(F59*Прил.10!$D$12,2)</f>
        <v>232.6</v>
      </c>
      <c r="J59" s="14">
        <f t="shared" si="3"/>
        <v>546.21</v>
      </c>
    </row>
    <row r="60" spans="1:10" s="1" customFormat="1" ht="25.5" hidden="1" customHeight="1" outlineLevel="1" x14ac:dyDescent="0.2">
      <c r="A60" s="2">
        <v>32</v>
      </c>
      <c r="B60" s="47" t="s">
        <v>135</v>
      </c>
      <c r="C60" s="3" t="s">
        <v>136</v>
      </c>
      <c r="D60" s="2" t="s">
        <v>137</v>
      </c>
      <c r="E60" s="46">
        <v>50.197659135636997</v>
      </c>
      <c r="F60" s="9">
        <v>1</v>
      </c>
      <c r="G60" s="14">
        <f t="shared" si="2"/>
        <v>50.2</v>
      </c>
      <c r="H60" s="45">
        <f t="shared" si="1"/>
        <v>1.7376332949923278E-3</v>
      </c>
      <c r="I60" s="14">
        <f>ROUND(F60*Прил.10!$D$12,2)</f>
        <v>8.0399999999999991</v>
      </c>
      <c r="J60" s="14">
        <f t="shared" si="3"/>
        <v>403.59</v>
      </c>
    </row>
    <row r="61" spans="1:10" s="1" customFormat="1" ht="14.25" hidden="1" customHeight="1" outlineLevel="1" x14ac:dyDescent="0.2">
      <c r="A61" s="2">
        <v>33</v>
      </c>
      <c r="B61" s="47" t="s">
        <v>138</v>
      </c>
      <c r="C61" s="3" t="s">
        <v>139</v>
      </c>
      <c r="D61" s="2" t="s">
        <v>140</v>
      </c>
      <c r="E61" s="46">
        <v>1.6198749445578999</v>
      </c>
      <c r="F61" s="9">
        <v>6.9</v>
      </c>
      <c r="G61" s="14">
        <f t="shared" si="2"/>
        <v>11.18</v>
      </c>
      <c r="H61" s="45">
        <f t="shared" si="1"/>
        <v>3.8698685733096059E-4</v>
      </c>
      <c r="I61" s="14">
        <f>ROUND(F61*Прил.10!$D$12,2)</f>
        <v>55.48</v>
      </c>
      <c r="J61" s="14">
        <f t="shared" si="3"/>
        <v>89.87</v>
      </c>
    </row>
    <row r="62" spans="1:10" s="1" customFormat="1" ht="25.5" hidden="1" customHeight="1" outlineLevel="1" x14ac:dyDescent="0.2">
      <c r="A62" s="2">
        <v>34</v>
      </c>
      <c r="B62" s="47" t="s">
        <v>141</v>
      </c>
      <c r="C62" s="3" t="s">
        <v>142</v>
      </c>
      <c r="D62" s="2" t="s">
        <v>134</v>
      </c>
      <c r="E62" s="46">
        <v>0.27962730774118</v>
      </c>
      <c r="F62" s="9">
        <v>38.340000000000003</v>
      </c>
      <c r="G62" s="14">
        <f t="shared" si="2"/>
        <v>10.72</v>
      </c>
      <c r="H62" s="45">
        <f t="shared" si="1"/>
        <v>3.7106432116170823E-4</v>
      </c>
      <c r="I62" s="14">
        <f>ROUND(F62*Прил.10!$D$12,2)</f>
        <v>308.25</v>
      </c>
      <c r="J62" s="14">
        <f t="shared" si="3"/>
        <v>86.2</v>
      </c>
    </row>
    <row r="63" spans="1:10" s="1" customFormat="1" ht="51" hidden="1" customHeight="1" outlineLevel="1" x14ac:dyDescent="0.2">
      <c r="A63" s="2">
        <v>35</v>
      </c>
      <c r="B63" s="47" t="s">
        <v>143</v>
      </c>
      <c r="C63" s="3" t="s">
        <v>144</v>
      </c>
      <c r="D63" s="2" t="s">
        <v>126</v>
      </c>
      <c r="E63" s="46">
        <v>1.5292115213059001E-3</v>
      </c>
      <c r="F63" s="9">
        <v>6834.81</v>
      </c>
      <c r="G63" s="14">
        <f t="shared" si="2"/>
        <v>10.45</v>
      </c>
      <c r="H63" s="45">
        <f t="shared" si="1"/>
        <v>3.6171848471453828E-4</v>
      </c>
      <c r="I63" s="14">
        <f>ROUND(F63*Прил.10!$D$12,2)</f>
        <v>54951.87</v>
      </c>
      <c r="J63" s="14">
        <f t="shared" si="3"/>
        <v>84.03</v>
      </c>
    </row>
    <row r="64" spans="1:10" s="1" customFormat="1" ht="14.25" hidden="1" customHeight="1" outlineLevel="1" x14ac:dyDescent="0.2">
      <c r="A64" s="2">
        <v>36</v>
      </c>
      <c r="B64" s="47" t="s">
        <v>145</v>
      </c>
      <c r="C64" s="3" t="s">
        <v>146</v>
      </c>
      <c r="D64" s="2" t="s">
        <v>134</v>
      </c>
      <c r="E64" s="46">
        <v>0.65524191629164996</v>
      </c>
      <c r="F64" s="9">
        <v>12.6</v>
      </c>
      <c r="G64" s="14">
        <f t="shared" si="2"/>
        <v>8.26</v>
      </c>
      <c r="H64" s="45">
        <f t="shared" si="1"/>
        <v>2.8591336686527145E-4</v>
      </c>
      <c r="I64" s="14">
        <f>ROUND(F64*Прил.10!$D$12,2)</f>
        <v>101.3</v>
      </c>
      <c r="J64" s="14">
        <f t="shared" si="3"/>
        <v>66.38</v>
      </c>
    </row>
    <row r="65" spans="1:10" s="1" customFormat="1" ht="14.25" hidden="1" customHeight="1" outlineLevel="1" x14ac:dyDescent="0.2">
      <c r="A65" s="2">
        <v>37</v>
      </c>
      <c r="B65" s="47" t="s">
        <v>147</v>
      </c>
      <c r="C65" s="3" t="s">
        <v>148</v>
      </c>
      <c r="D65" s="2" t="s">
        <v>126</v>
      </c>
      <c r="E65" s="46">
        <v>1.0135586774729999E-3</v>
      </c>
      <c r="F65" s="9">
        <v>7826.9</v>
      </c>
      <c r="G65" s="14">
        <f t="shared" si="2"/>
        <v>7.93</v>
      </c>
      <c r="H65" s="45">
        <f t="shared" si="1"/>
        <v>2.7449067787428601E-4</v>
      </c>
      <c r="I65" s="14">
        <f>ROUND(F65*Прил.10!$D$12,2)</f>
        <v>62928.28</v>
      </c>
      <c r="J65" s="14">
        <f t="shared" si="3"/>
        <v>63.78</v>
      </c>
    </row>
    <row r="66" spans="1:10" s="1" customFormat="1" ht="25.5" hidden="1" customHeight="1" outlineLevel="1" x14ac:dyDescent="0.2">
      <c r="A66" s="2">
        <v>38</v>
      </c>
      <c r="B66" s="47" t="s">
        <v>149</v>
      </c>
      <c r="C66" s="3" t="s">
        <v>150</v>
      </c>
      <c r="D66" s="2" t="s">
        <v>126</v>
      </c>
      <c r="E66" s="48">
        <v>4.3626428363398997E-5</v>
      </c>
      <c r="F66" s="9">
        <v>65750</v>
      </c>
      <c r="G66" s="14">
        <f t="shared" si="2"/>
        <v>2.87</v>
      </c>
      <c r="H66" s="45">
        <f t="shared" si="1"/>
        <v>9.9342780012509564E-5</v>
      </c>
      <c r="I66" s="14">
        <f>ROUND(F66*Прил.10!$D$12,2)</f>
        <v>528630</v>
      </c>
      <c r="J66" s="14">
        <f t="shared" si="3"/>
        <v>23.06</v>
      </c>
    </row>
    <row r="67" spans="1:10" s="1" customFormat="1" ht="25.5" hidden="1" customHeight="1" outlineLevel="1" x14ac:dyDescent="0.2">
      <c r="A67" s="2">
        <v>39</v>
      </c>
      <c r="B67" s="47" t="s">
        <v>151</v>
      </c>
      <c r="C67" s="3" t="s">
        <v>152</v>
      </c>
      <c r="D67" s="2" t="s">
        <v>134</v>
      </c>
      <c r="E67" s="46">
        <v>5.1848558511115E-2</v>
      </c>
      <c r="F67" s="9">
        <v>25.76</v>
      </c>
      <c r="G67" s="14">
        <f t="shared" si="2"/>
        <v>1.34</v>
      </c>
      <c r="H67" s="45">
        <f t="shared" si="1"/>
        <v>4.6383040145213528E-5</v>
      </c>
      <c r="I67" s="14">
        <f>ROUND(F67*Прил.10!$D$12,2)</f>
        <v>207.11</v>
      </c>
      <c r="J67" s="14">
        <f t="shared" si="3"/>
        <v>10.74</v>
      </c>
    </row>
    <row r="68" spans="1:10" s="1" customFormat="1" ht="14.25" hidden="1" customHeight="1" outlineLevel="1" x14ac:dyDescent="0.2">
      <c r="A68" s="2">
        <v>40</v>
      </c>
      <c r="B68" s="47" t="s">
        <v>153</v>
      </c>
      <c r="C68" s="3" t="s">
        <v>154</v>
      </c>
      <c r="D68" s="2" t="s">
        <v>126</v>
      </c>
      <c r="E68" s="46">
        <v>1.4367138528043001E-3</v>
      </c>
      <c r="F68" s="9">
        <v>729.98</v>
      </c>
      <c r="G68" s="14">
        <f t="shared" si="2"/>
        <v>1.05</v>
      </c>
      <c r="H68" s="45">
        <f t="shared" si="1"/>
        <v>3.6344919516771796E-5</v>
      </c>
      <c r="I68" s="14">
        <f>ROUND(F68*Прил.10!$D$12,2)</f>
        <v>5869.04</v>
      </c>
      <c r="J68" s="14">
        <f t="shared" si="3"/>
        <v>8.43</v>
      </c>
    </row>
    <row r="69" spans="1:10" s="1" customFormat="1" ht="14.25" hidden="1" customHeight="1" outlineLevel="1" x14ac:dyDescent="0.2">
      <c r="A69" s="2">
        <v>41</v>
      </c>
      <c r="B69" s="47" t="s">
        <v>155</v>
      </c>
      <c r="C69" s="3" t="s">
        <v>156</v>
      </c>
      <c r="D69" s="2" t="s">
        <v>95</v>
      </c>
      <c r="E69" s="46">
        <v>2.1919754644284</v>
      </c>
      <c r="F69" s="9">
        <v>0.27</v>
      </c>
      <c r="G69" s="14">
        <f t="shared" si="2"/>
        <v>0.59</v>
      </c>
      <c r="H69" s="45">
        <f t="shared" si="1"/>
        <v>2.0422383347519386E-5</v>
      </c>
      <c r="I69" s="14">
        <f>ROUND(F69*Прил.10!$D$12,2)</f>
        <v>2.17</v>
      </c>
      <c r="J69" s="14">
        <f t="shared" si="3"/>
        <v>4.76</v>
      </c>
    </row>
    <row r="70" spans="1:10" s="1" customFormat="1" ht="14.25" hidden="1" customHeight="1" outlineLevel="1" x14ac:dyDescent="0.2">
      <c r="A70" s="2">
        <v>42</v>
      </c>
      <c r="B70" s="47" t="s">
        <v>157</v>
      </c>
      <c r="C70" s="3" t="s">
        <v>158</v>
      </c>
      <c r="D70" s="2" t="s">
        <v>126</v>
      </c>
      <c r="E70" s="48">
        <v>2.6070360802442E-5</v>
      </c>
      <c r="F70" s="9">
        <v>10315.01</v>
      </c>
      <c r="G70" s="14">
        <f t="shared" si="2"/>
        <v>0.27</v>
      </c>
      <c r="H70" s="45">
        <f t="shared" si="1"/>
        <v>9.3458364471698904E-6</v>
      </c>
      <c r="I70" s="14">
        <f>ROUND(F70*Прил.10!$D$12,2)</f>
        <v>82932.679999999993</v>
      </c>
      <c r="J70" s="14">
        <f t="shared" si="3"/>
        <v>2.16</v>
      </c>
    </row>
    <row r="71" spans="1:10" s="1" customFormat="1" ht="14.25" hidden="1" customHeight="1" outlineLevel="1" x14ac:dyDescent="0.2">
      <c r="A71" s="2">
        <v>43</v>
      </c>
      <c r="B71" s="47" t="s">
        <v>159</v>
      </c>
      <c r="C71" s="3" t="s">
        <v>160</v>
      </c>
      <c r="D71" s="2" t="s">
        <v>126</v>
      </c>
      <c r="E71" s="101">
        <v>4.4343594307127001E-6</v>
      </c>
      <c r="F71" s="9">
        <v>28300.400000000001</v>
      </c>
      <c r="G71" s="14">
        <f t="shared" si="2"/>
        <v>0.13</v>
      </c>
      <c r="H71" s="45">
        <f t="shared" si="1"/>
        <v>4.4998471782669843E-6</v>
      </c>
      <c r="I71" s="14">
        <f>ROUND(F71*Прил.10!$D$12,2)</f>
        <v>227535.22</v>
      </c>
      <c r="J71" s="14">
        <f t="shared" si="3"/>
        <v>1.01</v>
      </c>
    </row>
    <row r="72" spans="1:10" s="1" customFormat="1" ht="14.25" hidden="1" customHeight="1" outlineLevel="1" x14ac:dyDescent="0.2">
      <c r="A72" s="2">
        <v>44</v>
      </c>
      <c r="B72" s="47" t="s">
        <v>161</v>
      </c>
      <c r="C72" s="3" t="s">
        <v>162</v>
      </c>
      <c r="D72" s="2" t="s">
        <v>134</v>
      </c>
      <c r="E72" s="46">
        <v>3.5545193903731998E-3</v>
      </c>
      <c r="F72" s="9">
        <v>27.74</v>
      </c>
      <c r="G72" s="14">
        <f t="shared" si="2"/>
        <v>0.1</v>
      </c>
      <c r="H72" s="45">
        <f t="shared" si="1"/>
        <v>3.4614209063592185E-6</v>
      </c>
      <c r="I72" s="14">
        <f>ROUND(F72*Прил.10!$D$12,2)</f>
        <v>223.03</v>
      </c>
      <c r="J72" s="14">
        <f t="shared" si="3"/>
        <v>0.79</v>
      </c>
    </row>
    <row r="73" spans="1:10" s="1" customFormat="1" ht="14.25" hidden="1" customHeight="1" outlineLevel="1" x14ac:dyDescent="0.2">
      <c r="A73" s="2">
        <v>45</v>
      </c>
      <c r="B73" s="47" t="s">
        <v>163</v>
      </c>
      <c r="C73" s="3" t="s">
        <v>164</v>
      </c>
      <c r="D73" s="2" t="s">
        <v>126</v>
      </c>
      <c r="E73" s="101">
        <v>2.2954846870147002E-6</v>
      </c>
      <c r="F73" s="9">
        <v>15620</v>
      </c>
      <c r="G73" s="14">
        <f t="shared" si="2"/>
        <v>0.04</v>
      </c>
      <c r="H73" s="45">
        <f t="shared" si="1"/>
        <v>1.3845683625436874E-6</v>
      </c>
      <c r="I73" s="14">
        <f>ROUND(F73*Прил.10!$D$12,2)</f>
        <v>125584.8</v>
      </c>
      <c r="J73" s="14">
        <f t="shared" si="3"/>
        <v>0.28999999999999998</v>
      </c>
    </row>
    <row r="74" spans="1:10" s="1" customFormat="1" ht="14.25" hidden="1" customHeight="1" outlineLevel="1" x14ac:dyDescent="0.2">
      <c r="A74" s="2">
        <v>46</v>
      </c>
      <c r="B74" s="47" t="s">
        <v>165</v>
      </c>
      <c r="C74" s="3" t="s">
        <v>166</v>
      </c>
      <c r="D74" s="2" t="s">
        <v>134</v>
      </c>
      <c r="E74" s="46">
        <v>1.9030762168062E-3</v>
      </c>
      <c r="F74" s="9">
        <v>9.42</v>
      </c>
      <c r="G74" s="14">
        <f t="shared" si="2"/>
        <v>0.02</v>
      </c>
      <c r="H74" s="45">
        <f t="shared" si="1"/>
        <v>6.9228418127184371E-7</v>
      </c>
      <c r="I74" s="14">
        <f>ROUND(F74*Прил.10!$D$12,2)</f>
        <v>75.739999999999995</v>
      </c>
      <c r="J74" s="14">
        <f t="shared" si="3"/>
        <v>0.14000000000000001</v>
      </c>
    </row>
    <row r="75" spans="1:10" s="1" customFormat="1" ht="14.25" hidden="1" customHeight="1" outlineLevel="1" x14ac:dyDescent="0.2">
      <c r="A75" s="2">
        <v>47</v>
      </c>
      <c r="B75" s="47" t="s">
        <v>167</v>
      </c>
      <c r="C75" s="3" t="s">
        <v>168</v>
      </c>
      <c r="D75" s="2" t="s">
        <v>134</v>
      </c>
      <c r="E75" s="46">
        <v>2.6876560257485999E-3</v>
      </c>
      <c r="F75" s="9">
        <v>6.67</v>
      </c>
      <c r="G75" s="14">
        <f t="shared" si="2"/>
        <v>0.02</v>
      </c>
      <c r="H75" s="45">
        <f t="shared" si="1"/>
        <v>6.9228418127184371E-7</v>
      </c>
      <c r="I75" s="14">
        <f>ROUND(F75*Прил.10!$D$12,2)</f>
        <v>53.63</v>
      </c>
      <c r="J75" s="14">
        <f t="shared" si="3"/>
        <v>0.14000000000000001</v>
      </c>
    </row>
    <row r="76" spans="1:10" s="1" customFormat="1" ht="14.25" customHeight="1" collapsed="1" x14ac:dyDescent="0.2">
      <c r="A76" s="2"/>
      <c r="B76" s="2"/>
      <c r="C76" s="3" t="s">
        <v>251</v>
      </c>
      <c r="D76" s="2"/>
      <c r="E76" s="49"/>
      <c r="F76" s="4"/>
      <c r="G76" s="14">
        <f>SUM(G52:G75)</f>
        <v>4040.8199999999993</v>
      </c>
      <c r="H76" s="45">
        <f>G76/G77</f>
        <v>0.13986978826834454</v>
      </c>
      <c r="I76" s="14"/>
      <c r="J76" s="14">
        <f>SUM(J52:J75)</f>
        <v>32488.05</v>
      </c>
    </row>
    <row r="77" spans="1:10" s="1" customFormat="1" ht="14.25" customHeight="1" x14ac:dyDescent="0.2">
      <c r="A77" s="2"/>
      <c r="B77" s="2"/>
      <c r="C77" s="5" t="s">
        <v>252</v>
      </c>
      <c r="D77" s="2"/>
      <c r="E77" s="49"/>
      <c r="F77" s="4"/>
      <c r="G77" s="14">
        <f>G51+G76</f>
        <v>28889.870000000003</v>
      </c>
      <c r="H77" s="45">
        <v>1</v>
      </c>
      <c r="I77" s="4"/>
      <c r="J77" s="14">
        <f>J51+J76</f>
        <v>232275.43999999997</v>
      </c>
    </row>
    <row r="78" spans="1:10" s="1" customFormat="1" ht="14.25" customHeight="1" x14ac:dyDescent="0.2">
      <c r="A78" s="2"/>
      <c r="B78" s="2"/>
      <c r="C78" s="3" t="s">
        <v>253</v>
      </c>
      <c r="D78" s="2"/>
      <c r="E78" s="49"/>
      <c r="F78" s="4"/>
      <c r="G78" s="14">
        <f>G16+G29+G77</f>
        <v>32168.58</v>
      </c>
      <c r="H78" s="45"/>
      <c r="I78" s="4"/>
      <c r="J78" s="14">
        <f>J16+J29+J77</f>
        <v>358511.35999999999</v>
      </c>
    </row>
    <row r="79" spans="1:10" s="1" customFormat="1" ht="14.25" customHeight="1" x14ac:dyDescent="0.2">
      <c r="A79" s="2"/>
      <c r="B79" s="2"/>
      <c r="C79" s="3" t="s">
        <v>254</v>
      </c>
      <c r="D79" s="2" t="s">
        <v>255</v>
      </c>
      <c r="E79" s="55">
        <f>ROUND(G79/(G16+G18),2)</f>
        <v>3.89</v>
      </c>
      <c r="F79" s="4"/>
      <c r="G79" s="14">
        <v>11207.74</v>
      </c>
      <c r="H79" s="45"/>
      <c r="I79" s="4"/>
      <c r="J79" s="14">
        <f>ROUND(E79*(J16+J18),2)</f>
        <v>517159.82</v>
      </c>
    </row>
    <row r="80" spans="1:10" s="1" customFormat="1" ht="14.25" customHeight="1" x14ac:dyDescent="0.2">
      <c r="A80" s="2"/>
      <c r="B80" s="2"/>
      <c r="C80" s="3" t="s">
        <v>256</v>
      </c>
      <c r="D80" s="2" t="s">
        <v>255</v>
      </c>
      <c r="E80" s="55">
        <f>ROUND(G80/(G16+G18),2)</f>
        <v>2.02</v>
      </c>
      <c r="F80" s="4"/>
      <c r="G80" s="14">
        <v>5836.44</v>
      </c>
      <c r="H80" s="45"/>
      <c r="I80" s="4"/>
      <c r="J80" s="14">
        <f>ROUND(E80*(J16+J18),2)</f>
        <v>268550.86</v>
      </c>
    </row>
    <row r="81" spans="1:10" s="1" customFormat="1" ht="14.25" customHeight="1" x14ac:dyDescent="0.2">
      <c r="A81" s="2"/>
      <c r="B81" s="2"/>
      <c r="C81" s="3" t="s">
        <v>257</v>
      </c>
      <c r="D81" s="2"/>
      <c r="E81" s="49"/>
      <c r="F81" s="4"/>
      <c r="G81" s="14">
        <f>G16+G29+G77+G79+G80</f>
        <v>49212.76</v>
      </c>
      <c r="H81" s="45"/>
      <c r="I81" s="4"/>
      <c r="J81" s="14">
        <f>J16+J29+J77+J79+J80</f>
        <v>1144222.04</v>
      </c>
    </row>
    <row r="82" spans="1:10" s="1" customFormat="1" ht="14.25" customHeight="1" x14ac:dyDescent="0.2">
      <c r="A82" s="2"/>
      <c r="B82" s="2"/>
      <c r="C82" s="3" t="s">
        <v>258</v>
      </c>
      <c r="D82" s="2"/>
      <c r="E82" s="49"/>
      <c r="F82" s="4"/>
      <c r="G82" s="14">
        <f>G81+G42</f>
        <v>199894.01000000004</v>
      </c>
      <c r="H82" s="45"/>
      <c r="I82" s="4"/>
      <c r="J82" s="14">
        <f>J81+J42</f>
        <v>2087486.6400000001</v>
      </c>
    </row>
    <row r="83" spans="1:10" s="1" customFormat="1" ht="14.25" customHeight="1" x14ac:dyDescent="0.2">
      <c r="A83" s="2"/>
      <c r="B83" s="2"/>
      <c r="C83" s="3" t="s">
        <v>205</v>
      </c>
      <c r="D83" s="2" t="s">
        <v>259</v>
      </c>
      <c r="E83" s="92">
        <v>1</v>
      </c>
      <c r="F83" s="4"/>
      <c r="G83" s="14">
        <f>G82/E83</f>
        <v>199894.01000000004</v>
      </c>
      <c r="H83" s="45"/>
      <c r="I83" s="4"/>
      <c r="J83" s="14">
        <f>J82/E83</f>
        <v>2087486.6400000001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32</v>
      </c>
    </row>
    <row r="87" spans="1:10" s="1" customFormat="1" ht="14.25" customHeight="1" x14ac:dyDescent="0.2">
      <c r="A87" s="58" t="s">
        <v>33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34</v>
      </c>
    </row>
    <row r="90" spans="1:10" s="1" customFormat="1" ht="14.25" customHeight="1" x14ac:dyDescent="0.2">
      <c r="A90" s="58" t="s">
        <v>35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workbookViewId="0">
      <selection activeCell="C26" sqref="C26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65" t="s">
        <v>260</v>
      </c>
      <c r="B1" s="165"/>
      <c r="C1" s="165"/>
      <c r="D1" s="165"/>
      <c r="E1" s="165"/>
      <c r="F1" s="165"/>
      <c r="G1" s="16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42" t="s">
        <v>261</v>
      </c>
      <c r="B5" s="142"/>
      <c r="C5" s="142"/>
      <c r="D5" s="142"/>
      <c r="E5" s="142"/>
      <c r="F5" s="142"/>
      <c r="G5" s="142"/>
    </row>
    <row r="6" spans="1:7" ht="64.5" customHeight="1" x14ac:dyDescent="0.25">
      <c r="A6" s="129" t="str">
        <f>'Прил.1 Сравнит табл'!B7</f>
        <v>Наименование разрабатываемого показателя УНЦ: Постоянная часть ПС, система периметральной сигнализации ЗПС 35 кВ</v>
      </c>
      <c r="B6" s="129"/>
      <c r="C6" s="129"/>
      <c r="D6" s="129"/>
      <c r="E6" s="129"/>
      <c r="F6" s="129"/>
      <c r="G6" s="129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66" t="s">
        <v>210</v>
      </c>
      <c r="B8" s="166" t="s">
        <v>54</v>
      </c>
      <c r="C8" s="166" t="s">
        <v>171</v>
      </c>
      <c r="D8" s="166" t="s">
        <v>56</v>
      </c>
      <c r="E8" s="146" t="s">
        <v>211</v>
      </c>
      <c r="F8" s="166" t="s">
        <v>58</v>
      </c>
      <c r="G8" s="166"/>
    </row>
    <row r="9" spans="1:7" x14ac:dyDescent="0.25">
      <c r="A9" s="166"/>
      <c r="B9" s="166"/>
      <c r="C9" s="166"/>
      <c r="D9" s="166"/>
      <c r="E9" s="147"/>
      <c r="F9" s="2" t="s">
        <v>214</v>
      </c>
      <c r="G9" s="2" t="s">
        <v>60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61" t="s">
        <v>262</v>
      </c>
      <c r="C11" s="162"/>
      <c r="D11" s="162"/>
      <c r="E11" s="162"/>
      <c r="F11" s="162"/>
      <c r="G11" s="163"/>
    </row>
    <row r="12" spans="1:7" ht="27" customHeight="1" x14ac:dyDescent="0.25">
      <c r="A12" s="2"/>
      <c r="B12" s="5"/>
      <c r="C12" s="3" t="s">
        <v>263</v>
      </c>
      <c r="D12" s="5"/>
      <c r="E12" s="8"/>
      <c r="F12" s="4"/>
      <c r="G12" s="4">
        <v>0</v>
      </c>
    </row>
    <row r="13" spans="1:7" x14ac:dyDescent="0.25">
      <c r="A13" s="2"/>
      <c r="B13" s="150" t="s">
        <v>264</v>
      </c>
      <c r="C13" s="150"/>
      <c r="D13" s="150"/>
      <c r="E13" s="164"/>
      <c r="F13" s="152"/>
      <c r="G13" s="152"/>
    </row>
    <row r="14" spans="1:7" ht="25.5" customHeight="1" x14ac:dyDescent="0.25">
      <c r="A14" s="2">
        <v>1</v>
      </c>
      <c r="B14" s="92" t="str">
        <f>'Прил.5 Расчет СМР и ОБ'!B32</f>
        <v>Прайс из СД ОП</v>
      </c>
      <c r="C14" s="93" t="str">
        <f>'Прил.5 Расчет СМР и ОБ'!C32</f>
        <v>Чувствительный элемент броня(180м) ЧЕБ-2</v>
      </c>
      <c r="D14" s="92" t="str">
        <f>'Прил.5 Расчет СМР и ОБ'!D32</f>
        <v>шт</v>
      </c>
      <c r="E14" s="92">
        <f>'Прил.5 Расчет СМР и ОБ'!E32</f>
        <v>1.3105103032540999</v>
      </c>
      <c r="F14" s="14">
        <f>'Прил.5 Расчет СМР и ОБ'!F32</f>
        <v>34762.120000000003</v>
      </c>
      <c r="G14" s="14">
        <f t="shared" ref="G14:G21" si="0">ROUND(E14*F14,2)</f>
        <v>45556.12</v>
      </c>
    </row>
    <row r="15" spans="1:7" x14ac:dyDescent="0.25">
      <c r="A15" s="2">
        <v>2</v>
      </c>
      <c r="B15" s="92" t="str">
        <f>'Прил.5 Расчет СМР и ОБ'!B33</f>
        <v>61.3.05.04-0002</v>
      </c>
      <c r="C15" s="93" t="str">
        <f>'Прил.5 Расчет СМР и ОБ'!C33</f>
        <v>Сервер HP ProLiant DL360</v>
      </c>
      <c r="D15" s="92" t="str">
        <f>'Прил.5 Расчет СМР и ОБ'!D33</f>
        <v>компл</v>
      </c>
      <c r="E15" s="92">
        <f>'Прил.5 Расчет СМР и ОБ'!E33</f>
        <v>0.21841833842177999</v>
      </c>
      <c r="F15" s="14">
        <f>'Прил.5 Расчет СМР и ОБ'!F33</f>
        <v>167693</v>
      </c>
      <c r="G15" s="14">
        <f t="shared" si="0"/>
        <v>36627.230000000003</v>
      </c>
    </row>
    <row r="16" spans="1:7" ht="63.75" customHeight="1" x14ac:dyDescent="0.25">
      <c r="A16" s="2">
        <v>3</v>
      </c>
      <c r="B16" s="92" t="str">
        <f>'Прил.5 Расчет СМР и ОБ'!B34</f>
        <v>62.1.02.10-0124</v>
      </c>
      <c r="C16" s="93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92" t="str">
        <f>'Прил.5 Расчет СМР и ОБ'!D34</f>
        <v>компл</v>
      </c>
      <c r="E16" s="92">
        <f>'Прил.5 Расчет СМР и ОБ'!E34</f>
        <v>0.21841837649932999</v>
      </c>
      <c r="F16" s="14">
        <f>'Прил.5 Расчет СМР и ОБ'!F34</f>
        <v>123565.7</v>
      </c>
      <c r="G16" s="14">
        <f t="shared" si="0"/>
        <v>26989.02</v>
      </c>
    </row>
    <row r="17" spans="1:7" x14ac:dyDescent="0.25">
      <c r="A17" s="2">
        <v>4</v>
      </c>
      <c r="B17" s="92" t="str">
        <f>'Прил.5 Расчет СМР и ОБ'!B35</f>
        <v>61.3.01.02-0001</v>
      </c>
      <c r="C17" s="93" t="str">
        <f>'Прил.5 Расчет СМР и ОБ'!C35</f>
        <v>Блок распознавания инцидентов VIP T</v>
      </c>
      <c r="D17" s="92" t="str">
        <f>'Прил.5 Расчет СМР и ОБ'!D35</f>
        <v>шт</v>
      </c>
      <c r="E17" s="92">
        <f>'Прил.5 Расчет СМР и ОБ'!E35</f>
        <v>0.43683672301554</v>
      </c>
      <c r="F17" s="14">
        <f>'Прил.5 Расчет СМР и ОБ'!F35</f>
        <v>45204.3</v>
      </c>
      <c r="G17" s="14">
        <f t="shared" si="0"/>
        <v>19746.900000000001</v>
      </c>
    </row>
    <row r="18" spans="1:7" ht="38.25" customHeight="1" x14ac:dyDescent="0.25">
      <c r="A18" s="2">
        <v>5</v>
      </c>
      <c r="B18" s="92" t="str">
        <f>'Прил.5 Расчет СМР и ОБ'!B37</f>
        <v>61.2.07.02-0095</v>
      </c>
      <c r="C18" s="93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92" t="str">
        <f>'Прил.5 Расчет СМР и ОБ'!D37</f>
        <v>шт</v>
      </c>
      <c r="E18" s="92">
        <f>'Прил.5 Расчет СМР и ОБ'!E37</f>
        <v>0.87367339995861004</v>
      </c>
      <c r="F18" s="14">
        <f>'Прил.5 Расчет СМР и ОБ'!F37</f>
        <v>10196.26</v>
      </c>
      <c r="G18" s="14">
        <f t="shared" si="0"/>
        <v>8908.2000000000007</v>
      </c>
    </row>
    <row r="19" spans="1:7" ht="25.5" customHeight="1" x14ac:dyDescent="0.25">
      <c r="A19" s="2">
        <v>6</v>
      </c>
      <c r="B19" s="92" t="str">
        <f>'Прил.5 Расчет СМР и ОБ'!B38</f>
        <v>61.2.07.05-0067</v>
      </c>
      <c r="C19" s="93" t="str">
        <f>'Прил.5 Расчет СМР и ОБ'!C38</f>
        <v>Модуль центральный ECB с Ethernet интерфейсом</v>
      </c>
      <c r="D19" s="92" t="str">
        <f>'Прил.5 Расчет СМР и ОБ'!D38</f>
        <v>шт</v>
      </c>
      <c r="E19" s="92">
        <f>'Прил.5 Расчет СМР и ОБ'!E38</f>
        <v>0.21841823828008</v>
      </c>
      <c r="F19" s="14">
        <f>'Прил.5 Расчет СМР и ОБ'!F38</f>
        <v>37158.83</v>
      </c>
      <c r="G19" s="14">
        <f t="shared" si="0"/>
        <v>8116.17</v>
      </c>
    </row>
    <row r="20" spans="1:7" ht="38.25" customHeight="1" x14ac:dyDescent="0.25">
      <c r="A20" s="2">
        <v>7</v>
      </c>
      <c r="B20" s="92" t="str">
        <f>'Прил.5 Расчет СМР и ОБ'!B39</f>
        <v>61.2.01.03-0019</v>
      </c>
      <c r="C20" s="93" t="str">
        <f>'Прил.5 Расчет СМР и ОБ'!C39</f>
        <v>Извещатель охранный инфракрасный пассивный: "Пирон-1", взрывозащитное исполнение</v>
      </c>
      <c r="D20" s="92" t="str">
        <f>'Прил.5 Расчет СМР и ОБ'!D39</f>
        <v>шт</v>
      </c>
      <c r="E20" s="92">
        <f>'Прил.5 Расчет СМР и ОБ'!E39</f>
        <v>1.7473453516866</v>
      </c>
      <c r="F20" s="14">
        <f>'Прил.5 Расчет СМР и ОБ'!F39</f>
        <v>2122.7199999999998</v>
      </c>
      <c r="G20" s="14">
        <f t="shared" si="0"/>
        <v>3709.12</v>
      </c>
    </row>
    <row r="21" spans="1:7" ht="25.5" customHeight="1" x14ac:dyDescent="0.25">
      <c r="A21" s="2">
        <v>8</v>
      </c>
      <c r="B21" s="92" t="str">
        <f>'Прил.5 Расчет СМР и ОБ'!B40</f>
        <v>61.3.04.01-0001</v>
      </c>
      <c r="C21" s="93" t="str">
        <f>'Прил.5 Расчет СМР и ОБ'!C40</f>
        <v>Плата дочерняя IPO IP500 TRNK PRI UNVRSL DUAL</v>
      </c>
      <c r="D21" s="92" t="str">
        <f>'Прил.5 Расчет СМР и ОБ'!D40</f>
        <v>шт</v>
      </c>
      <c r="E21" s="92">
        <f>'Прил.5 Расчет СМР и ОБ'!E40</f>
        <v>0.21841912436054001</v>
      </c>
      <c r="F21" s="14">
        <f>'Прил.5 Расчет СМР и ОБ'!F40</f>
        <v>4708.8</v>
      </c>
      <c r="G21" s="14">
        <f t="shared" si="0"/>
        <v>1028.49</v>
      </c>
    </row>
    <row r="22" spans="1:7" ht="25.5" customHeight="1" x14ac:dyDescent="0.25">
      <c r="A22" s="2"/>
      <c r="B22" s="12"/>
      <c r="C22" s="12" t="s">
        <v>265</v>
      </c>
      <c r="D22" s="12"/>
      <c r="E22" s="13"/>
      <c r="F22" s="4"/>
      <c r="G22" s="14">
        <f>SUM(G14:G21)</f>
        <v>150681.25000000003</v>
      </c>
    </row>
    <row r="23" spans="1:7" ht="19.5" customHeight="1" x14ac:dyDescent="0.25">
      <c r="A23" s="2"/>
      <c r="B23" s="3"/>
      <c r="C23" s="3" t="s">
        <v>266</v>
      </c>
      <c r="D23" s="3"/>
      <c r="E23" s="9"/>
      <c r="F23" s="4"/>
      <c r="G23" s="14">
        <f>G12+G22</f>
        <v>150681.25000000003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32</v>
      </c>
      <c r="B25" s="1"/>
      <c r="C25" s="1"/>
      <c r="D25" s="10"/>
      <c r="E25" s="10"/>
      <c r="F25" s="10"/>
      <c r="G25" s="10"/>
    </row>
    <row r="26" spans="1:7" x14ac:dyDescent="0.25">
      <c r="A26" s="58" t="s">
        <v>33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34</v>
      </c>
      <c r="B28" s="1"/>
      <c r="C28" s="1"/>
      <c r="D28" s="10"/>
      <c r="E28" s="10"/>
      <c r="F28" s="10"/>
      <c r="G28" s="10"/>
    </row>
    <row r="29" spans="1:7" x14ac:dyDescent="0.25">
      <c r="A29" s="58" t="s">
        <v>35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267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6" t="s">
        <v>268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5" customHeight="1" x14ac:dyDescent="0.25">
      <c r="A5" s="167" t="s">
        <v>269</v>
      </c>
      <c r="B5" s="167"/>
      <c r="C5" s="167"/>
      <c r="D5" s="97" t="str">
        <f>'Прил.5 Расчет СМР и ОБ'!D6:J6</f>
        <v>Постоянная часть ПС, система периметральной сигнализации ЗПС 35 кВ</v>
      </c>
    </row>
    <row r="6" spans="1:4" ht="15.75" customHeight="1" x14ac:dyDescent="0.25">
      <c r="A6" s="57" t="s">
        <v>6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33" t="s">
        <v>270</v>
      </c>
      <c r="B8" s="133" t="s">
        <v>271</v>
      </c>
      <c r="C8" s="133" t="s">
        <v>272</v>
      </c>
      <c r="D8" s="133" t="s">
        <v>273</v>
      </c>
    </row>
    <row r="9" spans="1:4" x14ac:dyDescent="0.25">
      <c r="A9" s="133"/>
      <c r="B9" s="133"/>
      <c r="C9" s="133"/>
      <c r="D9" s="133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274</v>
      </c>
      <c r="B11" s="36" t="s">
        <v>275</v>
      </c>
      <c r="C11" s="98" t="s">
        <v>276</v>
      </c>
      <c r="D11" s="99">
        <f>'Прил.4 РМ'!C41/1000</f>
        <v>1661.96622</v>
      </c>
    </row>
    <row r="13" spans="1:4" x14ac:dyDescent="0.25">
      <c r="A13" s="6" t="s">
        <v>277</v>
      </c>
      <c r="B13" s="1"/>
      <c r="C13" s="1"/>
      <c r="D13" s="10"/>
    </row>
    <row r="14" spans="1:4" x14ac:dyDescent="0.25">
      <c r="A14" s="58" t="s">
        <v>33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34</v>
      </c>
      <c r="B16" s="1"/>
      <c r="C16" s="1"/>
      <c r="D16" s="10"/>
    </row>
    <row r="17" spans="1:4" x14ac:dyDescent="0.25">
      <c r="A17" s="58" t="s">
        <v>35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27" t="s">
        <v>278</v>
      </c>
      <c r="C4" s="127"/>
      <c r="D4" s="127"/>
    </row>
    <row r="5" spans="2:5" ht="18.75" customHeight="1" x14ac:dyDescent="0.25">
      <c r="B5" s="34"/>
    </row>
    <row r="6" spans="2:5" ht="15.75" customHeight="1" x14ac:dyDescent="0.25">
      <c r="B6" s="128" t="s">
        <v>279</v>
      </c>
      <c r="C6" s="128"/>
      <c r="D6" s="128"/>
    </row>
    <row r="7" spans="2:5" x14ac:dyDescent="0.25">
      <c r="B7" s="168"/>
      <c r="C7" s="168"/>
      <c r="D7" s="168"/>
      <c r="E7" s="168"/>
    </row>
    <row r="8" spans="2:5" ht="47.25" customHeight="1" x14ac:dyDescent="0.25">
      <c r="B8" s="36" t="s">
        <v>280</v>
      </c>
      <c r="C8" s="36" t="s">
        <v>281</v>
      </c>
      <c r="D8" s="36" t="s">
        <v>282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5" customHeight="1" x14ac:dyDescent="0.25">
      <c r="B10" s="36" t="s">
        <v>283</v>
      </c>
      <c r="C10" s="36" t="s">
        <v>284</v>
      </c>
      <c r="D10" s="36">
        <v>44.29</v>
      </c>
    </row>
    <row r="11" spans="2:5" ht="31.5" customHeight="1" x14ac:dyDescent="0.25">
      <c r="B11" s="36" t="s">
        <v>285</v>
      </c>
      <c r="C11" s="36" t="s">
        <v>284</v>
      </c>
      <c r="D11" s="36">
        <v>13.47</v>
      </c>
    </row>
    <row r="12" spans="2:5" ht="31.5" customHeight="1" x14ac:dyDescent="0.25">
      <c r="B12" s="36" t="s">
        <v>286</v>
      </c>
      <c r="C12" s="36" t="s">
        <v>284</v>
      </c>
      <c r="D12" s="36">
        <v>8.0399999999999991</v>
      </c>
    </row>
    <row r="13" spans="2:5" ht="31.5" customHeight="1" x14ac:dyDescent="0.25">
      <c r="B13" s="36" t="s">
        <v>287</v>
      </c>
      <c r="C13" s="37" t="s">
        <v>288</v>
      </c>
      <c r="D13" s="36">
        <v>6.26</v>
      </c>
    </row>
    <row r="14" spans="2:5" ht="78.75" customHeight="1" x14ac:dyDescent="0.25">
      <c r="B14" s="36" t="s">
        <v>289</v>
      </c>
      <c r="C14" s="36" t="s">
        <v>290</v>
      </c>
      <c r="D14" s="38">
        <v>3.9E-2</v>
      </c>
    </row>
    <row r="15" spans="2:5" ht="78.75" customHeight="1" x14ac:dyDescent="0.25">
      <c r="B15" s="36" t="s">
        <v>291</v>
      </c>
      <c r="C15" s="36" t="s">
        <v>292</v>
      </c>
      <c r="D15" s="38">
        <v>2.1000000000000001E-2</v>
      </c>
    </row>
    <row r="16" spans="2:5" ht="15.75" customHeight="1" x14ac:dyDescent="0.25">
      <c r="B16" s="36" t="s">
        <v>195</v>
      </c>
      <c r="C16" s="36"/>
      <c r="D16" s="36"/>
    </row>
    <row r="17" spans="2:4" ht="31.5" customHeight="1" x14ac:dyDescent="0.25">
      <c r="B17" s="36" t="s">
        <v>293</v>
      </c>
      <c r="C17" s="36" t="s">
        <v>294</v>
      </c>
      <c r="D17" s="38">
        <v>2.1399999999999999E-2</v>
      </c>
    </row>
    <row r="18" spans="2:4" ht="31.5" customHeight="1" x14ac:dyDescent="0.25">
      <c r="B18" s="36" t="s">
        <v>201</v>
      </c>
      <c r="C18" s="36" t="s">
        <v>295</v>
      </c>
      <c r="D18" s="38">
        <v>2E-3</v>
      </c>
    </row>
    <row r="19" spans="2:4" ht="24" customHeight="1" x14ac:dyDescent="0.25">
      <c r="B19" s="36" t="s">
        <v>203</v>
      </c>
      <c r="C19" s="36" t="s">
        <v>296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32</v>
      </c>
      <c r="C26" s="1"/>
    </row>
    <row r="27" spans="2:4" x14ac:dyDescent="0.25">
      <c r="B27" s="58" t="s">
        <v>33</v>
      </c>
      <c r="C27" s="1"/>
    </row>
    <row r="28" spans="2:4" x14ac:dyDescent="0.25">
      <c r="B28" s="6"/>
      <c r="C28" s="1"/>
    </row>
    <row r="29" spans="2:4" x14ac:dyDescent="0.25">
      <c r="B29" s="6" t="s">
        <v>34</v>
      </c>
      <c r="C29" s="1"/>
    </row>
    <row r="30" spans="2:4" x14ac:dyDescent="0.25">
      <c r="B30" s="58" t="s">
        <v>35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tabSelected="1" view="pageBreakPreview" workbookViewId="0">
      <selection activeCell="L12" sqref="L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71" t="s">
        <v>297</v>
      </c>
      <c r="B2" s="171"/>
      <c r="C2" s="171"/>
      <c r="D2" s="171"/>
      <c r="E2" s="171"/>
      <c r="F2" s="171"/>
    </row>
    <row r="4" spans="1:7" ht="18" customHeight="1" x14ac:dyDescent="0.25">
      <c r="A4" s="19" t="s">
        <v>298</v>
      </c>
    </row>
    <row r="5" spans="1:7" x14ac:dyDescent="0.25">
      <c r="A5" s="20" t="s">
        <v>210</v>
      </c>
      <c r="B5" s="20" t="s">
        <v>299</v>
      </c>
      <c r="C5" s="20" t="s">
        <v>300</v>
      </c>
      <c r="D5" s="20" t="s">
        <v>301</v>
      </c>
      <c r="E5" s="20" t="s">
        <v>302</v>
      </c>
      <c r="F5" s="20" t="s">
        <v>303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304</v>
      </c>
      <c r="B7" s="23" t="s">
        <v>305</v>
      </c>
      <c r="C7" s="22" t="s">
        <v>306</v>
      </c>
      <c r="D7" s="22" t="s">
        <v>307</v>
      </c>
      <c r="E7" s="24">
        <v>47872.94</v>
      </c>
      <c r="F7" s="23" t="s">
        <v>308</v>
      </c>
    </row>
    <row r="8" spans="1:7" ht="30" customHeight="1" x14ac:dyDescent="0.25">
      <c r="A8" s="21" t="s">
        <v>309</v>
      </c>
      <c r="B8" s="23" t="s">
        <v>310</v>
      </c>
      <c r="C8" s="22" t="s">
        <v>311</v>
      </c>
      <c r="D8" s="22" t="s">
        <v>312</v>
      </c>
      <c r="E8" s="24">
        <f>1973/12</f>
        <v>164.41666666667001</v>
      </c>
      <c r="F8" s="23" t="s">
        <v>313</v>
      </c>
      <c r="G8" s="25"/>
    </row>
    <row r="9" spans="1:7" x14ac:dyDescent="0.25">
      <c r="A9" s="21" t="s">
        <v>314</v>
      </c>
      <c r="B9" s="23" t="s">
        <v>315</v>
      </c>
      <c r="C9" s="22" t="s">
        <v>316</v>
      </c>
      <c r="D9" s="22" t="s">
        <v>307</v>
      </c>
      <c r="E9" s="24">
        <v>1</v>
      </c>
      <c r="F9" s="23"/>
      <c r="G9" s="26"/>
    </row>
    <row r="10" spans="1:7" x14ac:dyDescent="0.25">
      <c r="A10" s="21" t="s">
        <v>317</v>
      </c>
      <c r="B10" s="23" t="s">
        <v>318</v>
      </c>
      <c r="C10" s="22"/>
      <c r="D10" s="22"/>
      <c r="E10" s="27">
        <v>3.9</v>
      </c>
      <c r="F10" s="23" t="s">
        <v>319</v>
      </c>
      <c r="G10" s="26"/>
    </row>
    <row r="11" spans="1:7" ht="75" customHeight="1" x14ac:dyDescent="0.25">
      <c r="A11" s="21" t="s">
        <v>320</v>
      </c>
      <c r="B11" s="23" t="s">
        <v>321</v>
      </c>
      <c r="C11" s="22" t="s">
        <v>322</v>
      </c>
      <c r="D11" s="22" t="s">
        <v>307</v>
      </c>
      <c r="E11" s="28">
        <v>1.3240000000000001</v>
      </c>
      <c r="F11" s="23" t="s">
        <v>323</v>
      </c>
    </row>
    <row r="12" spans="1:7" ht="75" customHeight="1" x14ac:dyDescent="0.25">
      <c r="A12" s="21" t="s">
        <v>324</v>
      </c>
      <c r="B12" s="29" t="s">
        <v>325</v>
      </c>
      <c r="C12" s="22" t="s">
        <v>326</v>
      </c>
      <c r="D12" s="22" t="s">
        <v>307</v>
      </c>
      <c r="E12" s="30">
        <v>1.139</v>
      </c>
      <c r="F12" s="31" t="s">
        <v>327</v>
      </c>
      <c r="G12" s="26"/>
    </row>
    <row r="13" spans="1:7" ht="60" customHeight="1" x14ac:dyDescent="0.25">
      <c r="A13" s="21" t="s">
        <v>328</v>
      </c>
      <c r="B13" s="32" t="s">
        <v>329</v>
      </c>
      <c r="C13" s="22" t="s">
        <v>330</v>
      </c>
      <c r="D13" s="22" t="s">
        <v>331</v>
      </c>
      <c r="E13" s="33">
        <f>((E7*E9/E8)*E11)*E12</f>
        <v>439.09244974661999</v>
      </c>
      <c r="F13" s="23" t="s">
        <v>332</v>
      </c>
    </row>
    <row r="14" spans="1:7" s="106" customFormat="1" ht="14.45" customHeight="1" x14ac:dyDescent="0.25">
      <c r="A14" s="105"/>
      <c r="B14" s="169" t="s">
        <v>333</v>
      </c>
      <c r="C14" s="169"/>
      <c r="D14" s="169"/>
      <c r="E14" s="169"/>
      <c r="F14" s="170"/>
    </row>
    <row r="15" spans="1:7" s="106" customFormat="1" ht="110.25" customHeight="1" x14ac:dyDescent="0.25">
      <c r="A15" s="107" t="s">
        <v>304</v>
      </c>
      <c r="B15" s="108" t="s">
        <v>305</v>
      </c>
      <c r="C15" s="109" t="s">
        <v>334</v>
      </c>
      <c r="D15" s="109" t="s">
        <v>307</v>
      </c>
      <c r="E15" s="110">
        <v>47872.94</v>
      </c>
      <c r="F15" s="108" t="s">
        <v>308</v>
      </c>
      <c r="G15" s="111"/>
    </row>
    <row r="16" spans="1:7" s="106" customFormat="1" ht="31.5" customHeight="1" x14ac:dyDescent="0.25">
      <c r="A16" s="107" t="s">
        <v>309</v>
      </c>
      <c r="B16" s="108" t="s">
        <v>310</v>
      </c>
      <c r="C16" s="109" t="s">
        <v>335</v>
      </c>
      <c r="D16" s="109" t="s">
        <v>312</v>
      </c>
      <c r="E16" s="112">
        <f>1973/12</f>
        <v>164.41666666667001</v>
      </c>
      <c r="F16" s="113" t="s">
        <v>313</v>
      </c>
      <c r="G16" s="114"/>
    </row>
    <row r="17" spans="1:7" s="106" customFormat="1" ht="15.75" customHeight="1" x14ac:dyDescent="0.25">
      <c r="A17" s="107" t="s">
        <v>314</v>
      </c>
      <c r="B17" s="108" t="s">
        <v>315</v>
      </c>
      <c r="C17" s="109" t="s">
        <v>316</v>
      </c>
      <c r="D17" s="109" t="s">
        <v>307</v>
      </c>
      <c r="E17" s="112">
        <v>1</v>
      </c>
      <c r="F17" s="113"/>
      <c r="G17" s="115"/>
    </row>
    <row r="18" spans="1:7" s="106" customFormat="1" ht="15.75" customHeight="1" x14ac:dyDescent="0.25">
      <c r="A18" s="107" t="s">
        <v>317</v>
      </c>
      <c r="B18" s="108" t="s">
        <v>318</v>
      </c>
      <c r="C18" s="109"/>
      <c r="D18" s="109"/>
      <c r="E18" s="116"/>
      <c r="F18" s="113" t="s">
        <v>319</v>
      </c>
      <c r="G18" s="115"/>
    </row>
    <row r="19" spans="1:7" s="106" customFormat="1" ht="78.75" customHeight="1" x14ac:dyDescent="0.25">
      <c r="A19" s="117" t="s">
        <v>320</v>
      </c>
      <c r="B19" s="118" t="s">
        <v>321</v>
      </c>
      <c r="C19" s="119" t="s">
        <v>336</v>
      </c>
      <c r="D19" s="119" t="s">
        <v>307</v>
      </c>
      <c r="E19" s="120">
        <v>2.35</v>
      </c>
      <c r="F19" s="118" t="s">
        <v>323</v>
      </c>
      <c r="G19" s="111"/>
    </row>
    <row r="20" spans="1:7" s="106" customFormat="1" ht="78.75" customHeight="1" x14ac:dyDescent="0.25">
      <c r="A20" s="107" t="s">
        <v>324</v>
      </c>
      <c r="B20" s="121" t="s">
        <v>325</v>
      </c>
      <c r="C20" s="109" t="s">
        <v>337</v>
      </c>
      <c r="D20" s="109" t="s">
        <v>307</v>
      </c>
      <c r="E20" s="122">
        <v>1.139</v>
      </c>
      <c r="F20" s="123" t="s">
        <v>327</v>
      </c>
      <c r="G20" s="115"/>
    </row>
    <row r="21" spans="1:7" s="106" customFormat="1" ht="63" customHeight="1" x14ac:dyDescent="0.25">
      <c r="A21" s="107" t="s">
        <v>328</v>
      </c>
      <c r="B21" s="124" t="s">
        <v>338</v>
      </c>
      <c r="C21" s="109" t="s">
        <v>339</v>
      </c>
      <c r="D21" s="109" t="s">
        <v>340</v>
      </c>
      <c r="E21" s="125">
        <f>((E15*E17/E16)*E19)*E20</f>
        <v>779.35593421793999</v>
      </c>
      <c r="F21" s="108" t="s">
        <v>332</v>
      </c>
      <c r="G21" s="111"/>
    </row>
    <row r="22" spans="1:7" s="106" customFormat="1" ht="15.75" customHeight="1" x14ac:dyDescent="0.25">
      <c r="A22" s="105"/>
      <c r="B22" s="169" t="s">
        <v>75</v>
      </c>
      <c r="C22" s="169"/>
      <c r="D22" s="169"/>
      <c r="E22" s="169"/>
      <c r="F22" s="170"/>
    </row>
    <row r="23" spans="1:7" s="106" customFormat="1" ht="110.25" customHeight="1" x14ac:dyDescent="0.25">
      <c r="A23" s="107" t="s">
        <v>304</v>
      </c>
      <c r="B23" s="108" t="s">
        <v>305</v>
      </c>
      <c r="C23" s="109" t="s">
        <v>334</v>
      </c>
      <c r="D23" s="109" t="s">
        <v>307</v>
      </c>
      <c r="E23" s="110">
        <v>47872.94</v>
      </c>
      <c r="F23" s="108" t="s">
        <v>308</v>
      </c>
      <c r="G23" s="111"/>
    </row>
    <row r="24" spans="1:7" s="106" customFormat="1" ht="31.5" customHeight="1" x14ac:dyDescent="0.25">
      <c r="A24" s="107" t="s">
        <v>309</v>
      </c>
      <c r="B24" s="108" t="s">
        <v>310</v>
      </c>
      <c r="C24" s="109" t="s">
        <v>335</v>
      </c>
      <c r="D24" s="109" t="s">
        <v>312</v>
      </c>
      <c r="E24" s="112">
        <f>1973/12</f>
        <v>164.41666666667001</v>
      </c>
      <c r="F24" s="113" t="s">
        <v>313</v>
      </c>
      <c r="G24" s="114"/>
    </row>
    <row r="25" spans="1:7" s="106" customFormat="1" ht="15.75" customHeight="1" x14ac:dyDescent="0.25">
      <c r="A25" s="107" t="s">
        <v>314</v>
      </c>
      <c r="B25" s="108" t="s">
        <v>315</v>
      </c>
      <c r="C25" s="109" t="s">
        <v>316</v>
      </c>
      <c r="D25" s="109" t="s">
        <v>307</v>
      </c>
      <c r="E25" s="112">
        <v>1</v>
      </c>
      <c r="F25" s="113"/>
      <c r="G25" s="115"/>
    </row>
    <row r="26" spans="1:7" s="106" customFormat="1" ht="15.75" customHeight="1" x14ac:dyDescent="0.25">
      <c r="A26" s="107" t="s">
        <v>317</v>
      </c>
      <c r="B26" s="108" t="s">
        <v>318</v>
      </c>
      <c r="C26" s="109"/>
      <c r="D26" s="109"/>
      <c r="E26" s="116">
        <v>1</v>
      </c>
      <c r="F26" s="113" t="s">
        <v>319</v>
      </c>
      <c r="G26" s="115"/>
    </row>
    <row r="27" spans="1:7" s="106" customFormat="1" ht="78.75" customHeight="1" x14ac:dyDescent="0.25">
      <c r="A27" s="117" t="s">
        <v>320</v>
      </c>
      <c r="B27" s="118" t="s">
        <v>321</v>
      </c>
      <c r="C27" s="119" t="s">
        <v>336</v>
      </c>
      <c r="D27" s="119" t="s">
        <v>307</v>
      </c>
      <c r="E27" s="120">
        <v>2.15</v>
      </c>
      <c r="F27" s="118" t="s">
        <v>323</v>
      </c>
      <c r="G27" s="111"/>
    </row>
    <row r="28" spans="1:7" s="106" customFormat="1" ht="78.75" customHeight="1" x14ac:dyDescent="0.25">
      <c r="A28" s="107" t="s">
        <v>324</v>
      </c>
      <c r="B28" s="121" t="s">
        <v>325</v>
      </c>
      <c r="C28" s="109" t="s">
        <v>337</v>
      </c>
      <c r="D28" s="109" t="s">
        <v>307</v>
      </c>
      <c r="E28" s="122">
        <v>1.139</v>
      </c>
      <c r="F28" s="123" t="s">
        <v>327</v>
      </c>
      <c r="G28" s="115"/>
    </row>
    <row r="29" spans="1:7" s="106" customFormat="1" ht="63" customHeight="1" x14ac:dyDescent="0.25">
      <c r="A29" s="107" t="s">
        <v>328</v>
      </c>
      <c r="B29" s="124" t="s">
        <v>338</v>
      </c>
      <c r="C29" s="109" t="s">
        <v>339</v>
      </c>
      <c r="D29" s="109" t="s">
        <v>340</v>
      </c>
      <c r="E29" s="125">
        <f>((E23*E25/E24)*E27)*E28</f>
        <v>713.02776960364997</v>
      </c>
      <c r="F29" s="108" t="s">
        <v>332</v>
      </c>
      <c r="G29" s="111"/>
    </row>
    <row r="30" spans="1:7" s="106" customFormat="1" ht="15.75" customHeight="1" x14ac:dyDescent="0.25">
      <c r="A30" s="105"/>
      <c r="B30" s="169" t="s">
        <v>77</v>
      </c>
      <c r="C30" s="169"/>
      <c r="D30" s="169"/>
      <c r="E30" s="169"/>
      <c r="F30" s="170"/>
    </row>
    <row r="31" spans="1:7" s="106" customFormat="1" ht="110.25" customHeight="1" x14ac:dyDescent="0.25">
      <c r="A31" s="107" t="s">
        <v>304</v>
      </c>
      <c r="B31" s="108" t="s">
        <v>305</v>
      </c>
      <c r="C31" s="109" t="s">
        <v>334</v>
      </c>
      <c r="D31" s="109" t="s">
        <v>307</v>
      </c>
      <c r="E31" s="110">
        <v>47872.94</v>
      </c>
      <c r="F31" s="108" t="s">
        <v>308</v>
      </c>
      <c r="G31" s="111"/>
    </row>
    <row r="32" spans="1:7" s="106" customFormat="1" ht="31.5" customHeight="1" x14ac:dyDescent="0.25">
      <c r="A32" s="107" t="s">
        <v>309</v>
      </c>
      <c r="B32" s="108" t="s">
        <v>310</v>
      </c>
      <c r="C32" s="109" t="s">
        <v>335</v>
      </c>
      <c r="D32" s="109" t="s">
        <v>312</v>
      </c>
      <c r="E32" s="112">
        <f>1973/12</f>
        <v>164.41666666667001</v>
      </c>
      <c r="F32" s="113" t="s">
        <v>313</v>
      </c>
      <c r="G32" s="114"/>
    </row>
    <row r="33" spans="1:7" s="106" customFormat="1" ht="15.75" customHeight="1" x14ac:dyDescent="0.25">
      <c r="A33" s="107" t="s">
        <v>314</v>
      </c>
      <c r="B33" s="108" t="s">
        <v>315</v>
      </c>
      <c r="C33" s="109" t="s">
        <v>316</v>
      </c>
      <c r="D33" s="109" t="s">
        <v>307</v>
      </c>
      <c r="E33" s="112">
        <v>1</v>
      </c>
      <c r="F33" s="113"/>
      <c r="G33" s="115"/>
    </row>
    <row r="34" spans="1:7" s="106" customFormat="1" ht="15.75" customHeight="1" x14ac:dyDescent="0.25">
      <c r="A34" s="107" t="s">
        <v>317</v>
      </c>
      <c r="B34" s="108" t="s">
        <v>318</v>
      </c>
      <c r="C34" s="109"/>
      <c r="D34" s="109"/>
      <c r="E34" s="116">
        <v>2</v>
      </c>
      <c r="F34" s="113" t="s">
        <v>319</v>
      </c>
      <c r="G34" s="115"/>
    </row>
    <row r="35" spans="1:7" s="106" customFormat="1" ht="78.75" customHeight="1" x14ac:dyDescent="0.25">
      <c r="A35" s="117" t="s">
        <v>320</v>
      </c>
      <c r="B35" s="118" t="s">
        <v>321</v>
      </c>
      <c r="C35" s="119" t="s">
        <v>336</v>
      </c>
      <c r="D35" s="119" t="s">
        <v>307</v>
      </c>
      <c r="E35" s="120">
        <v>1.96</v>
      </c>
      <c r="F35" s="118" t="s">
        <v>323</v>
      </c>
      <c r="G35" s="111"/>
    </row>
    <row r="36" spans="1:7" s="106" customFormat="1" ht="78.75" customHeight="1" x14ac:dyDescent="0.25">
      <c r="A36" s="107" t="s">
        <v>324</v>
      </c>
      <c r="B36" s="121" t="s">
        <v>325</v>
      </c>
      <c r="C36" s="109" t="s">
        <v>337</v>
      </c>
      <c r="D36" s="109" t="s">
        <v>307</v>
      </c>
      <c r="E36" s="122">
        <v>1.139</v>
      </c>
      <c r="F36" s="123" t="s">
        <v>327</v>
      </c>
      <c r="G36" s="115"/>
    </row>
    <row r="37" spans="1:7" s="106" customFormat="1" ht="63" customHeight="1" x14ac:dyDescent="0.25">
      <c r="A37" s="107" t="s">
        <v>328</v>
      </c>
      <c r="B37" s="124" t="s">
        <v>338</v>
      </c>
      <c r="C37" s="109" t="s">
        <v>339</v>
      </c>
      <c r="D37" s="109" t="s">
        <v>340</v>
      </c>
      <c r="E37" s="125">
        <f>((E31*E33/E32)*E35)*E36</f>
        <v>650.01601322007002</v>
      </c>
      <c r="F37" s="108" t="s">
        <v>332</v>
      </c>
      <c r="G37" s="111"/>
    </row>
    <row r="38" spans="1:7" s="106" customFormat="1" ht="15.75" customHeight="1" x14ac:dyDescent="0.25">
      <c r="A38" s="105"/>
      <c r="B38" s="169" t="s">
        <v>341</v>
      </c>
      <c r="C38" s="169"/>
      <c r="D38" s="169"/>
      <c r="E38" s="169"/>
      <c r="F38" s="170"/>
    </row>
    <row r="39" spans="1:7" s="106" customFormat="1" ht="110.25" customHeight="1" x14ac:dyDescent="0.25">
      <c r="A39" s="107" t="s">
        <v>304</v>
      </c>
      <c r="B39" s="108" t="s">
        <v>305</v>
      </c>
      <c r="C39" s="109" t="s">
        <v>334</v>
      </c>
      <c r="D39" s="109" t="s">
        <v>307</v>
      </c>
      <c r="E39" s="110">
        <v>47872.94</v>
      </c>
      <c r="F39" s="108" t="s">
        <v>308</v>
      </c>
      <c r="G39" s="111"/>
    </row>
    <row r="40" spans="1:7" s="106" customFormat="1" ht="31.5" customHeight="1" x14ac:dyDescent="0.25">
      <c r="A40" s="107" t="s">
        <v>309</v>
      </c>
      <c r="B40" s="108" t="s">
        <v>310</v>
      </c>
      <c r="C40" s="109" t="s">
        <v>335</v>
      </c>
      <c r="D40" s="109" t="s">
        <v>312</v>
      </c>
      <c r="E40" s="112">
        <f>1973/12</f>
        <v>164.41666666667001</v>
      </c>
      <c r="F40" s="113" t="s">
        <v>313</v>
      </c>
      <c r="G40" s="114"/>
    </row>
    <row r="41" spans="1:7" s="106" customFormat="1" ht="15.75" customHeight="1" x14ac:dyDescent="0.25">
      <c r="A41" s="107" t="s">
        <v>314</v>
      </c>
      <c r="B41" s="108" t="s">
        <v>315</v>
      </c>
      <c r="C41" s="109" t="s">
        <v>316</v>
      </c>
      <c r="D41" s="109" t="s">
        <v>307</v>
      </c>
      <c r="E41" s="112">
        <v>1</v>
      </c>
      <c r="F41" s="113"/>
      <c r="G41" s="115"/>
    </row>
    <row r="42" spans="1:7" s="106" customFormat="1" ht="15.75" customHeight="1" x14ac:dyDescent="0.25">
      <c r="A42" s="107" t="s">
        <v>317</v>
      </c>
      <c r="B42" s="108" t="s">
        <v>318</v>
      </c>
      <c r="C42" s="109"/>
      <c r="D42" s="109"/>
      <c r="E42" s="116">
        <v>3</v>
      </c>
      <c r="F42" s="113" t="s">
        <v>319</v>
      </c>
      <c r="G42" s="115"/>
    </row>
    <row r="43" spans="1:7" s="106" customFormat="1" ht="78.75" customHeight="1" x14ac:dyDescent="0.25">
      <c r="A43" s="117" t="s">
        <v>320</v>
      </c>
      <c r="B43" s="118" t="s">
        <v>321</v>
      </c>
      <c r="C43" s="119" t="s">
        <v>336</v>
      </c>
      <c r="D43" s="119" t="s">
        <v>307</v>
      </c>
      <c r="E43" s="120">
        <v>1.76</v>
      </c>
      <c r="F43" s="118" t="s">
        <v>323</v>
      </c>
      <c r="G43" s="111"/>
    </row>
    <row r="44" spans="1:7" s="106" customFormat="1" ht="78.75" customHeight="1" x14ac:dyDescent="0.25">
      <c r="A44" s="107" t="s">
        <v>324</v>
      </c>
      <c r="B44" s="121" t="s">
        <v>325</v>
      </c>
      <c r="C44" s="109" t="s">
        <v>337</v>
      </c>
      <c r="D44" s="109" t="s">
        <v>307</v>
      </c>
      <c r="E44" s="122">
        <v>1.139</v>
      </c>
      <c r="F44" s="123" t="s">
        <v>327</v>
      </c>
      <c r="G44" s="115"/>
    </row>
    <row r="45" spans="1:7" s="106" customFormat="1" ht="63" customHeight="1" x14ac:dyDescent="0.25">
      <c r="A45" s="107" t="s">
        <v>328</v>
      </c>
      <c r="B45" s="124" t="s">
        <v>338</v>
      </c>
      <c r="C45" s="109" t="s">
        <v>339</v>
      </c>
      <c r="D45" s="109" t="s">
        <v>340</v>
      </c>
      <c r="E45" s="125">
        <f>((E39*E41/E40)*E43)*E44</f>
        <v>583.68784860578</v>
      </c>
      <c r="F45" s="108" t="s">
        <v>332</v>
      </c>
      <c r="G45" s="111"/>
    </row>
    <row r="46" spans="1:7" s="106" customFormat="1" ht="15.75" customHeight="1" x14ac:dyDescent="0.25">
      <c r="A46" s="105"/>
      <c r="B46" s="169" t="s">
        <v>342</v>
      </c>
      <c r="C46" s="169"/>
      <c r="D46" s="169"/>
      <c r="E46" s="169"/>
      <c r="F46" s="170"/>
    </row>
    <row r="47" spans="1:7" s="106" customFormat="1" ht="110.25" customHeight="1" x14ac:dyDescent="0.25">
      <c r="A47" s="107" t="s">
        <v>304</v>
      </c>
      <c r="B47" s="108" t="s">
        <v>305</v>
      </c>
      <c r="C47" s="109" t="s">
        <v>334</v>
      </c>
      <c r="D47" s="109" t="s">
        <v>307</v>
      </c>
      <c r="E47" s="110">
        <v>47872.94</v>
      </c>
      <c r="F47" s="108" t="s">
        <v>308</v>
      </c>
      <c r="G47" s="111"/>
    </row>
    <row r="48" spans="1:7" s="106" customFormat="1" ht="31.5" customHeight="1" x14ac:dyDescent="0.25">
      <c r="A48" s="107" t="s">
        <v>309</v>
      </c>
      <c r="B48" s="108" t="s">
        <v>310</v>
      </c>
      <c r="C48" s="109" t="s">
        <v>335</v>
      </c>
      <c r="D48" s="109" t="s">
        <v>312</v>
      </c>
      <c r="E48" s="112">
        <f>1973/12</f>
        <v>164.41666666667001</v>
      </c>
      <c r="F48" s="113" t="s">
        <v>313</v>
      </c>
      <c r="G48" s="114"/>
    </row>
    <row r="49" spans="1:7" s="106" customFormat="1" ht="15.75" customHeight="1" x14ac:dyDescent="0.25">
      <c r="A49" s="107" t="s">
        <v>314</v>
      </c>
      <c r="B49" s="108" t="s">
        <v>315</v>
      </c>
      <c r="C49" s="109" t="s">
        <v>316</v>
      </c>
      <c r="D49" s="109" t="s">
        <v>307</v>
      </c>
      <c r="E49" s="112">
        <v>1</v>
      </c>
      <c r="F49" s="113"/>
      <c r="G49" s="115"/>
    </row>
    <row r="50" spans="1:7" s="106" customFormat="1" ht="15.75" customHeight="1" x14ac:dyDescent="0.25">
      <c r="A50" s="107" t="s">
        <v>317</v>
      </c>
      <c r="B50" s="108" t="s">
        <v>318</v>
      </c>
      <c r="C50" s="109"/>
      <c r="D50" s="109"/>
      <c r="E50" s="116">
        <v>1</v>
      </c>
      <c r="F50" s="113" t="s">
        <v>319</v>
      </c>
      <c r="G50" s="115"/>
    </row>
    <row r="51" spans="1:7" s="106" customFormat="1" ht="78.75" customHeight="1" x14ac:dyDescent="0.25">
      <c r="A51" s="117" t="s">
        <v>320</v>
      </c>
      <c r="B51" s="118" t="s">
        <v>321</v>
      </c>
      <c r="C51" s="119" t="s">
        <v>336</v>
      </c>
      <c r="D51" s="119" t="s">
        <v>307</v>
      </c>
      <c r="E51" s="120">
        <v>1.42</v>
      </c>
      <c r="F51" s="118" t="s">
        <v>323</v>
      </c>
      <c r="G51" s="111"/>
    </row>
    <row r="52" spans="1:7" s="106" customFormat="1" ht="78.75" customHeight="1" x14ac:dyDescent="0.25">
      <c r="A52" s="107" t="s">
        <v>324</v>
      </c>
      <c r="B52" s="121" t="s">
        <v>325</v>
      </c>
      <c r="C52" s="109" t="s">
        <v>337</v>
      </c>
      <c r="D52" s="109" t="s">
        <v>307</v>
      </c>
      <c r="E52" s="122">
        <v>1.139</v>
      </c>
      <c r="F52" s="123" t="s">
        <v>327</v>
      </c>
      <c r="G52" s="115"/>
    </row>
    <row r="53" spans="1:7" s="106" customFormat="1" ht="63" customHeight="1" x14ac:dyDescent="0.25">
      <c r="A53" s="107" t="s">
        <v>328</v>
      </c>
      <c r="B53" s="124" t="s">
        <v>338</v>
      </c>
      <c r="C53" s="109" t="s">
        <v>339</v>
      </c>
      <c r="D53" s="109" t="s">
        <v>340</v>
      </c>
      <c r="E53" s="125">
        <f>((E47*E49/E48)*E51)*E52</f>
        <v>470.92996876147998</v>
      </c>
      <c r="F53" s="108" t="s">
        <v>332</v>
      </c>
      <c r="G53" s="111"/>
    </row>
  </sheetData>
  <mergeCells count="6">
    <mergeCell ref="B46:F46"/>
    <mergeCell ref="A2:F2"/>
    <mergeCell ref="B14:F14"/>
    <mergeCell ref="B22:F22"/>
    <mergeCell ref="B30:F30"/>
    <mergeCell ref="B38:F38"/>
  </mergeCells>
  <pageMargins left="0.7" right="0.7" top="0.75" bottom="0.75" header="0.3" footer="0.3"/>
  <pageSetup paperSize="9" scale="56" fitToHeight="0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2023-11-27T04:21:45Z</cp:lastPrinted>
  <dcterms:created xsi:type="dcterms:W3CDTF">2020-09-30T08:50:27Z</dcterms:created>
  <dcterms:modified xsi:type="dcterms:W3CDTF">2023-11-27T04:21:57Z</dcterms:modified>
  <cp:category/>
</cp:coreProperties>
</file>