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CB4A2014-D005-4E80-AB64-4DF43D236B21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IF('Прил.7 Расчет пок.'!n_3=1,'Прил.7 Расчет пок.'!n_2,'Прил.7 Расчет пок.'!n_3&amp;'Прил.7 Расчет пок.'!n_1)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IF('Прил.7 Расчет пок.'!n_3=1,'Прил.7 Расчет пок.'!n_2,'Прил.7 Расчет пок.'!n_3&amp;'Прил.7 Расчет пок.'!n_5)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стоим'!$A$1:$J$26</definedName>
    <definedName name="_xlnm.Print_Area" localSheetId="5">Прил.3!$A$1:$H$27</definedName>
    <definedName name="_xlnm.Print_Area" localSheetId="6">'Прил.4 РМ'!$A$1:$E$48</definedName>
    <definedName name="_xlnm.Print_Area" localSheetId="7">'Прил.5 Расчет СМР и ОБ'!$A$1:$J$45</definedName>
    <definedName name="_xlnm.Print_Area" localSheetId="8">'Прил.6 Расчет ОБ'!$A$1:$G$20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G13" i="9"/>
  <c r="G14" i="9" s="1"/>
  <c r="G12" i="9"/>
  <c r="F12" i="9"/>
  <c r="E12" i="9"/>
  <c r="D12" i="9"/>
  <c r="C12" i="9"/>
  <c r="B12" i="9"/>
  <c r="J31" i="8"/>
  <c r="G31" i="8"/>
  <c r="J25" i="8"/>
  <c r="J23" i="8"/>
  <c r="G23" i="8"/>
  <c r="G25" i="8" s="1"/>
  <c r="J22" i="8"/>
  <c r="G22" i="8"/>
  <c r="F22" i="8"/>
  <c r="J19" i="8"/>
  <c r="G19" i="8"/>
  <c r="J14" i="8"/>
  <c r="C11" i="7" s="1"/>
  <c r="E14" i="8"/>
  <c r="J13" i="8"/>
  <c r="I13" i="8"/>
  <c r="G13" i="8"/>
  <c r="C25" i="7"/>
  <c r="C18" i="7"/>
  <c r="C17" i="7"/>
  <c r="C16" i="7"/>
  <c r="C14" i="7"/>
  <c r="C19" i="7" s="1"/>
  <c r="C13" i="7"/>
  <c r="C12" i="7"/>
  <c r="H17" i="6"/>
  <c r="H16" i="6"/>
  <c r="H13" i="6"/>
  <c r="H12" i="6"/>
  <c r="F12" i="6"/>
  <c r="J14" i="5"/>
  <c r="F14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C20" i="7" l="1"/>
  <c r="C22" i="7"/>
  <c r="H23" i="8"/>
  <c r="H22" i="8"/>
  <c r="H24" i="8"/>
  <c r="G26" i="8"/>
  <c r="J26" i="8" s="1"/>
  <c r="C26" i="7" s="1"/>
  <c r="J32" i="8"/>
  <c r="G14" i="8"/>
  <c r="C24" i="7" l="1"/>
  <c r="D33" i="8"/>
  <c r="J33" i="8" s="1"/>
  <c r="D34" i="8"/>
  <c r="J34" i="8" s="1"/>
  <c r="G35" i="8"/>
  <c r="G36" i="8" s="1"/>
  <c r="G37" i="8" s="1"/>
  <c r="G32" i="8"/>
  <c r="H13" i="8"/>
  <c r="D17" i="7" l="1"/>
  <c r="D15" i="7"/>
  <c r="C29" i="7"/>
  <c r="C30" i="7" s="1"/>
  <c r="D18" i="7"/>
  <c r="D16" i="7"/>
  <c r="C27" i="7"/>
  <c r="D24" i="7"/>
  <c r="D13" i="7"/>
  <c r="D12" i="7"/>
  <c r="D14" i="7"/>
  <c r="D11" i="7"/>
  <c r="D22" i="7"/>
  <c r="D20" i="7"/>
  <c r="J35" i="8"/>
  <c r="J36" i="8" s="1"/>
  <c r="J37" i="8" s="1"/>
  <c r="C36" i="7" l="1"/>
  <c r="C37" i="7"/>
  <c r="C38" i="7" l="1"/>
  <c r="C39" i="7" l="1"/>
  <c r="C40" i="7" l="1"/>
  <c r="E39" i="7"/>
  <c r="E35" i="7" l="1"/>
  <c r="C41" i="7"/>
  <c r="D11" i="10" s="1"/>
  <c r="E34" i="7"/>
  <c r="E40" i="7"/>
  <c r="E33" i="7"/>
  <c r="E32" i="7"/>
  <c r="E13" i="7"/>
  <c r="E31" i="7"/>
  <c r="E17" i="7"/>
  <c r="E15" i="7"/>
  <c r="E12" i="7"/>
  <c r="E18" i="7"/>
  <c r="E16" i="7"/>
  <c r="E25" i="7"/>
  <c r="E11" i="7"/>
  <c r="E14" i="7"/>
  <c r="E20" i="7"/>
  <c r="E26" i="7"/>
  <c r="E22" i="7"/>
  <c r="E24" i="7"/>
  <c r="E30" i="7"/>
  <c r="E27" i="7"/>
  <c r="E29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<sst xmlns="http://schemas.openxmlformats.org/spreadsheetml/2006/main" count="500" uniqueCount="362">
  <si>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</si>
  <si>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</si>
  <si>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</si>
  <si>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</si>
  <si>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</si>
  <si>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</si>
  <si>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</si>
  <si>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</si>
  <si>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</si>
  <si>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</si>
  <si>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</si>
  <si>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</si>
  <si>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</si>
  <si>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</si>
  <si>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</si>
  <si>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</si>
  <si>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</si>
  <si>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</si>
  <si>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</si>
  <si>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</si>
  <si>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</si>
  <si>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</si>
  <si>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</si>
  <si>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</si>
  <si>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</si>
  <si>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</si>
  <si>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</si>
  <si>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</si>
  <si>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</si>
  <si>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</si>
  <si>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</si>
  <si>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</si>
  <si>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</si>
  <si>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</si>
  <si>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</si>
  <si>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</si>
  <si>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</si>
  <si>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</si>
  <si>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</si>
  <si>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</si>
  <si>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</si>
  <si>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</si>
  <si>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</si>
  <si>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</si>
  <si>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</si>
  <si>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</si>
  <si>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</si>
  <si>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комплекс поворотных камер охранного (технологического) видеонаблюдения ЗПС 35 кВ</t>
  </si>
  <si>
    <t>Сопоставимый уровень цен: 3 квартал 2015 г.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</si>
  <si>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</si>
  <si>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</si>
  <si>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</si>
  <si>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</si>
  <si>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35 кВ Черная Слобода</t>
  </si>
  <si>
    <t>Наименование субъекта Российской Федерации</t>
  </si>
  <si>
    <t>Липецкая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</si>
  <si>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</si>
  <si>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</si>
  <si>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</si>
  <si>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</si>
  <si>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Подвесная купольная IP поворотная видеокамера с термокожухом и кронштейном IP66 - 9 шт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</si>
  <si>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</si>
  <si>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</si>
  <si>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</si>
  <si>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</si>
  <si>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</si>
  <si>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</si>
  <si>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</si>
  <si>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</si>
  <si>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</si>
  <si>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</si>
  <si>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2015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</si>
  <si>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</si>
  <si>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</si>
  <si>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</si>
  <si>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</si>
  <si>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</si>
  <si>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</si>
  <si>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</si>
  <si>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</si>
  <si>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</si>
  <si>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ПС, комплекс поворотных камер охранного (технологического) видеонаблюдения ЗПС 35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</si>
  <si>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</si>
  <si>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</si>
  <si>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</si>
  <si>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2015 г., тыс. руб.</t>
  </si>
  <si>
    <t>Строительные работы</t>
  </si>
  <si>
    <t>Монтажные работы</t>
  </si>
  <si>
    <t>Прочее</t>
  </si>
  <si>
    <t>Всего</t>
  </si>
  <si>
    <t>Комплекс поворотных камер охранного (технологического) видеонаблюдения ЗПС 35 кВ</t>
  </si>
  <si>
    <t>Всего по объекту:</t>
  </si>
  <si>
    <t>Всего по объекту в сопоставимом уровне цен 3 кв. 2015 г: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</si>
  <si>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</si>
  <si>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</si>
  <si>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</si>
  <si>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</si>
  <si>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комплекс поворотных камер охранного (технологического) видеонаблюдения ЗПС 35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</si>
  <si>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</si>
  <si>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</si>
  <si>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</si>
  <si>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</si>
  <si>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</si>
  <si>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</si>
  <si>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</si>
  <si>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</si>
  <si>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</si>
  <si>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</si>
  <si>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</si>
  <si>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</si>
  <si>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1-4-9</t>
  </si>
  <si>
    <t>Затраты труда рабочих (ср 4,9)</t>
  </si>
  <si>
    <t>чел.-ч</t>
  </si>
  <si>
    <t>Затраты труда машинистов</t>
  </si>
  <si>
    <t>Машины и механизмы</t>
  </si>
  <si>
    <t>Прайс из СД ОП</t>
  </si>
  <si>
    <t>Подвесная купольная IP поворотная видеокамера с термокожухом и кронштейном IP66 от -40 до +50 градусов В85-20</t>
  </si>
  <si>
    <t>шт.</t>
  </si>
  <si>
    <t>Материалы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</si>
  <si>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</si>
  <si>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</si>
  <si>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</si>
  <si>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</si>
  <si>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</si>
  <si>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</si>
  <si>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</si>
  <si>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</si>
  <si>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</si>
  <si>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</si>
  <si>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</si>
  <si>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</si>
  <si>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</si>
  <si>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</si>
  <si>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</si>
  <si>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</si>
  <si>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</si>
  <si>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</si>
  <si>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</si>
  <si>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</si>
  <si>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</si>
  <si>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</si>
  <si>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</si>
  <si>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</si>
  <si>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</si>
  <si>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</si>
  <si>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</si>
  <si>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</si>
  <si>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</si>
  <si>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</si>
  <si>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</si>
  <si>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</si>
  <si>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</si>
  <si>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</si>
  <si>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</si>
  <si>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</si>
  <si>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</si>
  <si>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</si>
  <si>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</si>
  <si>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</si>
  <si>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</si>
  <si>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</si>
  <si>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</si>
  <si>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</si>
  <si>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комплекс поворотных камер охранного (технологического) видеонаблюдения ЗПС 35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</si>
  <si>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</si>
  <si>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</si>
  <si>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</si>
  <si>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</si>
  <si>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</si>
  <si>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(4,9)</t>
  </si>
  <si>
    <t>чел.-ч.</t>
  </si>
  <si>
    <t>Итого по разделу "Затраты труда рабочих-строителей"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</si>
  <si>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</si>
  <si>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</si>
  <si>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</si>
  <si>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</si>
  <si>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БЦ.54.13</t>
  </si>
  <si>
    <t>Поворотная камера видеонаблюдения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</si>
  <si>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</si>
  <si>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</si>
  <si>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</si>
  <si>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</si>
  <si>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</si>
  <si>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</si>
  <si>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</si>
  <si>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</si>
  <si>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</si>
  <si>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</si>
  <si>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</si>
  <si>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</si>
  <si>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</si>
  <si>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</si>
  <si>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</si>
  <si>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</si>
  <si>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</si>
  <si>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</si>
  <si>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</si>
  <si>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</si>
  <si>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</si>
  <si>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</si>
  <si>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</si>
  <si>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</si>
  <si>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</si>
  <si>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</si>
  <si>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</si>
  <si>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</si>
  <si>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З2-01</t>
  </si>
  <si>
    <t>УНЦ постоянной части ЗПС 35 кВ</t>
  </si>
  <si>
    <t>З2_ЗПС_пов.кам._35_кВ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</si>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</sst>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10" fontId="0" fillId="0" borderId="0" xfId="0" applyNumberFormat="1"/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9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70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10" fontId="1" fillId="0" borderId="1" xfId="0" applyNumberFormat="1" applyFont="1" applyBorder="1" applyAlignment="1">
      <alignment horizontal="right" vertical="center"/>
    </xf>
    <xf numFmtId="0" fontId="16" fillId="0" borderId="5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10" fontId="1" fillId="4" borderId="1" xfId="0" applyNumberFormat="1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166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10" fontId="1" fillId="4" borderId="2" xfId="0" applyNumberFormat="1" applyFont="1" applyFill="1" applyBorder="1" applyAlignment="1">
      <alignment horizontal="right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10" fontId="1" fillId="4" borderId="2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0" fontId="16" fillId="0" borderId="0" xfId="0" applyFont="1"/>
    <xf numFmtId="0" fontId="0" fillId="0" borderId="0" xfId="0"/>
    <xf numFmtId="0" fontId="19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 wrapText="1"/>
    </xf>
    <xf numFmtId="2" fontId="19" fillId="0" borderId="7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right" vertical="center" wrapText="1"/>
    </xf>
    <xf numFmtId="10" fontId="2" fillId="4" borderId="2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344714</xdr:colOff>
      <xdr:row>28</xdr:row>
      <xdr:rowOff>115206</xdr:rowOff>
    </xdr:from>
    <xdr:to>
      <xdr:col>2</xdr:col>
      <xdr:colOff>1289516</xdr:colOff>
      <xdr:row>31</xdr:row>
      <xdr:rowOff>31180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D3DB030-F646-4B95-AF1E-27ED42027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9357" y="14130563"/>
          <a:ext cx="944802" cy="528296"/>
        </a:xfrm>
        <a:prstGeom prst="rect">
          <a:avLst/>
        </a:prstGeom>
      </xdr:spPr>
    </xdr:pic>
    <xdr:clientData/>
  </xdr:twoCellAnchor>
  <xdr:twoCellAnchor editAs="oneCell">
    <xdr:from>
      <xdr:col>2</xdr:col>
      <xdr:colOff>487590</xdr:colOff>
      <xdr:row>26</xdr:row>
      <xdr:rowOff>300264</xdr:rowOff>
    </xdr:from>
    <xdr:to>
      <xdr:col>2</xdr:col>
      <xdr:colOff>1325789</xdr:colOff>
      <xdr:row>28</xdr:row>
      <xdr:rowOff>75366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86C7F49-87BB-434D-90BF-40DF409D8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2233" y="13635264"/>
          <a:ext cx="838199" cy="4554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387804</xdr:colOff>
      <xdr:row>22</xdr:row>
      <xdr:rowOff>139701</xdr:rowOff>
    </xdr:from>
    <xdr:to>
      <xdr:col>2</xdr:col>
      <xdr:colOff>1332606</xdr:colOff>
      <xdr:row>25</xdr:row>
      <xdr:rowOff>55674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4741556-CDAB-4952-BC5E-DA66B70BE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7518" y="5800272"/>
          <a:ext cx="944802" cy="528295"/>
        </a:xfrm>
        <a:prstGeom prst="rect">
          <a:avLst/>
        </a:prstGeom>
      </xdr:spPr>
    </xdr:pic>
    <xdr:clientData/>
  </xdr:twoCellAnchor>
  <xdr:twoCellAnchor editAs="oneCell">
    <xdr:from>
      <xdr:col>2</xdr:col>
      <xdr:colOff>530680</xdr:colOff>
      <xdr:row>20</xdr:row>
      <xdr:rowOff>52614</xdr:rowOff>
    </xdr:from>
    <xdr:to>
      <xdr:col>2</xdr:col>
      <xdr:colOff>1368879</xdr:colOff>
      <xdr:row>22</xdr:row>
      <xdr:rowOff>99861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40DE687-F479-407A-A957-46935C899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0394" y="5304971"/>
          <a:ext cx="838199" cy="4554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21</xdr:row>
      <xdr:rowOff>129989</xdr:rowOff>
    </xdr:from>
    <xdr:to>
      <xdr:col>2</xdr:col>
      <xdr:colOff>1135302</xdr:colOff>
      <xdr:row>24</xdr:row>
      <xdr:rowOff>49084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83F26AC-D903-413D-8F92-8ED0CC9A5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8300" y="5197289"/>
          <a:ext cx="944802" cy="490595"/>
        </a:xfrm>
        <a:prstGeom prst="rect">
          <a:avLst/>
        </a:prstGeom>
      </xdr:spPr>
    </xdr:pic>
    <xdr:clientData/>
  </xdr:twoCellAnchor>
  <xdr:twoCellAnchor editAs="oneCell">
    <xdr:from>
      <xdr:col>2</xdr:col>
      <xdr:colOff>333376</xdr:colOff>
      <xdr:row>19</xdr:row>
      <xdr:rowOff>38100</xdr:rowOff>
    </xdr:from>
    <xdr:to>
      <xdr:col>2</xdr:col>
      <xdr:colOff>1171575</xdr:colOff>
      <xdr:row>21</xdr:row>
      <xdr:rowOff>90149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2EA6E65-BA75-4802-A183-0C5014B1C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6" y="4724400"/>
          <a:ext cx="838199" cy="4330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47625</xdr:rowOff>
    </xdr:from>
    <xdr:to>
      <xdr:col>1</xdr:col>
      <xdr:colOff>1725852</xdr:colOff>
      <xdr:row>46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825B847-83A6-4896-A056-4B3E1F7AF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681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923926</xdr:colOff>
      <xdr:row>40</xdr:row>
      <xdr:rowOff>123825</xdr:rowOff>
    </xdr:from>
    <xdr:to>
      <xdr:col>1</xdr:col>
      <xdr:colOff>1762125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BEF26A9-D85F-47B3-A372-4D45AD5AF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1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492218</xdr:colOff>
      <xdr:row>39</xdr:row>
      <xdr:rowOff>112899</xdr:rowOff>
    </xdr:from>
    <xdr:to>
      <xdr:col>1</xdr:col>
      <xdr:colOff>1432258</xdr:colOff>
      <xdr:row>42</xdr:row>
      <xdr:rowOff>65612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87D59D9-E8D9-4BAE-ABD5-BEADC35F5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218" y="9161649"/>
          <a:ext cx="940040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635094</xdr:colOff>
      <xdr:row>36</xdr:row>
      <xdr:rowOff>427224</xdr:rowOff>
    </xdr:from>
    <xdr:to>
      <xdr:col>1</xdr:col>
      <xdr:colOff>1468531</xdr:colOff>
      <xdr:row>39</xdr:row>
      <xdr:rowOff>73059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3067545-E874-47ED-9B84-58DD6418D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94" y="8666349"/>
          <a:ext cx="833437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16</xdr:row>
      <xdr:rowOff>76200</xdr:rowOff>
    </xdr:from>
    <xdr:to>
      <xdr:col>2</xdr:col>
      <xdr:colOff>182802</xdr:colOff>
      <xdr:row>19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461EC44-0FC9-4CE1-B44B-AF238716A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43338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552451</xdr:colOff>
      <xdr:row>13</xdr:row>
      <xdr:rowOff>209550</xdr:rowOff>
    </xdr:from>
    <xdr:to>
      <xdr:col>2</xdr:col>
      <xdr:colOff>219075</xdr:colOff>
      <xdr:row>16</xdr:row>
      <xdr:rowOff>36360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5D50AE5-9A8F-4DBC-B8B8-F53123D9D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3838575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95250</xdr:rowOff>
    </xdr:from>
    <xdr:to>
      <xdr:col>1</xdr:col>
      <xdr:colOff>801927</xdr:colOff>
      <xdr:row>16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D4FC959-66CA-4691-AA09-61729EAD5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6576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</xdr:row>
      <xdr:rowOff>781050</xdr:rowOff>
    </xdr:from>
    <xdr:to>
      <xdr:col>1</xdr:col>
      <xdr:colOff>838200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1FAC82B-65AB-4DCB-ADAD-6889AD80A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6" y="316230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777875</xdr:colOff>
      <xdr:row>27</xdr:row>
      <xdr:rowOff>66675</xdr:rowOff>
    </xdr:from>
    <xdr:to>
      <xdr:col>1</xdr:col>
      <xdr:colOff>1722677</xdr:colOff>
      <xdr:row>30</xdr:row>
      <xdr:rowOff>19388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5B8961C-4186-41E6-A0FF-4F6810D1D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" y="93694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920751</xdr:colOff>
      <xdr:row>24</xdr:row>
      <xdr:rowOff>142875</xdr:rowOff>
    </xdr:from>
    <xdr:to>
      <xdr:col>1</xdr:col>
      <xdr:colOff>1758950</xdr:colOff>
      <xdr:row>27</xdr:row>
      <xdr:rowOff>26835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BEE46E3-BF74-4EF9-B46F-A1101D09C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1" y="887412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14" t="s">
        <v>0</v>
      </c>
      <c r="B2" s="314"/>
      <c r="C2" s="314"/>
    </row>
    <row r="3" spans="1:3" x14ac:dyDescent="0.25">
      <c r="A3" s="1"/>
      <c r="B3" s="1"/>
      <c r="C3" s="1"/>
    </row>
    <row r="4" spans="1:3" x14ac:dyDescent="0.25">
      <c r="A4" s="315" t="s">
        <v>1</v>
      </c>
      <c r="B4" s="315"/>
      <c r="C4" s="315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2" t="s">
        <v>2</v>
      </c>
      <c r="B6" s="316" t="s">
        <v>3</v>
      </c>
      <c r="C6" s="316"/>
    </row>
    <row r="7" spans="1:3" x14ac:dyDescent="0.25">
      <c r="A7" s="143" t="s">
        <v>4</v>
      </c>
      <c r="B7" s="1"/>
      <c r="C7" s="1"/>
    </row>
    <row r="8" spans="1:3" x14ac:dyDescent="0.25">
      <c r="A8" s="143"/>
      <c r="B8" s="1"/>
      <c r="C8" s="1"/>
    </row>
    <row r="9" spans="1:3" ht="39.6" customHeight="1" x14ac:dyDescent="0.25">
      <c r="A9" s="2" t="s">
        <v>5</v>
      </c>
      <c r="B9" s="2" t="s">
        <v>6</v>
      </c>
      <c r="C9" s="144" t="s">
        <v>7</v>
      </c>
    </row>
    <row r="10" spans="1:3" ht="86.45" customHeight="1" x14ac:dyDescent="0.25">
      <c r="A10" s="145" t="s">
        <v>8</v>
      </c>
      <c r="B10" s="146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4" sqref="C14"/>
    </sheetView>
  </sheetViews>
  <sheetFormatPr defaultRowHeight="15" x14ac:dyDescent="0.25"/>
  <cols>
    <col min="1" max="1" width="12.7109375" style="302" customWidth="1"/>
    <col min="2" max="2" width="16.42578125" style="302" customWidth="1"/>
    <col min="3" max="3" width="37.140625" style="302" customWidth="1"/>
    <col min="4" max="4" width="49" style="302" customWidth="1"/>
    <col min="5" max="5" width="9.140625" style="302" customWidth="1"/>
  </cols>
  <sheetData>
    <row r="1" spans="1:4" ht="15.75" customHeight="1" x14ac:dyDescent="0.25">
      <c r="A1" s="301"/>
      <c r="B1" s="301"/>
      <c r="C1" s="301"/>
      <c r="D1" s="301" t="s">
        <v>201</v>
      </c>
    </row>
    <row r="2" spans="1:4" ht="15.75" customHeight="1" x14ac:dyDescent="0.25">
      <c r="A2" s="301"/>
      <c r="B2" s="301"/>
      <c r="C2" s="301"/>
      <c r="D2" s="301"/>
    </row>
    <row r="3" spans="1:4" ht="15.75" customHeight="1" x14ac:dyDescent="0.25">
      <c r="A3" s="301"/>
      <c r="B3" s="303" t="s">
        <v>202</v>
      </c>
      <c r="C3" s="301"/>
      <c r="D3" s="301"/>
    </row>
    <row r="4" spans="1:4" ht="15.75" customHeight="1" x14ac:dyDescent="0.25">
      <c r="A4" s="301"/>
      <c r="B4" s="301"/>
      <c r="C4" s="301"/>
      <c r="D4" s="301"/>
    </row>
    <row r="5" spans="1:4" ht="47.25" customHeight="1" x14ac:dyDescent="0.25">
      <c r="A5" s="369" t="s">
        <v>203</v>
      </c>
      <c r="B5" s="369"/>
      <c r="C5" s="369"/>
      <c r="D5" s="304" t="str">
        <f>'Прил.5 Расчет СМР и ОБ'!D6:J6</f>
        <v>Постоянная часть ПС, комплекс поворотных камер охранного (технологического) видеонаблюдения ЗПС 35 кВ</v>
      </c>
    </row>
    <row r="6" spans="1:4" ht="15.75" customHeight="1" x14ac:dyDescent="0.25">
      <c r="A6" s="301" t="s">
        <v>49</v>
      </c>
      <c r="B6" s="301"/>
      <c r="C6" s="301"/>
      <c r="D6" s="301"/>
    </row>
    <row r="7" spans="1:4" ht="15.75" customHeight="1" x14ac:dyDescent="0.25">
      <c r="A7" s="301"/>
      <c r="B7" s="301"/>
      <c r="C7" s="301"/>
      <c r="D7" s="301"/>
    </row>
    <row r="8" spans="1:4" x14ac:dyDescent="0.25">
      <c r="A8" s="327" t="s">
        <v>5</v>
      </c>
      <c r="B8" s="327" t="s">
        <v>6</v>
      </c>
      <c r="C8" s="327" t="s">
        <v>204</v>
      </c>
      <c r="D8" s="327" t="s">
        <v>205</v>
      </c>
    </row>
    <row r="9" spans="1:4" x14ac:dyDescent="0.25">
      <c r="A9" s="327"/>
      <c r="B9" s="327"/>
      <c r="C9" s="327"/>
      <c r="D9" s="327"/>
    </row>
    <row r="10" spans="1:4" ht="15.75" customHeight="1" x14ac:dyDescent="0.25">
      <c r="A10" s="305">
        <v>1</v>
      </c>
      <c r="B10" s="305">
        <v>2</v>
      </c>
      <c r="C10" s="305">
        <v>3</v>
      </c>
      <c r="D10" s="305">
        <v>4</v>
      </c>
    </row>
    <row r="11" spans="1:4" ht="63" customHeight="1" x14ac:dyDescent="0.25">
      <c r="A11" s="311" t="s">
        <v>206</v>
      </c>
      <c r="B11" s="311" t="s">
        <v>207</v>
      </c>
      <c r="C11" s="312" t="s">
        <v>208</v>
      </c>
      <c r="D11" s="306">
        <f>'Прил.4 РМ'!C41/1000</f>
        <v>9632.115920000002</v>
      </c>
    </row>
    <row r="13" spans="1:4" x14ac:dyDescent="0.25">
      <c r="A13" s="307" t="s">
        <v>209</v>
      </c>
      <c r="B13" s="308"/>
      <c r="C13" s="308"/>
      <c r="D13" s="309"/>
    </row>
    <row r="14" spans="1:4" x14ac:dyDescent="0.25">
      <c r="A14" s="310" t="s">
        <v>76</v>
      </c>
      <c r="B14" s="308"/>
      <c r="C14" s="308"/>
      <c r="D14" s="309"/>
    </row>
    <row r="15" spans="1:4" x14ac:dyDescent="0.25">
      <c r="A15" s="307"/>
      <c r="B15" s="308"/>
      <c r="C15" s="308"/>
      <c r="D15" s="309"/>
    </row>
    <row r="16" spans="1:4" x14ac:dyDescent="0.25">
      <c r="A16" s="307" t="s">
        <v>77</v>
      </c>
      <c r="B16" s="308"/>
      <c r="C16" s="308"/>
      <c r="D16" s="309"/>
    </row>
    <row r="17" spans="1:4" x14ac:dyDescent="0.25">
      <c r="A17" s="310" t="s">
        <v>78</v>
      </c>
      <c r="B17" s="308"/>
      <c r="C17" s="308"/>
      <c r="D17" s="309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1"/>
  <sheetViews>
    <sheetView view="pageBreakPreview" zoomScale="60" zoomScaleNormal="85" workbookViewId="0">
      <selection activeCell="C26" sqref="C26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21" t="s">
        <v>210</v>
      </c>
      <c r="C4" s="321"/>
      <c r="D4" s="321"/>
    </row>
    <row r="5" spans="2:5" ht="18.75" customHeight="1" x14ac:dyDescent="0.25">
      <c r="B5" s="241"/>
    </row>
    <row r="6" spans="2:5" ht="15.75" customHeight="1" x14ac:dyDescent="0.25">
      <c r="B6" s="322" t="s">
        <v>211</v>
      </c>
      <c r="C6" s="322"/>
      <c r="D6" s="322"/>
    </row>
    <row r="7" spans="2:5" x14ac:dyDescent="0.25">
      <c r="B7" s="370"/>
      <c r="C7" s="370"/>
      <c r="D7" s="370"/>
      <c r="E7" s="370"/>
    </row>
    <row r="8" spans="2:5" x14ac:dyDescent="0.25">
      <c r="B8" s="277"/>
      <c r="C8" s="277"/>
      <c r="D8" s="277"/>
      <c r="E8" s="277"/>
    </row>
    <row r="9" spans="2:5" ht="47.25" customHeight="1" x14ac:dyDescent="0.25">
      <c r="B9" s="263" t="s">
        <v>212</v>
      </c>
      <c r="C9" s="263" t="s">
        <v>213</v>
      </c>
      <c r="D9" s="263" t="s">
        <v>214</v>
      </c>
    </row>
    <row r="10" spans="2:5" ht="15.75" customHeight="1" x14ac:dyDescent="0.25">
      <c r="B10" s="263">
        <v>1</v>
      </c>
      <c r="C10" s="263">
        <v>2</v>
      </c>
      <c r="D10" s="263">
        <v>3</v>
      </c>
    </row>
    <row r="11" spans="2:5" ht="45" customHeight="1" x14ac:dyDescent="0.25">
      <c r="B11" s="263" t="s">
        <v>215</v>
      </c>
      <c r="C11" s="263" t="s">
        <v>216</v>
      </c>
      <c r="D11" s="263">
        <v>44.29</v>
      </c>
    </row>
    <row r="12" spans="2:5" ht="29.25" customHeight="1" x14ac:dyDescent="0.25">
      <c r="B12" s="263" t="s">
        <v>217</v>
      </c>
      <c r="C12" s="263" t="s">
        <v>216</v>
      </c>
      <c r="D12" s="263">
        <v>13.47</v>
      </c>
    </row>
    <row r="13" spans="2:5" ht="29.25" customHeight="1" x14ac:dyDescent="0.25">
      <c r="B13" s="263" t="s">
        <v>218</v>
      </c>
      <c r="C13" s="263" t="s">
        <v>216</v>
      </c>
      <c r="D13" s="263">
        <v>8.0399999999999991</v>
      </c>
    </row>
    <row r="14" spans="2:5" ht="30.75" customHeight="1" x14ac:dyDescent="0.25">
      <c r="B14" s="263" t="s">
        <v>219</v>
      </c>
      <c r="C14" s="164" t="s">
        <v>220</v>
      </c>
      <c r="D14" s="263">
        <v>6.26</v>
      </c>
    </row>
    <row r="15" spans="2:5" ht="89.25" customHeight="1" x14ac:dyDescent="0.25">
      <c r="B15" s="263" t="s">
        <v>221</v>
      </c>
      <c r="C15" s="263" t="s">
        <v>222</v>
      </c>
      <c r="D15" s="242">
        <v>3.9E-2</v>
      </c>
    </row>
    <row r="16" spans="2:5" ht="78.75" customHeight="1" x14ac:dyDescent="0.25">
      <c r="B16" s="263" t="s">
        <v>223</v>
      </c>
      <c r="C16" s="263" t="s">
        <v>224</v>
      </c>
      <c r="D16" s="242">
        <v>2.1000000000000001E-2</v>
      </c>
    </row>
    <row r="17" spans="2:4" ht="34.5" customHeight="1" x14ac:dyDescent="0.25">
      <c r="B17" s="263"/>
      <c r="C17" s="263"/>
      <c r="D17" s="263"/>
    </row>
    <row r="18" spans="2:4" ht="31.5" customHeight="1" x14ac:dyDescent="0.25">
      <c r="B18" s="263" t="s">
        <v>225</v>
      </c>
      <c r="C18" s="263" t="s">
        <v>226</v>
      </c>
      <c r="D18" s="242">
        <v>2.1399999999999999E-2</v>
      </c>
    </row>
    <row r="19" spans="2:4" ht="31.5" customHeight="1" x14ac:dyDescent="0.25">
      <c r="B19" s="263" t="s">
        <v>151</v>
      </c>
      <c r="C19" s="263" t="s">
        <v>227</v>
      </c>
      <c r="D19" s="242">
        <v>2E-3</v>
      </c>
    </row>
    <row r="20" spans="2:4" ht="24" customHeight="1" x14ac:dyDescent="0.25">
      <c r="B20" s="263" t="s">
        <v>153</v>
      </c>
      <c r="C20" s="263" t="s">
        <v>228</v>
      </c>
      <c r="D20" s="242">
        <v>0.03</v>
      </c>
    </row>
    <row r="21" spans="2:4" ht="18.75" customHeight="1" x14ac:dyDescent="0.25">
      <c r="B21" s="243"/>
    </row>
    <row r="22" spans="2:4" ht="18.75" customHeight="1" x14ac:dyDescent="0.25">
      <c r="B22" s="243"/>
    </row>
    <row r="23" spans="2:4" ht="18.75" customHeight="1" x14ac:dyDescent="0.25">
      <c r="B23" s="243"/>
    </row>
    <row r="24" spans="2:4" ht="18.75" customHeight="1" x14ac:dyDescent="0.25">
      <c r="B24" s="243"/>
    </row>
    <row r="27" spans="2:4" x14ac:dyDescent="0.25">
      <c r="B27" s="4" t="s">
        <v>229</v>
      </c>
      <c r="C27" s="14"/>
    </row>
    <row r="28" spans="2:4" x14ac:dyDescent="0.25">
      <c r="B28" s="232" t="s">
        <v>76</v>
      </c>
      <c r="C28" s="14"/>
    </row>
    <row r="29" spans="2:4" x14ac:dyDescent="0.25">
      <c r="B29" s="4"/>
      <c r="C29" s="14"/>
    </row>
    <row r="30" spans="2:4" x14ac:dyDescent="0.25">
      <c r="B30" s="4" t="s">
        <v>193</v>
      </c>
      <c r="C30" s="14"/>
    </row>
    <row r="31" spans="2:4" x14ac:dyDescent="0.25">
      <c r="B31" s="232" t="s">
        <v>78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G11" sqref="G11:G13"/>
    </sheetView>
  </sheetViews>
  <sheetFormatPr defaultRowHeight="15" x14ac:dyDescent="0.25"/>
  <cols>
    <col min="1" max="1" width="9.140625" style="244" customWidth="1"/>
    <col min="2" max="2" width="44.85546875" style="244" customWidth="1"/>
    <col min="3" max="3" width="13" style="244" customWidth="1"/>
    <col min="4" max="4" width="22.85546875" style="244" customWidth="1"/>
    <col min="5" max="5" width="21.5703125" style="244" customWidth="1"/>
    <col min="6" max="6" width="43.85546875" style="244" customWidth="1"/>
    <col min="7" max="7" width="9.140625" style="244" customWidth="1"/>
  </cols>
  <sheetData>
    <row r="2" spans="1:7" ht="17.25" customHeight="1" x14ac:dyDescent="0.25">
      <c r="A2" s="322" t="s">
        <v>230</v>
      </c>
      <c r="B2" s="322"/>
      <c r="C2" s="322"/>
      <c r="D2" s="322"/>
      <c r="E2" s="322"/>
      <c r="F2" s="322"/>
    </row>
    <row r="4" spans="1:7" ht="18" customHeight="1" x14ac:dyDescent="0.25">
      <c r="A4" s="245" t="s">
        <v>231</v>
      </c>
      <c r="B4" s="246"/>
      <c r="C4" s="246"/>
      <c r="D4" s="246"/>
      <c r="E4" s="246"/>
      <c r="F4" s="246"/>
      <c r="G4" s="246"/>
    </row>
    <row r="5" spans="1:7" ht="15.75" customHeight="1" x14ac:dyDescent="0.25">
      <c r="A5" s="247" t="s">
        <v>13</v>
      </c>
      <c r="B5" s="247" t="s">
        <v>232</v>
      </c>
      <c r="C5" s="247" t="s">
        <v>233</v>
      </c>
      <c r="D5" s="247" t="s">
        <v>234</v>
      </c>
      <c r="E5" s="247" t="s">
        <v>235</v>
      </c>
      <c r="F5" s="247" t="s">
        <v>236</v>
      </c>
      <c r="G5" s="246"/>
    </row>
    <row r="6" spans="1:7" ht="15.75" customHeight="1" x14ac:dyDescent="0.25">
      <c r="A6" s="247">
        <v>1</v>
      </c>
      <c r="B6" s="247">
        <v>2</v>
      </c>
      <c r="C6" s="247">
        <v>3</v>
      </c>
      <c r="D6" s="247">
        <v>4</v>
      </c>
      <c r="E6" s="247">
        <v>5</v>
      </c>
      <c r="F6" s="247">
        <v>6</v>
      </c>
      <c r="G6" s="246"/>
    </row>
    <row r="7" spans="1:7" ht="110.25" customHeight="1" x14ac:dyDescent="0.25">
      <c r="A7" s="248" t="s">
        <v>237</v>
      </c>
      <c r="B7" s="249" t="s">
        <v>238</v>
      </c>
      <c r="C7" s="250" t="s">
        <v>239</v>
      </c>
      <c r="D7" s="250" t="s">
        <v>240</v>
      </c>
      <c r="E7" s="251">
        <v>47872.94</v>
      </c>
      <c r="F7" s="249" t="s">
        <v>241</v>
      </c>
      <c r="G7" s="246"/>
    </row>
    <row r="8" spans="1:7" ht="31.5" customHeight="1" x14ac:dyDescent="0.25">
      <c r="A8" s="248" t="s">
        <v>242</v>
      </c>
      <c r="B8" s="249" t="s">
        <v>243</v>
      </c>
      <c r="C8" s="250" t="s">
        <v>244</v>
      </c>
      <c r="D8" s="250" t="s">
        <v>245</v>
      </c>
      <c r="E8" s="251">
        <f>1973/12</f>
        <v>164.41666666667001</v>
      </c>
      <c r="F8" s="252" t="s">
        <v>246</v>
      </c>
      <c r="G8" s="253"/>
    </row>
    <row r="9" spans="1:7" ht="15.75" customHeight="1" x14ac:dyDescent="0.25">
      <c r="A9" s="248" t="s">
        <v>247</v>
      </c>
      <c r="B9" s="249" t="s">
        <v>248</v>
      </c>
      <c r="C9" s="250" t="s">
        <v>249</v>
      </c>
      <c r="D9" s="250" t="s">
        <v>240</v>
      </c>
      <c r="E9" s="251">
        <v>1</v>
      </c>
      <c r="F9" s="252"/>
      <c r="G9" s="254"/>
    </row>
    <row r="10" spans="1:7" ht="15.75" customHeight="1" x14ac:dyDescent="0.25">
      <c r="A10" s="248" t="s">
        <v>250</v>
      </c>
      <c r="B10" s="249" t="s">
        <v>251</v>
      </c>
      <c r="C10" s="250"/>
      <c r="D10" s="250"/>
      <c r="E10" s="255">
        <v>4.9000000000000004</v>
      </c>
      <c r="F10" s="252" t="s">
        <v>252</v>
      </c>
      <c r="G10" s="254"/>
    </row>
    <row r="11" spans="1:7" ht="78.75" customHeight="1" x14ac:dyDescent="0.25">
      <c r="A11" s="248" t="s">
        <v>253</v>
      </c>
      <c r="B11" s="249" t="s">
        <v>254</v>
      </c>
      <c r="C11" s="250" t="s">
        <v>255</v>
      </c>
      <c r="D11" s="250" t="s">
        <v>240</v>
      </c>
      <c r="E11" s="256">
        <v>1.522</v>
      </c>
      <c r="F11" s="249" t="s">
        <v>256</v>
      </c>
      <c r="G11" s="246"/>
    </row>
    <row r="12" spans="1:7" ht="78.75" customHeight="1" x14ac:dyDescent="0.25">
      <c r="A12" s="248" t="s">
        <v>257</v>
      </c>
      <c r="B12" s="257" t="s">
        <v>258</v>
      </c>
      <c r="C12" s="250" t="s">
        <v>259</v>
      </c>
      <c r="D12" s="250" t="s">
        <v>240</v>
      </c>
      <c r="E12" s="258">
        <v>1.139</v>
      </c>
      <c r="F12" s="259" t="s">
        <v>260</v>
      </c>
      <c r="G12" s="254"/>
    </row>
    <row r="13" spans="1:7" ht="63" customHeight="1" x14ac:dyDescent="0.25">
      <c r="A13" s="248" t="s">
        <v>261</v>
      </c>
      <c r="B13" s="260" t="s">
        <v>262</v>
      </c>
      <c r="C13" s="250" t="s">
        <v>263</v>
      </c>
      <c r="D13" s="250" t="s">
        <v>264</v>
      </c>
      <c r="E13" s="261">
        <f>((E7*E9/E8)*E11)*E12</f>
        <v>504.75733271476997</v>
      </c>
      <c r="F13" s="249" t="s">
        <v>265</v>
      </c>
      <c r="G13" s="246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29" customFormat="1" ht="29.45" customHeight="1" x14ac:dyDescent="0.2">
      <c r="A1" s="371" t="s">
        <v>266</v>
      </c>
      <c r="B1" s="371"/>
      <c r="C1" s="371"/>
      <c r="D1" s="371"/>
      <c r="E1" s="371"/>
      <c r="F1" s="371"/>
      <c r="G1" s="371"/>
      <c r="H1" s="371"/>
      <c r="I1" s="371"/>
    </row>
    <row r="2" spans="1:13" s="29" customFormat="1" ht="13.5" customHeight="1" x14ac:dyDescent="0.2">
      <c r="A2" s="30"/>
      <c r="B2" s="30"/>
      <c r="C2" s="30"/>
      <c r="D2" s="30"/>
      <c r="E2" s="30"/>
      <c r="F2" s="30"/>
      <c r="G2" s="30"/>
      <c r="H2" s="30"/>
      <c r="I2" s="30"/>
    </row>
    <row r="3" spans="1:13" s="29" customFormat="1" ht="34.5" customHeight="1" x14ac:dyDescent="0.2">
      <c r="A3" s="317" t="e">
        <f>#REF!</f>
        <v>#REF!</v>
      </c>
      <c r="B3" s="317"/>
      <c r="C3" s="317"/>
      <c r="D3" s="317"/>
      <c r="E3" s="317"/>
      <c r="F3" s="317"/>
      <c r="G3" s="317"/>
      <c r="H3" s="317"/>
      <c r="I3" s="317"/>
    </row>
    <row r="4" spans="1:13" s="4" customFormat="1" ht="15.75" customHeight="1" x14ac:dyDescent="0.2">
      <c r="A4" s="372"/>
      <c r="B4" s="372"/>
      <c r="C4" s="372"/>
      <c r="D4" s="372"/>
      <c r="E4" s="372"/>
      <c r="F4" s="372"/>
      <c r="G4" s="372"/>
      <c r="H4" s="372"/>
      <c r="I4" s="372"/>
    </row>
    <row r="5" spans="1:13" s="31" customFormat="1" ht="36.6" customHeight="1" x14ac:dyDescent="0.35">
      <c r="A5" s="373" t="s">
        <v>13</v>
      </c>
      <c r="B5" s="373" t="s">
        <v>267</v>
      </c>
      <c r="C5" s="373" t="s">
        <v>268</v>
      </c>
      <c r="D5" s="373" t="s">
        <v>269</v>
      </c>
      <c r="E5" s="368" t="s">
        <v>270</v>
      </c>
      <c r="F5" s="368"/>
      <c r="G5" s="368"/>
      <c r="H5" s="368"/>
      <c r="I5" s="368"/>
    </row>
    <row r="6" spans="1:13" s="26" customFormat="1" ht="31.5" customHeight="1" x14ac:dyDescent="0.2">
      <c r="A6" s="373"/>
      <c r="B6" s="373"/>
      <c r="C6" s="373"/>
      <c r="D6" s="373"/>
      <c r="E6" s="32" t="s">
        <v>86</v>
      </c>
      <c r="F6" s="32" t="s">
        <v>87</v>
      </c>
      <c r="G6" s="32" t="s">
        <v>43</v>
      </c>
      <c r="H6" s="32" t="s">
        <v>271</v>
      </c>
      <c r="I6" s="32" t="s">
        <v>272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3">
        <v>1</v>
      </c>
      <c r="B8" s="34"/>
      <c r="C8" s="9" t="s">
        <v>141</v>
      </c>
      <c r="D8" s="35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6"/>
      <c r="L8" s="36"/>
      <c r="M8" s="36"/>
    </row>
    <row r="9" spans="1:13" s="26" customFormat="1" ht="38.25" customHeight="1" x14ac:dyDescent="0.2">
      <c r="A9" s="33">
        <v>2</v>
      </c>
      <c r="B9" s="9" t="s">
        <v>273</v>
      </c>
      <c r="C9" s="9" t="s">
        <v>274</v>
      </c>
      <c r="D9" s="152">
        <v>3.9E-2</v>
      </c>
      <c r="E9" s="28">
        <f>E8*D9</f>
        <v>0.15541851000000001</v>
      </c>
      <c r="F9" s="28">
        <f>F8*D9</f>
        <v>0.12299156999999999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3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3">
        <v>3</v>
      </c>
      <c r="B11" s="9" t="s">
        <v>275</v>
      </c>
      <c r="C11" s="9" t="s">
        <v>223</v>
      </c>
      <c r="D11" s="152">
        <v>2.1000000000000001E-2</v>
      </c>
      <c r="E11" s="28">
        <f>(E8+E9)*D11</f>
        <v>8.6950678710000007E-2</v>
      </c>
      <c r="F11" s="28"/>
      <c r="G11" s="28"/>
      <c r="H11" s="28" t="s">
        <v>109</v>
      </c>
      <c r="I11" s="28">
        <f>E11</f>
        <v>8.6950678710000007E-2</v>
      </c>
    </row>
    <row r="12" spans="1:13" s="26" customFormat="1" ht="45" customHeight="1" x14ac:dyDescent="0.2">
      <c r="A12" s="33">
        <v>4</v>
      </c>
      <c r="B12" s="9" t="s">
        <v>276</v>
      </c>
      <c r="C12" s="9" t="s">
        <v>277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7" t="s">
        <v>278</v>
      </c>
    </row>
    <row r="13" spans="1:13" s="26" customFormat="1" ht="13.15" customHeight="1" x14ac:dyDescent="0.2">
      <c r="A13" s="33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3">
        <v>5</v>
      </c>
      <c r="B14" s="9" t="s">
        <v>226</v>
      </c>
      <c r="C14" s="9" t="s">
        <v>279</v>
      </c>
      <c r="D14" s="152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2.3006417510044002</v>
      </c>
      <c r="I14" s="28">
        <f>H14</f>
        <v>2.3006417510044002</v>
      </c>
      <c r="J14" s="38">
        <f>(I8+I9+I11+I12)/1000</f>
        <v>0.10750662387871</v>
      </c>
    </row>
    <row r="15" spans="1:13" s="26" customFormat="1" ht="13.15" customHeight="1" x14ac:dyDescent="0.2">
      <c r="A15" s="33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3">
        <v>6</v>
      </c>
      <c r="B16" s="9" t="s">
        <v>280</v>
      </c>
      <c r="C16" s="9" t="s">
        <v>281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7" t="s">
        <v>282</v>
      </c>
    </row>
    <row r="17" spans="1:10" s="26" customFormat="1" ht="81.75" customHeight="1" x14ac:dyDescent="0.2">
      <c r="A17" s="33">
        <v>7</v>
      </c>
      <c r="B17" s="9" t="s">
        <v>280</v>
      </c>
      <c r="C17" s="136" t="s">
        <v>283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7"/>
    </row>
    <row r="18" spans="1:10" s="26" customFormat="1" ht="13.15" customHeight="1" x14ac:dyDescent="0.2">
      <c r="A18" s="33"/>
      <c r="B18" s="9"/>
      <c r="C18" s="9"/>
      <c r="D18" s="18"/>
      <c r="E18" s="28"/>
      <c r="F18" s="28"/>
      <c r="G18" s="28"/>
      <c r="H18" s="28"/>
      <c r="I18" s="28"/>
    </row>
    <row r="19" spans="1:10" s="40" customFormat="1" ht="13.15" customHeight="1" x14ac:dyDescent="0.2">
      <c r="A19" s="33">
        <v>8</v>
      </c>
      <c r="B19" s="9"/>
      <c r="C19" s="9" t="s">
        <v>284</v>
      </c>
      <c r="D19" s="39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7.7710448710044</v>
      </c>
      <c r="I19" s="28">
        <f>SUM(I8:I18)</f>
        <v>109.80726562971</v>
      </c>
    </row>
    <row r="20" spans="1:10" s="26" customFormat="1" ht="51" customHeight="1" x14ac:dyDescent="0.2">
      <c r="A20" s="33">
        <v>9</v>
      </c>
      <c r="B20" s="135" t="s">
        <v>285</v>
      </c>
      <c r="C20" s="9" t="s">
        <v>153</v>
      </c>
      <c r="D20" s="41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0.23313134613013001</v>
      </c>
      <c r="I20" s="28">
        <f>I19*3%</f>
        <v>3.2942179688914002</v>
      </c>
    </row>
    <row r="21" spans="1:10" s="29" customFormat="1" ht="13.15" customHeight="1" x14ac:dyDescent="0.2">
      <c r="A21" s="33">
        <v>10</v>
      </c>
      <c r="B21" s="9"/>
      <c r="C21" s="9" t="s">
        <v>286</v>
      </c>
      <c r="D21" s="42"/>
      <c r="E21" s="28"/>
      <c r="F21" s="28"/>
      <c r="G21" s="28"/>
      <c r="H21" s="28"/>
      <c r="I21" s="28">
        <f>I19+I20</f>
        <v>113.10148359861</v>
      </c>
    </row>
    <row r="22" spans="1:10" s="29" customFormat="1" ht="13.15" customHeight="1" x14ac:dyDescent="0.2">
      <c r="A22" s="43"/>
      <c r="B22" s="44"/>
      <c r="C22" s="44"/>
      <c r="D22" s="45"/>
      <c r="E22" s="46"/>
      <c r="F22" s="46"/>
      <c r="G22" s="46"/>
      <c r="H22" s="46"/>
      <c r="I22" s="46"/>
    </row>
    <row r="23" spans="1:10" x14ac:dyDescent="0.25">
      <c r="A23" s="4" t="s">
        <v>287</v>
      </c>
      <c r="B23" s="47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288</v>
      </c>
      <c r="B24" s="47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7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289</v>
      </c>
      <c r="B26" s="47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290</v>
      </c>
      <c r="B27" s="47"/>
      <c r="C27" s="4"/>
      <c r="D27" s="26"/>
      <c r="E27" s="26"/>
      <c r="F27" s="26"/>
      <c r="G27" s="26"/>
      <c r="H27" s="26"/>
      <c r="I27" s="26"/>
    </row>
    <row r="28" spans="1:10" x14ac:dyDescent="0.25">
      <c r="B28" s="48"/>
    </row>
    <row r="29" spans="1:10" x14ac:dyDescent="0.25">
      <c r="B29" s="48"/>
    </row>
    <row r="30" spans="1:10" x14ac:dyDescent="0.25">
      <c r="B30" s="48"/>
    </row>
    <row r="31" spans="1:10" x14ac:dyDescent="0.25">
      <c r="B31" s="48"/>
    </row>
    <row r="32" spans="1:10" x14ac:dyDescent="0.25">
      <c r="B32" s="48"/>
    </row>
    <row r="33" spans="2:2" x14ac:dyDescent="0.25">
      <c r="B33" s="48"/>
    </row>
    <row r="34" spans="2:2" x14ac:dyDescent="0.25">
      <c r="B34" s="48"/>
    </row>
    <row r="35" spans="2:2" x14ac:dyDescent="0.25">
      <c r="B35" s="48"/>
    </row>
    <row r="36" spans="2:2" x14ac:dyDescent="0.25">
      <c r="B36" s="48"/>
    </row>
    <row r="37" spans="2:2" x14ac:dyDescent="0.25">
      <c r="B37" s="48"/>
    </row>
    <row r="38" spans="2:2" x14ac:dyDescent="0.25">
      <c r="B38" s="48"/>
    </row>
    <row r="39" spans="2:2" x14ac:dyDescent="0.25">
      <c r="B39" s="48"/>
    </row>
    <row r="40" spans="2:2" x14ac:dyDescent="0.25">
      <c r="B40" s="48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49" customWidth="1"/>
    <col min="3" max="3" width="66.42578125" style="49" customWidth="1"/>
    <col min="4" max="4" width="12.7109375" style="49" customWidth="1" outlineLevel="1"/>
    <col min="5" max="5" width="13.7109375" style="49" customWidth="1" outlineLevel="1"/>
    <col min="6" max="6" width="12.28515625" style="49" customWidth="1" outlineLevel="1"/>
    <col min="7" max="7" width="14.42578125" style="50" customWidth="1" outlineLevel="1"/>
    <col min="8" max="8" width="12.7109375" style="50" customWidth="1" outlineLevel="1"/>
    <col min="9" max="9" width="17.42578125" style="50" customWidth="1"/>
    <col min="10" max="10" width="12.7109375" style="49" customWidth="1"/>
    <col min="11" max="11" width="14.28515625" style="49" customWidth="1"/>
    <col min="12" max="12" width="14.5703125" style="49" customWidth="1"/>
    <col min="13" max="13" width="14.28515625" style="49" customWidth="1"/>
    <col min="14" max="14" width="12.7109375" style="49" customWidth="1"/>
    <col min="15" max="15" width="26.140625" style="49" customWidth="1"/>
    <col min="16" max="16" width="15.7109375" style="51" customWidth="1"/>
    <col min="17" max="17" width="9.28515625" style="51"/>
  </cols>
  <sheetData>
    <row r="2" spans="1:16" x14ac:dyDescent="0.25">
      <c r="N2" s="378" t="s">
        <v>291</v>
      </c>
      <c r="O2" s="378"/>
    </row>
    <row r="3" spans="1:16" x14ac:dyDescent="0.25">
      <c r="A3" s="379" t="s">
        <v>292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</row>
    <row r="5" spans="1:16" s="49" customFormat="1" ht="37.5" customHeight="1" x14ac:dyDescent="0.25">
      <c r="A5" s="380" t="s">
        <v>293</v>
      </c>
      <c r="B5" s="383" t="s">
        <v>294</v>
      </c>
      <c r="C5" s="386" t="s">
        <v>295</v>
      </c>
      <c r="D5" s="389" t="s">
        <v>296</v>
      </c>
      <c r="E5" s="390"/>
      <c r="F5" s="390"/>
      <c r="G5" s="390"/>
      <c r="H5" s="390"/>
      <c r="I5" s="389" t="s">
        <v>297</v>
      </c>
      <c r="J5" s="390"/>
      <c r="K5" s="390"/>
      <c r="L5" s="390"/>
      <c r="M5" s="390"/>
      <c r="N5" s="390"/>
      <c r="O5" s="52" t="s">
        <v>298</v>
      </c>
    </row>
    <row r="6" spans="1:16" s="55" customFormat="1" ht="150" customHeight="1" x14ac:dyDescent="0.25">
      <c r="A6" s="381"/>
      <c r="B6" s="384"/>
      <c r="C6" s="387"/>
      <c r="D6" s="386" t="s">
        <v>299</v>
      </c>
      <c r="E6" s="391" t="s">
        <v>300</v>
      </c>
      <c r="F6" s="392"/>
      <c r="G6" s="393"/>
      <c r="H6" s="53" t="s">
        <v>301</v>
      </c>
      <c r="I6" s="394" t="s">
        <v>302</v>
      </c>
      <c r="J6" s="394" t="s">
        <v>299</v>
      </c>
      <c r="K6" s="395" t="s">
        <v>300</v>
      </c>
      <c r="L6" s="395"/>
      <c r="M6" s="395"/>
      <c r="N6" s="53" t="s">
        <v>301</v>
      </c>
      <c r="O6" s="54" t="s">
        <v>303</v>
      </c>
    </row>
    <row r="7" spans="1:16" s="55" customFormat="1" ht="30.75" customHeight="1" x14ac:dyDescent="0.25">
      <c r="A7" s="382"/>
      <c r="B7" s="385"/>
      <c r="C7" s="388"/>
      <c r="D7" s="388"/>
      <c r="E7" s="52" t="s">
        <v>86</v>
      </c>
      <c r="F7" s="52" t="s">
        <v>87</v>
      </c>
      <c r="G7" s="52" t="s">
        <v>43</v>
      </c>
      <c r="H7" s="56" t="s">
        <v>304</v>
      </c>
      <c r="I7" s="394"/>
      <c r="J7" s="394"/>
      <c r="K7" s="52" t="s">
        <v>86</v>
      </c>
      <c r="L7" s="52" t="s">
        <v>87</v>
      </c>
      <c r="M7" s="52" t="s">
        <v>43</v>
      </c>
      <c r="N7" s="56" t="s">
        <v>304</v>
      </c>
      <c r="O7" s="52" t="s">
        <v>305</v>
      </c>
    </row>
    <row r="8" spans="1:16" s="55" customFormat="1" x14ac:dyDescent="0.25">
      <c r="A8" s="57">
        <v>1</v>
      </c>
      <c r="B8" s="57">
        <v>2</v>
      </c>
      <c r="C8" s="57">
        <v>3</v>
      </c>
      <c r="D8" s="57">
        <v>4</v>
      </c>
      <c r="E8" s="57">
        <v>5</v>
      </c>
      <c r="F8" s="57">
        <v>6</v>
      </c>
      <c r="G8" s="57">
        <v>7</v>
      </c>
      <c r="H8" s="57">
        <v>8</v>
      </c>
      <c r="I8" s="57">
        <v>9</v>
      </c>
      <c r="J8" s="57">
        <v>10</v>
      </c>
      <c r="K8" s="57">
        <v>11</v>
      </c>
      <c r="L8" s="57">
        <v>12</v>
      </c>
      <c r="M8" s="57">
        <v>13</v>
      </c>
      <c r="N8" s="57">
        <v>14</v>
      </c>
      <c r="O8" s="57">
        <v>15</v>
      </c>
    </row>
    <row r="9" spans="1:16" s="55" customFormat="1" ht="102.75" customHeight="1" x14ac:dyDescent="0.25">
      <c r="A9" s="57">
        <v>1</v>
      </c>
      <c r="B9" s="380" t="s">
        <v>306</v>
      </c>
      <c r="C9" s="58" t="s">
        <v>307</v>
      </c>
      <c r="D9" s="59">
        <f t="shared" ref="D9:D15" si="0">SUM(E9:G9)</f>
        <v>583.41863000000001</v>
      </c>
      <c r="E9" s="60">
        <f>340656.93/1000</f>
        <v>340.65692999999999</v>
      </c>
      <c r="F9" s="60">
        <f>242761.7/1000</f>
        <v>242.76169999999999</v>
      </c>
      <c r="G9" s="60">
        <v>0</v>
      </c>
      <c r="H9" s="59">
        <f>(713.49*0.8)/1000</f>
        <v>0.57079199999999997</v>
      </c>
      <c r="I9" s="59">
        <v>11656.266250000001</v>
      </c>
      <c r="J9" s="59">
        <f t="shared" ref="J9:J15" si="1">K9+L9+M9</f>
        <v>3553.0194566999999</v>
      </c>
      <c r="K9" s="60">
        <f>E9*H22</f>
        <v>2074.6007036999999</v>
      </c>
      <c r="L9" s="60">
        <f>F9*H22</f>
        <v>1478.4187529999999</v>
      </c>
      <c r="M9" s="60">
        <f>G9*H24</f>
        <v>0</v>
      </c>
      <c r="N9" s="59">
        <f>H9*H25</f>
        <v>6.48990504</v>
      </c>
      <c r="O9" s="61">
        <f t="shared" ref="O9:O15" si="2">N9/(L9+M9)</f>
        <v>4.389761038157E-3</v>
      </c>
    </row>
    <row r="10" spans="1:16" s="55" customFormat="1" ht="54.75" customHeight="1" x14ac:dyDescent="0.25">
      <c r="A10" s="56">
        <v>2</v>
      </c>
      <c r="B10" s="382"/>
      <c r="C10" s="62" t="s">
        <v>308</v>
      </c>
      <c r="D10" s="59">
        <f t="shared" si="0"/>
        <v>2228.558</v>
      </c>
      <c r="E10" s="59">
        <f>430700/1000</f>
        <v>430.7</v>
      </c>
      <c r="F10" s="59">
        <f>1797858/1000</f>
        <v>1797.8579999999999</v>
      </c>
      <c r="G10" s="59">
        <v>0</v>
      </c>
      <c r="H10" s="59">
        <f>1685/1000</f>
        <v>1.6850000000000001</v>
      </c>
      <c r="I10" s="59">
        <f>15834377.63/1000</f>
        <v>15834.377630000001</v>
      </c>
      <c r="J10" s="59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59">
        <f>H10*I25</f>
        <v>14.1877</v>
      </c>
      <c r="O10" s="61">
        <f t="shared" si="2"/>
        <v>1.2253798721652001E-3</v>
      </c>
      <c r="P10" s="63"/>
    </row>
    <row r="11" spans="1:16" s="55" customFormat="1" ht="24.6" customHeight="1" x14ac:dyDescent="0.25">
      <c r="A11" s="57">
        <v>3</v>
      </c>
      <c r="B11" s="380" t="s">
        <v>309</v>
      </c>
      <c r="C11" s="62" t="s">
        <v>310</v>
      </c>
      <c r="D11" s="59">
        <f t="shared" si="0"/>
        <v>22378.080000000002</v>
      </c>
      <c r="E11" s="60">
        <v>15858.44</v>
      </c>
      <c r="F11" s="60">
        <v>6519.64</v>
      </c>
      <c r="G11" s="60">
        <v>0</v>
      </c>
      <c r="H11" s="59">
        <v>9.7100000000000009</v>
      </c>
      <c r="I11" s="59">
        <v>170961.79</v>
      </c>
      <c r="J11" s="59">
        <f t="shared" si="1"/>
        <v>129121.52159999999</v>
      </c>
      <c r="K11" s="59">
        <f>E11*J22</f>
        <v>91503.198799999998</v>
      </c>
      <c r="L11" s="59">
        <f>F11*J22</f>
        <v>37618.322800000002</v>
      </c>
      <c r="M11" s="59">
        <f>G11*J24</f>
        <v>0</v>
      </c>
      <c r="N11" s="59">
        <f>H11*J25</f>
        <v>154.48609999999999</v>
      </c>
      <c r="O11" s="61">
        <f t="shared" si="2"/>
        <v>4.1066716562919003E-3</v>
      </c>
    </row>
    <row r="12" spans="1:16" s="55" customFormat="1" ht="31.9" customHeight="1" x14ac:dyDescent="0.25">
      <c r="A12" s="56">
        <v>4</v>
      </c>
      <c r="B12" s="382"/>
      <c r="C12" s="62" t="s">
        <v>311</v>
      </c>
      <c r="D12" s="59">
        <f t="shared" si="0"/>
        <v>93405.18</v>
      </c>
      <c r="E12" s="60">
        <v>53163.12</v>
      </c>
      <c r="F12" s="60">
        <v>40153.81</v>
      </c>
      <c r="G12" s="60">
        <v>88.25</v>
      </c>
      <c r="H12" s="59">
        <v>33.76</v>
      </c>
      <c r="I12" s="59">
        <v>725870.83</v>
      </c>
      <c r="J12" s="59">
        <f t="shared" si="1"/>
        <v>538845.47</v>
      </c>
      <c r="K12" s="59">
        <v>306751.18</v>
      </c>
      <c r="L12" s="59">
        <v>231687.44</v>
      </c>
      <c r="M12" s="59">
        <v>406.85</v>
      </c>
      <c r="N12" s="59">
        <v>537.07000000000005</v>
      </c>
      <c r="O12" s="61">
        <f t="shared" si="2"/>
        <v>2.3140164284093001E-3</v>
      </c>
    </row>
    <row r="13" spans="1:16" s="55" customFormat="1" ht="60" customHeight="1" x14ac:dyDescent="0.25">
      <c r="A13" s="57">
        <v>5</v>
      </c>
      <c r="B13" s="380" t="s">
        <v>312</v>
      </c>
      <c r="C13" s="58" t="s">
        <v>313</v>
      </c>
      <c r="D13" s="59">
        <f t="shared" si="0"/>
        <v>52119.83</v>
      </c>
      <c r="E13" s="60">
        <v>15198.48</v>
      </c>
      <c r="F13" s="60">
        <v>31977.3</v>
      </c>
      <c r="G13" s="60">
        <v>4944.05</v>
      </c>
      <c r="H13" s="59">
        <v>16.13</v>
      </c>
      <c r="I13" s="59">
        <v>2024759.04</v>
      </c>
      <c r="J13" s="59">
        <f t="shared" si="1"/>
        <v>267889.86339999997</v>
      </c>
      <c r="K13" s="60">
        <f>E13*L22</f>
        <v>79488.050399999993</v>
      </c>
      <c r="L13" s="60">
        <f>F13*L22</f>
        <v>167241.27900000001</v>
      </c>
      <c r="M13" s="60">
        <f>G13*L24</f>
        <v>21160.534</v>
      </c>
      <c r="N13" s="59">
        <f>H13*L25</f>
        <v>231.46549999999999</v>
      </c>
      <c r="O13" s="61">
        <f t="shared" si="2"/>
        <v>1.2285736337367E-3</v>
      </c>
    </row>
    <row r="14" spans="1:16" s="55" customFormat="1" ht="39.6" customHeight="1" x14ac:dyDescent="0.25">
      <c r="A14" s="56">
        <v>6</v>
      </c>
      <c r="B14" s="382"/>
      <c r="C14" s="62" t="s">
        <v>314</v>
      </c>
      <c r="D14" s="59">
        <f t="shared" si="0"/>
        <v>89613.6</v>
      </c>
      <c r="E14" s="59">
        <v>44598.73</v>
      </c>
      <c r="F14" s="59">
        <v>40017</v>
      </c>
      <c r="G14" s="59">
        <v>4997.87</v>
      </c>
      <c r="H14" s="59">
        <f>7.69+81.8</f>
        <v>89.49</v>
      </c>
      <c r="I14" s="59">
        <v>738823.57</v>
      </c>
      <c r="J14" s="59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23240.095499999999</v>
      </c>
      <c r="N14" s="59">
        <f>H14*M25</f>
        <v>1423.7859000000001</v>
      </c>
      <c r="O14" s="61">
        <f t="shared" si="2"/>
        <v>5.6024083795152002E-3</v>
      </c>
    </row>
    <row r="15" spans="1:16" s="55" customFormat="1" ht="46.15" customHeight="1" x14ac:dyDescent="0.25">
      <c r="A15" s="57">
        <v>7</v>
      </c>
      <c r="B15" s="64" t="s">
        <v>315</v>
      </c>
      <c r="C15" s="62" t="s">
        <v>316</v>
      </c>
      <c r="D15" s="59">
        <f t="shared" si="0"/>
        <v>981651.63</v>
      </c>
      <c r="E15" s="60">
        <v>448398.51</v>
      </c>
      <c r="F15" s="60">
        <v>486091.33</v>
      </c>
      <c r="G15" s="60">
        <v>47161.79</v>
      </c>
      <c r="H15" s="59">
        <v>143.03</v>
      </c>
      <c r="I15" s="59">
        <v>16001185.93</v>
      </c>
      <c r="J15" s="59">
        <f t="shared" si="1"/>
        <v>6269109.2307000002</v>
      </c>
      <c r="K15" s="59">
        <f>123094.59*N22+325303.92*N23</f>
        <v>2908258.6863000002</v>
      </c>
      <c r="L15" s="59">
        <f>110226.08*N22+375865.25*N23</f>
        <v>3158998.0832000002</v>
      </c>
      <c r="M15" s="59">
        <f>G15*N24</f>
        <v>201852.46119999999</v>
      </c>
      <c r="N15" s="59">
        <f>H15*N25</f>
        <v>1185.7186999999999</v>
      </c>
      <c r="O15" s="61">
        <f t="shared" si="2"/>
        <v>3.5280316227560002E-4</v>
      </c>
    </row>
    <row r="16" spans="1:16" s="55" customFormat="1" ht="24" customHeight="1" x14ac:dyDescent="0.25">
      <c r="A16" s="65"/>
      <c r="B16" s="65"/>
      <c r="C16" s="66" t="s">
        <v>317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2.7456591672216E-3</v>
      </c>
    </row>
    <row r="17" spans="1:15" s="55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318</v>
      </c>
    </row>
    <row r="19" spans="1:15" ht="30.75" customHeight="1" x14ac:dyDescent="0.25">
      <c r="L19" s="74"/>
    </row>
    <row r="20" spans="1:15" ht="15" customHeight="1" outlineLevel="1" x14ac:dyDescent="0.25">
      <c r="G20" s="377" t="s">
        <v>319</v>
      </c>
      <c r="H20" s="377"/>
      <c r="I20" s="377"/>
      <c r="J20" s="377"/>
      <c r="K20" s="377"/>
      <c r="L20" s="377"/>
      <c r="M20" s="377"/>
      <c r="N20" s="377"/>
      <c r="O20" s="51"/>
    </row>
    <row r="21" spans="1:15" ht="15.75" customHeight="1" outlineLevel="1" x14ac:dyDescent="0.25">
      <c r="G21" s="75"/>
      <c r="H21" s="75" t="s">
        <v>320</v>
      </c>
      <c r="I21" s="75" t="s">
        <v>321</v>
      </c>
      <c r="J21" s="76" t="s">
        <v>322</v>
      </c>
      <c r="K21" s="77" t="s">
        <v>323</v>
      </c>
      <c r="L21" s="75" t="s">
        <v>324</v>
      </c>
      <c r="M21" s="75" t="s">
        <v>325</v>
      </c>
      <c r="N21" s="76" t="s">
        <v>326</v>
      </c>
      <c r="O21" s="78"/>
    </row>
    <row r="22" spans="1:15" ht="15.75" customHeight="1" outlineLevel="1" x14ac:dyDescent="0.25">
      <c r="G22" s="375" t="s">
        <v>327</v>
      </c>
      <c r="H22" s="374">
        <v>6.09</v>
      </c>
      <c r="I22" s="376">
        <v>6.44</v>
      </c>
      <c r="J22" s="374">
        <v>5.77</v>
      </c>
      <c r="K22" s="376">
        <v>5.77</v>
      </c>
      <c r="L22" s="374">
        <v>5.23</v>
      </c>
      <c r="M22" s="374">
        <v>5.77</v>
      </c>
      <c r="N22" s="79">
        <v>6.29</v>
      </c>
      <c r="O22" s="50" t="s">
        <v>328</v>
      </c>
    </row>
    <row r="23" spans="1:15" ht="15.75" customHeight="1" outlineLevel="1" x14ac:dyDescent="0.25">
      <c r="G23" s="375"/>
      <c r="H23" s="374"/>
      <c r="I23" s="376"/>
      <c r="J23" s="374"/>
      <c r="K23" s="376"/>
      <c r="L23" s="374"/>
      <c r="M23" s="374"/>
      <c r="N23" s="79">
        <v>6.56</v>
      </c>
      <c r="O23" s="50" t="s">
        <v>329</v>
      </c>
    </row>
    <row r="24" spans="1:15" ht="15.75" customHeight="1" outlineLevel="1" x14ac:dyDescent="0.25">
      <c r="G24" s="80" t="s">
        <v>330</v>
      </c>
      <c r="H24" s="81">
        <v>4.46</v>
      </c>
      <c r="I24" s="82">
        <v>4.28</v>
      </c>
      <c r="J24" s="83">
        <v>4.6500000000000004</v>
      </c>
      <c r="K24" s="77">
        <v>4.6100000000000003</v>
      </c>
      <c r="L24" s="81">
        <v>4.28</v>
      </c>
      <c r="M24" s="79">
        <v>4.6500000000000004</v>
      </c>
      <c r="N24" s="79">
        <v>4.28</v>
      </c>
      <c r="O24" s="78"/>
    </row>
    <row r="25" spans="1:15" ht="15.75" customHeight="1" outlineLevel="1" x14ac:dyDescent="0.25">
      <c r="G25" s="80" t="s">
        <v>304</v>
      </c>
      <c r="H25" s="81">
        <v>11.37</v>
      </c>
      <c r="I25" s="84">
        <v>8.42</v>
      </c>
      <c r="J25" s="83">
        <v>15.91</v>
      </c>
      <c r="K25" s="77">
        <v>15.91</v>
      </c>
      <c r="L25" s="81">
        <v>14.35</v>
      </c>
      <c r="M25" s="79">
        <v>15.91</v>
      </c>
      <c r="N25" s="79">
        <v>8.2899999999999991</v>
      </c>
      <c r="O25" s="78"/>
    </row>
    <row r="26" spans="1:15" s="49" customFormat="1" ht="31.5" customHeight="1" outlineLevel="1" x14ac:dyDescent="0.25">
      <c r="G26" s="80" t="s">
        <v>331</v>
      </c>
      <c r="H26" s="81">
        <v>3.83</v>
      </c>
      <c r="I26" s="82">
        <v>3.95</v>
      </c>
      <c r="J26" s="83">
        <v>4.1500000000000004</v>
      </c>
      <c r="K26" s="77">
        <v>3.83</v>
      </c>
      <c r="L26" s="77">
        <v>3.95</v>
      </c>
      <c r="M26" s="79">
        <v>4.09</v>
      </c>
      <c r="N26" s="79">
        <v>3.95</v>
      </c>
      <c r="O26" s="78"/>
    </row>
    <row r="27" spans="1:15" s="49" customFormat="1" ht="31.5" customHeight="1" outlineLevel="1" x14ac:dyDescent="0.25">
      <c r="G27" s="80" t="s">
        <v>332</v>
      </c>
      <c r="H27" s="81">
        <v>3.91</v>
      </c>
      <c r="I27" s="82">
        <v>3.99</v>
      </c>
      <c r="J27" s="83">
        <v>4.2300000000000004</v>
      </c>
      <c r="K27" s="77">
        <v>3.91</v>
      </c>
      <c r="L27" s="77">
        <v>3.99</v>
      </c>
      <c r="M27" s="79">
        <v>4.17</v>
      </c>
      <c r="N27" s="79">
        <v>3.99</v>
      </c>
      <c r="O27" s="78"/>
    </row>
    <row r="28" spans="1:15" s="49" customFormat="1" ht="15.75" customHeight="1" outlineLevel="1" x14ac:dyDescent="0.25">
      <c r="G28" s="80" t="s">
        <v>271</v>
      </c>
      <c r="H28" s="81">
        <v>8.7899999999999991</v>
      </c>
      <c r="I28" s="81">
        <v>8.7899999999999991</v>
      </c>
      <c r="J28" s="83">
        <v>9.19</v>
      </c>
      <c r="K28" s="77">
        <v>9.1</v>
      </c>
      <c r="L28" s="81">
        <v>8.42</v>
      </c>
      <c r="M28" s="79">
        <v>9.19</v>
      </c>
      <c r="N28" s="79">
        <v>8.42</v>
      </c>
      <c r="O28" s="78"/>
    </row>
    <row r="29" spans="1:15" s="49" customFormat="1" x14ac:dyDescent="0.25">
      <c r="G29" s="50"/>
      <c r="H29" s="50"/>
      <c r="I29" s="50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6" customWidth="1"/>
    <col min="2" max="2" width="9.85546875" style="86" customWidth="1"/>
    <col min="3" max="3" width="65.140625" style="86" customWidth="1"/>
    <col min="4" max="4" width="18.7109375" style="86" customWidth="1"/>
    <col min="5" max="5" width="17.7109375" style="86" customWidth="1"/>
    <col min="6" max="6" width="12.7109375" style="86" customWidth="1"/>
    <col min="7" max="7" width="14.28515625" style="86" customWidth="1"/>
    <col min="8" max="8" width="13.85546875" style="86" customWidth="1"/>
    <col min="9" max="9" width="17.140625" style="86" customWidth="1"/>
    <col min="10" max="10" width="14.42578125" style="86" customWidth="1"/>
    <col min="11" max="12" width="12.7109375" style="86" customWidth="1"/>
    <col min="13" max="13" width="15.7109375" style="86" customWidth="1"/>
    <col min="14" max="14" width="18.42578125" style="86" customWidth="1"/>
    <col min="15" max="15" width="18.7109375" style="86" customWidth="1"/>
    <col min="16" max="16" width="18" style="86" customWidth="1"/>
    <col min="17" max="17" width="17" style="86" customWidth="1"/>
    <col min="18" max="18" width="16.5703125" style="87" customWidth="1"/>
    <col min="19" max="19" width="9.28515625" style="51"/>
  </cols>
  <sheetData>
    <row r="2" spans="1:18" ht="18.75" customHeight="1" x14ac:dyDescent="0.25">
      <c r="A2" s="396" t="s">
        <v>333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</row>
    <row r="4" spans="1:18" ht="36.75" customHeight="1" x14ac:dyDescent="0.25">
      <c r="A4" s="380" t="s">
        <v>293</v>
      </c>
      <c r="B4" s="383" t="s">
        <v>294</v>
      </c>
      <c r="C4" s="386" t="s">
        <v>334</v>
      </c>
      <c r="D4" s="386" t="s">
        <v>335</v>
      </c>
      <c r="E4" s="389" t="s">
        <v>336</v>
      </c>
      <c r="F4" s="390"/>
      <c r="G4" s="390"/>
      <c r="H4" s="390"/>
      <c r="I4" s="390"/>
      <c r="J4" s="390"/>
      <c r="K4" s="390"/>
      <c r="L4" s="390"/>
      <c r="M4" s="390"/>
      <c r="N4" s="397" t="s">
        <v>337</v>
      </c>
      <c r="O4" s="398"/>
      <c r="P4" s="398"/>
      <c r="Q4" s="398"/>
      <c r="R4" s="399"/>
    </row>
    <row r="5" spans="1:18" ht="60" customHeight="1" x14ac:dyDescent="0.25">
      <c r="A5" s="381"/>
      <c r="B5" s="384"/>
      <c r="C5" s="387"/>
      <c r="D5" s="387"/>
      <c r="E5" s="394" t="s">
        <v>338</v>
      </c>
      <c r="F5" s="394" t="s">
        <v>339</v>
      </c>
      <c r="G5" s="391" t="s">
        <v>300</v>
      </c>
      <c r="H5" s="392"/>
      <c r="I5" s="392"/>
      <c r="J5" s="393"/>
      <c r="K5" s="394" t="s">
        <v>340</v>
      </c>
      <c r="L5" s="394"/>
      <c r="M5" s="394"/>
      <c r="N5" s="88" t="s">
        <v>341</v>
      </c>
      <c r="O5" s="88" t="s">
        <v>342</v>
      </c>
      <c r="P5" s="89" t="s">
        <v>343</v>
      </c>
      <c r="Q5" s="90" t="s">
        <v>344</v>
      </c>
      <c r="R5" s="89" t="s">
        <v>345</v>
      </c>
    </row>
    <row r="6" spans="1:18" ht="49.5" customHeight="1" x14ac:dyDescent="0.25">
      <c r="A6" s="382"/>
      <c r="B6" s="385"/>
      <c r="C6" s="388"/>
      <c r="D6" s="388"/>
      <c r="E6" s="394"/>
      <c r="F6" s="394"/>
      <c r="G6" s="52" t="s">
        <v>86</v>
      </c>
      <c r="H6" s="52" t="s">
        <v>87</v>
      </c>
      <c r="I6" s="91" t="s">
        <v>43</v>
      </c>
      <c r="J6" s="91" t="s">
        <v>271</v>
      </c>
      <c r="K6" s="52" t="s">
        <v>341</v>
      </c>
      <c r="L6" s="52" t="s">
        <v>342</v>
      </c>
      <c r="M6" s="52" t="s">
        <v>343</v>
      </c>
      <c r="N6" s="91" t="s">
        <v>346</v>
      </c>
      <c r="O6" s="91" t="s">
        <v>347</v>
      </c>
      <c r="P6" s="91" t="s">
        <v>348</v>
      </c>
      <c r="Q6" s="92" t="s">
        <v>349</v>
      </c>
      <c r="R6" s="93" t="s">
        <v>350</v>
      </c>
    </row>
    <row r="7" spans="1:18" ht="16.5" customHeight="1" x14ac:dyDescent="0.25">
      <c r="A7" s="94"/>
      <c r="B7" s="95"/>
      <c r="C7" s="96"/>
      <c r="D7" s="96"/>
      <c r="E7" s="85"/>
      <c r="F7" s="85"/>
      <c r="G7" s="85"/>
      <c r="H7" s="85"/>
      <c r="I7" s="96"/>
      <c r="J7" s="96"/>
      <c r="K7" s="85"/>
      <c r="L7" s="85"/>
      <c r="M7" s="85"/>
      <c r="N7" s="96"/>
      <c r="O7" s="96"/>
      <c r="P7" s="96"/>
      <c r="Q7" s="92"/>
      <c r="R7" s="97"/>
    </row>
    <row r="8" spans="1:18" x14ac:dyDescent="0.25">
      <c r="A8" s="94">
        <v>1</v>
      </c>
      <c r="B8" s="94"/>
      <c r="C8" s="94">
        <v>2</v>
      </c>
      <c r="D8" s="94">
        <v>3</v>
      </c>
      <c r="E8" s="94">
        <v>4</v>
      </c>
      <c r="F8" s="94">
        <v>5</v>
      </c>
      <c r="G8" s="94">
        <v>6</v>
      </c>
      <c r="H8" s="94">
        <v>7</v>
      </c>
      <c r="I8" s="94">
        <v>8</v>
      </c>
      <c r="J8" s="94">
        <v>9</v>
      </c>
      <c r="K8" s="94">
        <v>10</v>
      </c>
      <c r="L8" s="94">
        <v>11</v>
      </c>
      <c r="M8" s="94">
        <v>12</v>
      </c>
      <c r="N8" s="94">
        <v>13</v>
      </c>
      <c r="O8" s="94">
        <v>14</v>
      </c>
      <c r="P8" s="94">
        <v>15</v>
      </c>
      <c r="Q8" s="94">
        <v>16</v>
      </c>
      <c r="R8" s="94">
        <v>17</v>
      </c>
    </row>
    <row r="9" spans="1:18" ht="102.6" customHeight="1" x14ac:dyDescent="0.25">
      <c r="A9" s="380">
        <v>1</v>
      </c>
      <c r="B9" s="380" t="s">
        <v>351</v>
      </c>
      <c r="C9" s="400" t="s">
        <v>307</v>
      </c>
      <c r="D9" s="98" t="s">
        <v>352</v>
      </c>
      <c r="E9" s="99">
        <v>11656.266250000001</v>
      </c>
      <c r="F9" s="99">
        <f t="shared" ref="F9:F14" si="0">G9+H9+I9</f>
        <v>9442.6878704999999</v>
      </c>
      <c r="G9" s="99">
        <f>G10*E28</f>
        <v>2331.6699567000001</v>
      </c>
      <c r="H9" s="99">
        <f>H10*E28</f>
        <v>1695.3600216</v>
      </c>
      <c r="I9" s="99">
        <f>I10*E30</f>
        <v>5415.6578921999999</v>
      </c>
      <c r="J9" s="99"/>
      <c r="K9" s="99">
        <f>K10*1.19*E33</f>
        <v>136.37044035299999</v>
      </c>
      <c r="L9" s="99">
        <v>0</v>
      </c>
      <c r="M9" s="99">
        <f>M10*1.266*E34</f>
        <v>66.539350027799998</v>
      </c>
      <c r="N9" s="100">
        <f t="shared" ref="N9:N22" si="1">K9/(G9+H9)</f>
        <v>3.3863775806946002E-2</v>
      </c>
      <c r="O9" s="100">
        <f t="shared" ref="O9:O22" si="2">L9/(G9+H9)</f>
        <v>0</v>
      </c>
      <c r="P9" s="100">
        <f t="shared" ref="P9:P22" si="3">M9/(G9+H9)</f>
        <v>1.652318219292E-2</v>
      </c>
      <c r="Q9" s="101">
        <v>0</v>
      </c>
      <c r="R9" s="102">
        <f>N9+O9+P9+Q9</f>
        <v>5.0386957999864999E-2</v>
      </c>
    </row>
    <row r="10" spans="1:18" ht="72.599999999999994" hidden="1" customHeight="1" x14ac:dyDescent="0.25">
      <c r="A10" s="382"/>
      <c r="B10" s="381"/>
      <c r="C10" s="401"/>
      <c r="D10" s="98" t="s">
        <v>353</v>
      </c>
      <c r="E10" s="99">
        <v>2179.8248199999998</v>
      </c>
      <c r="F10" s="99">
        <f t="shared" si="0"/>
        <v>1875.52594</v>
      </c>
      <c r="G10" s="99">
        <f>382868.63/1000</f>
        <v>382.86863</v>
      </c>
      <c r="H10" s="99">
        <f>278384.24/1000</f>
        <v>278.38423999999998</v>
      </c>
      <c r="I10" s="99">
        <f>1214273.07/1000</f>
        <v>1214.27307</v>
      </c>
      <c r="J10" s="99"/>
      <c r="K10" s="99">
        <f>29920.89/1000</f>
        <v>29.92089</v>
      </c>
      <c r="L10" s="99">
        <v>0</v>
      </c>
      <c r="M10" s="99">
        <f>13442.13/1000</f>
        <v>13.442130000000001</v>
      </c>
      <c r="N10" s="100">
        <f t="shared" si="1"/>
        <v>4.5248786595059001E-2</v>
      </c>
      <c r="O10" s="100">
        <f t="shared" si="2"/>
        <v>0</v>
      </c>
      <c r="P10" s="100">
        <f t="shared" si="3"/>
        <v>2.0328274718868E-2</v>
      </c>
      <c r="Q10" s="101">
        <v>0</v>
      </c>
      <c r="R10" s="102"/>
    </row>
    <row r="11" spans="1:18" ht="192.75" customHeight="1" x14ac:dyDescent="0.25">
      <c r="A11" s="380">
        <v>2</v>
      </c>
      <c r="B11" s="381"/>
      <c r="C11" s="400" t="s">
        <v>354</v>
      </c>
      <c r="D11" s="103" t="s">
        <v>352</v>
      </c>
      <c r="E11" s="99">
        <v>688044.21</v>
      </c>
      <c r="F11" s="99">
        <f t="shared" si="0"/>
        <v>521424.06839999999</v>
      </c>
      <c r="G11" s="99">
        <f>G12*F28</f>
        <v>99804.705000000002</v>
      </c>
      <c r="H11" s="99">
        <f>H12*F28</f>
        <v>246917.90760000001</v>
      </c>
      <c r="I11" s="99">
        <f>I12*F30</f>
        <v>174701.4558</v>
      </c>
      <c r="J11" s="99"/>
      <c r="K11" s="99">
        <f>K12*1.19*F33</f>
        <v>8486.4829769999997</v>
      </c>
      <c r="L11" s="99">
        <f>L12*1.19*F33</f>
        <v>11572.501646999999</v>
      </c>
      <c r="M11" s="99">
        <f>M12*1.266*F34</f>
        <v>3883.6190735999999</v>
      </c>
      <c r="N11" s="100">
        <f t="shared" si="1"/>
        <v>2.4476289311970999E-2</v>
      </c>
      <c r="O11" s="100">
        <f t="shared" si="2"/>
        <v>3.3376829853179003E-2</v>
      </c>
      <c r="P11" s="100">
        <f t="shared" si="3"/>
        <v>1.1200939692042E-2</v>
      </c>
      <c r="Q11" s="101">
        <v>0</v>
      </c>
      <c r="R11" s="102">
        <f>N11+O11+P11+Q11</f>
        <v>6.9054058857192999E-2</v>
      </c>
    </row>
    <row r="12" spans="1:18" ht="100.9" hidden="1" customHeight="1" x14ac:dyDescent="0.25">
      <c r="A12" s="382"/>
      <c r="B12" s="382"/>
      <c r="C12" s="401"/>
      <c r="D12" s="103" t="s">
        <v>353</v>
      </c>
      <c r="E12" s="99">
        <v>116471.93</v>
      </c>
      <c r="F12" s="99">
        <f t="shared" si="0"/>
        <v>91466.75</v>
      </c>
      <c r="G12" s="99">
        <v>15053.5</v>
      </c>
      <c r="H12" s="99">
        <v>37242.519999999997</v>
      </c>
      <c r="I12" s="99">
        <v>39170.730000000003</v>
      </c>
      <c r="J12" s="99"/>
      <c r="K12" s="99">
        <v>1862.01</v>
      </c>
      <c r="L12" s="99">
        <v>2539.11</v>
      </c>
      <c r="M12" s="99">
        <v>784.56</v>
      </c>
      <c r="N12" s="100">
        <f t="shared" si="1"/>
        <v>3.5605195194586998E-2</v>
      </c>
      <c r="O12" s="100">
        <f t="shared" si="2"/>
        <v>4.8552643203058E-2</v>
      </c>
      <c r="P12" s="100">
        <f t="shared" si="3"/>
        <v>1.5002288893112999E-2</v>
      </c>
      <c r="Q12" s="101">
        <v>0</v>
      </c>
      <c r="R12" s="102"/>
    </row>
    <row r="13" spans="1:18" ht="49.15" customHeight="1" x14ac:dyDescent="0.25">
      <c r="A13" s="380">
        <v>3</v>
      </c>
      <c r="B13" s="380" t="s">
        <v>309</v>
      </c>
      <c r="C13" s="402" t="s">
        <v>310</v>
      </c>
      <c r="D13" s="98" t="s">
        <v>355</v>
      </c>
      <c r="E13" s="99">
        <v>170961.79</v>
      </c>
      <c r="F13" s="99">
        <f t="shared" si="0"/>
        <v>129121.52159999999</v>
      </c>
      <c r="G13" s="99">
        <f>G14*G28</f>
        <v>91503.198799999998</v>
      </c>
      <c r="H13" s="99">
        <f>H14*G28</f>
        <v>37618.322800000002</v>
      </c>
      <c r="I13" s="99">
        <f>I14*G30</f>
        <v>0</v>
      </c>
      <c r="J13" s="99"/>
      <c r="K13" s="59">
        <f>K14*1.19*G33</f>
        <v>1996.481088</v>
      </c>
      <c r="L13" s="59">
        <f>L14*1.19*G33</f>
        <v>2500.7293079999999</v>
      </c>
      <c r="M13" s="59">
        <f>M14*1.266*G34</f>
        <v>200.53819799999999</v>
      </c>
      <c r="N13" s="100">
        <f t="shared" si="1"/>
        <v>1.5462031915832E-2</v>
      </c>
      <c r="O13" s="100">
        <f t="shared" si="2"/>
        <v>1.9367254017862E-2</v>
      </c>
      <c r="P13" s="100">
        <f t="shared" si="3"/>
        <v>1.5530966140659E-3</v>
      </c>
      <c r="Q13" s="101">
        <v>4.5614105389631997E-3</v>
      </c>
      <c r="R13" s="102">
        <f>N13+O13+P13+Q13</f>
        <v>4.0943793086723003E-2</v>
      </c>
    </row>
    <row r="14" spans="1:18" ht="57" hidden="1" customHeight="1" x14ac:dyDescent="0.25">
      <c r="A14" s="382"/>
      <c r="B14" s="381"/>
      <c r="C14" s="403"/>
      <c r="D14" s="98" t="s">
        <v>353</v>
      </c>
      <c r="E14" s="99">
        <v>29033.31</v>
      </c>
      <c r="F14" s="99">
        <f t="shared" si="0"/>
        <v>22378.080000000002</v>
      </c>
      <c r="G14" s="99">
        <v>15858.44</v>
      </c>
      <c r="H14" s="99">
        <v>6519.64</v>
      </c>
      <c r="I14" s="99">
        <v>0</v>
      </c>
      <c r="J14" s="99"/>
      <c r="K14" s="59">
        <v>420.48</v>
      </c>
      <c r="L14" s="59">
        <v>526.67999999999995</v>
      </c>
      <c r="M14" s="59">
        <v>39.700000000000003</v>
      </c>
      <c r="N14" s="100">
        <f t="shared" si="1"/>
        <v>1.8789815748268001E-2</v>
      </c>
      <c r="O14" s="100">
        <f t="shared" si="2"/>
        <v>2.3535531198387E-2</v>
      </c>
      <c r="P14" s="100">
        <f t="shared" si="3"/>
        <v>1.7740574705247E-3</v>
      </c>
      <c r="Q14" s="101">
        <v>4.9753003421204997E-3</v>
      </c>
      <c r="R14" s="102"/>
    </row>
    <row r="15" spans="1:18" ht="67.900000000000006" customHeight="1" x14ac:dyDescent="0.25">
      <c r="A15" s="380">
        <v>4</v>
      </c>
      <c r="B15" s="381"/>
      <c r="C15" s="404" t="s">
        <v>311</v>
      </c>
      <c r="D15" s="104" t="s">
        <v>355</v>
      </c>
      <c r="E15" s="99">
        <v>725870.83</v>
      </c>
      <c r="F15" s="99">
        <v>551588.679</v>
      </c>
      <c r="G15" s="99">
        <v>319494.33</v>
      </c>
      <c r="H15" s="99">
        <v>231687.44</v>
      </c>
      <c r="I15" s="99">
        <v>406.85</v>
      </c>
      <c r="J15" s="99"/>
      <c r="K15" s="99">
        <v>12415.71</v>
      </c>
      <c r="L15" s="99">
        <v>14808.286339</v>
      </c>
      <c r="M15" s="99">
        <v>3822.96</v>
      </c>
      <c r="N15" s="100">
        <f t="shared" si="1"/>
        <v>2.2525618000755001E-2</v>
      </c>
      <c r="O15" s="100">
        <f t="shared" si="2"/>
        <v>2.6866429814977E-2</v>
      </c>
      <c r="P15" s="100">
        <f t="shared" si="3"/>
        <v>6.9359333128888E-3</v>
      </c>
      <c r="Q15" s="101">
        <v>3.5515340532281999E-3</v>
      </c>
      <c r="R15" s="102">
        <f>N15+O15+P15+Q15</f>
        <v>5.9879515181849002E-2</v>
      </c>
    </row>
    <row r="16" spans="1:18" ht="67.900000000000006" hidden="1" customHeight="1" x14ac:dyDescent="0.25">
      <c r="A16" s="382"/>
      <c r="B16" s="382"/>
      <c r="C16" s="405"/>
      <c r="D16" s="104" t="s">
        <v>353</v>
      </c>
      <c r="E16" s="99">
        <v>125177.97</v>
      </c>
      <c r="F16" s="99">
        <v>95613.7</v>
      </c>
      <c r="G16" s="99">
        <v>55371.64</v>
      </c>
      <c r="H16" s="99">
        <v>40153.81</v>
      </c>
      <c r="I16" s="99">
        <v>88.25</v>
      </c>
      <c r="J16" s="99"/>
      <c r="K16" s="99">
        <v>2724.12</v>
      </c>
      <c r="L16" s="99">
        <v>3249.07</v>
      </c>
      <c r="M16" s="99">
        <v>772.31</v>
      </c>
      <c r="N16" s="100">
        <f t="shared" si="1"/>
        <v>2.8517217139516E-2</v>
      </c>
      <c r="O16" s="100">
        <f t="shared" si="2"/>
        <v>3.4012611298874E-2</v>
      </c>
      <c r="P16" s="100">
        <f t="shared" si="3"/>
        <v>8.0848611548021993E-3</v>
      </c>
      <c r="Q16" s="101">
        <v>3.8737899135989E-3</v>
      </c>
      <c r="R16" s="102"/>
    </row>
    <row r="17" spans="1:18" ht="67.900000000000006" customHeight="1" x14ac:dyDescent="0.25">
      <c r="A17" s="380">
        <v>5</v>
      </c>
      <c r="B17" s="395" t="s">
        <v>312</v>
      </c>
      <c r="C17" s="400" t="s">
        <v>356</v>
      </c>
      <c r="D17" s="98" t="s">
        <v>357</v>
      </c>
      <c r="E17" s="99">
        <v>561932.85</v>
      </c>
      <c r="F17" s="99">
        <f>G17+H17+I17</f>
        <v>399667.21620000002</v>
      </c>
      <c r="G17" s="99">
        <f>G18*I28</f>
        <v>163785.296</v>
      </c>
      <c r="H17" s="99">
        <f>H18*I28</f>
        <v>147763.611</v>
      </c>
      <c r="I17" s="99">
        <f>I18*I30</f>
        <v>88118.309200000003</v>
      </c>
      <c r="J17" s="99"/>
      <c r="K17" s="99">
        <f>K18*1.19*I33</f>
        <v>19215.596995</v>
      </c>
      <c r="L17" s="99">
        <f>L18*1.19*I33</f>
        <v>0</v>
      </c>
      <c r="M17" s="99">
        <f>M18*1.266*I34</f>
        <v>1734.8322095999999</v>
      </c>
      <c r="N17" s="100">
        <f t="shared" si="1"/>
        <v>6.1677626090981999E-2</v>
      </c>
      <c r="O17" s="100">
        <f t="shared" si="2"/>
        <v>0</v>
      </c>
      <c r="P17" s="100">
        <f t="shared" si="3"/>
        <v>5.5684105147574998E-3</v>
      </c>
      <c r="Q17" s="101">
        <v>5.5643872525604002E-3</v>
      </c>
      <c r="R17" s="102">
        <f>N17+O17+P17+Q17</f>
        <v>7.2810423858299E-2</v>
      </c>
    </row>
    <row r="18" spans="1:18" ht="67.900000000000006" hidden="1" customHeight="1" x14ac:dyDescent="0.25">
      <c r="A18" s="382"/>
      <c r="B18" s="395"/>
      <c r="C18" s="401"/>
      <c r="D18" s="98" t="s">
        <v>353</v>
      </c>
      <c r="E18" s="99">
        <v>94393.09</v>
      </c>
      <c r="F18" s="99">
        <f>G18+H18+I18</f>
        <v>69651.210000000006</v>
      </c>
      <c r="G18" s="99">
        <v>25792.959999999999</v>
      </c>
      <c r="H18" s="99">
        <v>23269.86</v>
      </c>
      <c r="I18" s="99">
        <v>20588.39</v>
      </c>
      <c r="J18" s="99"/>
      <c r="K18" s="99">
        <v>4087.99</v>
      </c>
      <c r="L18" s="99">
        <v>0</v>
      </c>
      <c r="M18" s="99">
        <v>343.44</v>
      </c>
      <c r="N18" s="100">
        <f t="shared" si="1"/>
        <v>8.3321545724441004E-2</v>
      </c>
      <c r="O18" s="100">
        <f t="shared" si="2"/>
        <v>0</v>
      </c>
      <c r="P18" s="100">
        <f t="shared" si="3"/>
        <v>7.0000052993284996E-3</v>
      </c>
      <c r="Q18" s="101">
        <v>9.4728844648146997E-3</v>
      </c>
      <c r="R18" s="102"/>
    </row>
    <row r="19" spans="1:18" ht="67.900000000000006" customHeight="1" x14ac:dyDescent="0.25">
      <c r="A19" s="380">
        <v>6</v>
      </c>
      <c r="B19" s="395"/>
      <c r="C19" s="400" t="s">
        <v>314</v>
      </c>
      <c r="D19" s="104" t="s">
        <v>355</v>
      </c>
      <c r="E19" s="99">
        <v>738823.57</v>
      </c>
      <c r="F19" s="99">
        <v>511472.86</v>
      </c>
      <c r="G19" s="99">
        <v>257334.67</v>
      </c>
      <c r="H19" s="99">
        <v>230898.09</v>
      </c>
      <c r="I19" s="99">
        <v>23240.1</v>
      </c>
      <c r="J19" s="99"/>
      <c r="K19" s="99">
        <v>19584.188309000001</v>
      </c>
      <c r="L19" s="99">
        <v>0</v>
      </c>
      <c r="M19" s="99">
        <v>2539.5687809999999</v>
      </c>
      <c r="N19" s="100">
        <f t="shared" si="1"/>
        <v>4.0112401119907999E-2</v>
      </c>
      <c r="O19" s="100">
        <f t="shared" si="2"/>
        <v>0</v>
      </c>
      <c r="P19" s="100">
        <f t="shared" si="3"/>
        <v>5.2015534168579998E-3</v>
      </c>
      <c r="Q19" s="101">
        <v>5.1286902198045999E-3</v>
      </c>
      <c r="R19" s="102">
        <f>N19+O19+P19+Q19</f>
        <v>5.0442644756571002E-2</v>
      </c>
    </row>
    <row r="20" spans="1:18" ht="67.900000000000006" hidden="1" customHeight="1" x14ac:dyDescent="0.25">
      <c r="A20" s="382"/>
      <c r="B20" s="395"/>
      <c r="C20" s="401"/>
      <c r="D20" s="104" t="s">
        <v>353</v>
      </c>
      <c r="E20" s="99">
        <v>128717.35</v>
      </c>
      <c r="F20" s="99">
        <v>89613.6</v>
      </c>
      <c r="G20" s="99">
        <v>44598.73</v>
      </c>
      <c r="H20" s="99">
        <v>40017</v>
      </c>
      <c r="I20" s="99">
        <v>4997.87</v>
      </c>
      <c r="J20" s="99"/>
      <c r="K20" s="99">
        <v>4023.79</v>
      </c>
      <c r="L20" s="99">
        <v>0</v>
      </c>
      <c r="M20" s="99">
        <v>481.05</v>
      </c>
      <c r="N20" s="100">
        <f t="shared" si="1"/>
        <v>4.7553687712675E-2</v>
      </c>
      <c r="O20" s="100">
        <f t="shared" si="2"/>
        <v>0</v>
      </c>
      <c r="P20" s="100">
        <f t="shared" si="3"/>
        <v>5.6851131580381003E-3</v>
      </c>
      <c r="Q20" s="101">
        <v>5.5940533914911996E-3</v>
      </c>
      <c r="R20" s="102"/>
    </row>
    <row r="21" spans="1:18" ht="67.900000000000006" customHeight="1" x14ac:dyDescent="0.25">
      <c r="A21" s="380">
        <v>7</v>
      </c>
      <c r="B21" s="380" t="s">
        <v>315</v>
      </c>
      <c r="C21" s="400" t="s">
        <v>316</v>
      </c>
      <c r="D21" s="104" t="s">
        <v>358</v>
      </c>
      <c r="E21" s="99">
        <v>16001185.93</v>
      </c>
      <c r="F21" s="99">
        <f>G21+H21+I21+J21</f>
        <v>6269109.2307000002</v>
      </c>
      <c r="G21" s="99">
        <f>123094.59*K28+325303.92*K29</f>
        <v>2908258.6863000002</v>
      </c>
      <c r="H21" s="99">
        <f>110226.08*K28+375865.25*K29</f>
        <v>3158998.0832000002</v>
      </c>
      <c r="I21" s="99">
        <f>I22*K30</f>
        <v>201852.46119999999</v>
      </c>
      <c r="J21" s="99">
        <f>J22*K35</f>
        <v>0</v>
      </c>
      <c r="K21" s="99">
        <f>K22*K33*1.19</f>
        <v>48825.362634999998</v>
      </c>
      <c r="L21" s="99">
        <f>L22*1.19*K33</f>
        <v>73238.020449999996</v>
      </c>
      <c r="M21" s="99">
        <f>M22*K34*1.266</f>
        <v>11514.8831238</v>
      </c>
      <c r="N21" s="100">
        <f t="shared" si="1"/>
        <v>8.0473539343916007E-3</v>
      </c>
      <c r="O21" s="100">
        <f t="shared" si="2"/>
        <v>1.2071027027926E-2</v>
      </c>
      <c r="P21" s="100">
        <f t="shared" si="3"/>
        <v>1.8978730522309999E-3</v>
      </c>
      <c r="Q21" s="101">
        <v>5.9210415358545E-4</v>
      </c>
      <c r="R21" s="102">
        <f>N21+O21+P21+Q21</f>
        <v>2.2608358168133998E-2</v>
      </c>
    </row>
    <row r="22" spans="1:18" ht="67.900000000000006" hidden="1" customHeight="1" x14ac:dyDescent="0.25">
      <c r="A22" s="382"/>
      <c r="B22" s="382"/>
      <c r="C22" s="401"/>
      <c r="D22" s="105" t="s">
        <v>353</v>
      </c>
      <c r="E22" s="106">
        <v>2195184.4700000002</v>
      </c>
      <c r="F22" s="106">
        <f>G22+H22+I22+J22</f>
        <v>981651.63</v>
      </c>
      <c r="G22" s="106">
        <f>123094.59+325303.92</f>
        <v>448398.51</v>
      </c>
      <c r="H22" s="106">
        <f>110226.08+375865.25</f>
        <v>486091.33</v>
      </c>
      <c r="I22" s="106">
        <v>47161.79</v>
      </c>
      <c r="J22" s="106">
        <v>0</v>
      </c>
      <c r="K22" s="106">
        <v>10387.27</v>
      </c>
      <c r="L22" s="106">
        <v>15580.9</v>
      </c>
      <c r="M22" s="106">
        <v>2279.5700000000002</v>
      </c>
      <c r="N22" s="107">
        <f t="shared" si="1"/>
        <v>1.1115444551008E-2</v>
      </c>
      <c r="O22" s="107">
        <f t="shared" si="2"/>
        <v>1.6673161475998E-2</v>
      </c>
      <c r="P22" s="107">
        <f t="shared" si="3"/>
        <v>2.4393737656901999E-3</v>
      </c>
      <c r="Q22" s="108">
        <v>7.7662380726578996E-4</v>
      </c>
      <c r="R22" s="109"/>
    </row>
    <row r="23" spans="1:18" ht="67.900000000000006" customHeight="1" x14ac:dyDescent="0.25">
      <c r="A23" s="110"/>
      <c r="B23" s="110"/>
      <c r="C23" s="111" t="s">
        <v>359</v>
      </c>
      <c r="D23" s="112"/>
      <c r="E23" s="113"/>
      <c r="F23" s="113"/>
      <c r="G23" s="113"/>
      <c r="H23" s="113"/>
      <c r="I23" s="113"/>
      <c r="J23" s="113"/>
      <c r="K23" s="113"/>
      <c r="L23" s="113"/>
      <c r="M23" s="113"/>
      <c r="N23" s="114">
        <f>(N9+N11+N13+N15+N17+N19+N21)/7</f>
        <v>2.9452156597254999E-2</v>
      </c>
      <c r="O23" s="114">
        <f>(O9+O11+O13+O15+O17+O19+O21)/7</f>
        <v>1.3097362959135E-2</v>
      </c>
      <c r="P23" s="114">
        <f>(P9+P11+P13+P15+P17+P19+P21)/7</f>
        <v>6.9829983993947003E-3</v>
      </c>
      <c r="Q23" s="114">
        <f>(Q9+Q11+Q13+Q15+Q17+Q19+Q21)/7</f>
        <v>2.7711608883059999E-3</v>
      </c>
      <c r="R23" s="114">
        <f>N23+O23+P23+Q23</f>
        <v>5.2303678844090998E-2</v>
      </c>
    </row>
    <row r="24" spans="1:18" ht="67.900000000000006" customHeight="1" x14ac:dyDescent="0.25">
      <c r="A24" s="115"/>
      <c r="B24" s="115"/>
      <c r="C24" s="116"/>
      <c r="D24" s="117"/>
      <c r="E24" s="118"/>
      <c r="F24" s="118"/>
      <c r="G24" s="118"/>
      <c r="H24" s="118"/>
      <c r="I24" s="118"/>
      <c r="J24" s="118"/>
      <c r="K24" s="118"/>
      <c r="L24" s="118"/>
      <c r="M24" s="118"/>
      <c r="N24" s="119"/>
      <c r="O24" s="119"/>
      <c r="P24" s="119"/>
      <c r="Q24" s="71"/>
    </row>
    <row r="26" spans="1:18" ht="14.45" customHeight="1" outlineLevel="1" x14ac:dyDescent="0.25">
      <c r="D26" s="406" t="s">
        <v>360</v>
      </c>
      <c r="E26" s="406"/>
      <c r="F26" s="406"/>
      <c r="G26" s="406"/>
      <c r="H26" s="406"/>
      <c r="I26" s="406"/>
      <c r="J26" s="406"/>
      <c r="K26" s="406"/>
      <c r="L26" s="120"/>
      <c r="R26" s="121"/>
    </row>
    <row r="27" spans="1:18" outlineLevel="1" x14ac:dyDescent="0.25">
      <c r="D27" s="122"/>
      <c r="E27" s="122" t="s">
        <v>320</v>
      </c>
      <c r="F27" s="122" t="s">
        <v>321</v>
      </c>
      <c r="G27" s="122" t="s">
        <v>322</v>
      </c>
      <c r="H27" s="123" t="s">
        <v>323</v>
      </c>
      <c r="I27" s="123" t="s">
        <v>324</v>
      </c>
      <c r="J27" s="123" t="s">
        <v>325</v>
      </c>
      <c r="K27" s="110" t="s">
        <v>326</v>
      </c>
      <c r="L27" s="51"/>
    </row>
    <row r="28" spans="1:18" outlineLevel="1" x14ac:dyDescent="0.25">
      <c r="D28" s="407" t="s">
        <v>327</v>
      </c>
      <c r="E28" s="409">
        <v>6.09</v>
      </c>
      <c r="F28" s="411">
        <v>6.63</v>
      </c>
      <c r="G28" s="409">
        <v>5.77</v>
      </c>
      <c r="H28" s="413">
        <v>5.77</v>
      </c>
      <c r="I28" s="413">
        <v>6.35</v>
      </c>
      <c r="J28" s="409">
        <v>5.77</v>
      </c>
      <c r="K28" s="124">
        <v>6.29</v>
      </c>
      <c r="L28" s="86" t="s">
        <v>328</v>
      </c>
      <c r="M28" s="51"/>
    </row>
    <row r="29" spans="1:18" outlineLevel="1" x14ac:dyDescent="0.25">
      <c r="D29" s="408"/>
      <c r="E29" s="410"/>
      <c r="F29" s="412"/>
      <c r="G29" s="410"/>
      <c r="H29" s="414"/>
      <c r="I29" s="414"/>
      <c r="J29" s="410"/>
      <c r="K29" s="124">
        <v>6.56</v>
      </c>
      <c r="L29" s="86" t="s">
        <v>329</v>
      </c>
      <c r="M29" s="51"/>
    </row>
    <row r="30" spans="1:18" outlineLevel="1" x14ac:dyDescent="0.25">
      <c r="D30" s="125" t="s">
        <v>330</v>
      </c>
      <c r="E30" s="126">
        <v>4.46</v>
      </c>
      <c r="F30" s="122">
        <v>4.46</v>
      </c>
      <c r="G30" s="127">
        <v>4.6500000000000004</v>
      </c>
      <c r="H30" s="123">
        <v>4.6100000000000003</v>
      </c>
      <c r="I30" s="123">
        <v>4.28</v>
      </c>
      <c r="J30" s="124">
        <v>4.6500000000000004</v>
      </c>
      <c r="K30" s="124">
        <v>4.28</v>
      </c>
      <c r="L30" s="51"/>
    </row>
    <row r="31" spans="1:18" s="86" customFormat="1" outlineLevel="1" x14ac:dyDescent="0.25">
      <c r="D31" s="407" t="s">
        <v>304</v>
      </c>
      <c r="E31" s="409">
        <v>11.37</v>
      </c>
      <c r="F31" s="411">
        <v>13.56</v>
      </c>
      <c r="G31" s="409">
        <v>15.91</v>
      </c>
      <c r="H31" s="413">
        <v>15.91</v>
      </c>
      <c r="I31" s="413">
        <v>14.03</v>
      </c>
      <c r="J31" s="409">
        <v>15.91</v>
      </c>
      <c r="K31" s="124">
        <v>8.2899999999999991</v>
      </c>
      <c r="L31" s="86" t="s">
        <v>328</v>
      </c>
      <c r="R31" s="115"/>
    </row>
    <row r="32" spans="1:18" s="86" customFormat="1" outlineLevel="1" x14ac:dyDescent="0.25">
      <c r="D32" s="408"/>
      <c r="E32" s="410"/>
      <c r="F32" s="412"/>
      <c r="G32" s="410"/>
      <c r="H32" s="414"/>
      <c r="I32" s="414"/>
      <c r="J32" s="410"/>
      <c r="K32" s="124">
        <v>11.84</v>
      </c>
      <c r="L32" s="86" t="s">
        <v>329</v>
      </c>
      <c r="R32" s="115"/>
    </row>
    <row r="33" spans="4:18" s="86" customFormat="1" ht="15" customHeight="1" outlineLevel="1" x14ac:dyDescent="0.25">
      <c r="D33" s="128" t="s">
        <v>331</v>
      </c>
      <c r="E33" s="129">
        <v>3.83</v>
      </c>
      <c r="F33" s="130">
        <v>3.83</v>
      </c>
      <c r="G33" s="131">
        <v>3.99</v>
      </c>
      <c r="H33" s="132">
        <v>3.83</v>
      </c>
      <c r="I33" s="132">
        <v>3.95</v>
      </c>
      <c r="J33" s="133">
        <v>4.09</v>
      </c>
      <c r="K33" s="124">
        <v>3.95</v>
      </c>
      <c r="L33" s="86" t="s">
        <v>361</v>
      </c>
      <c r="R33" s="115"/>
    </row>
    <row r="34" spans="4:18" s="86" customFormat="1" outlineLevel="1" x14ac:dyDescent="0.25">
      <c r="D34" s="128" t="s">
        <v>332</v>
      </c>
      <c r="E34" s="129">
        <v>3.91</v>
      </c>
      <c r="F34" s="130">
        <v>3.91</v>
      </c>
      <c r="G34" s="131">
        <v>3.99</v>
      </c>
      <c r="H34" s="132">
        <v>3.91</v>
      </c>
      <c r="I34" s="132">
        <v>3.99</v>
      </c>
      <c r="J34" s="133">
        <v>4.17</v>
      </c>
      <c r="K34" s="124">
        <v>3.99</v>
      </c>
      <c r="L34" s="86" t="s">
        <v>361</v>
      </c>
      <c r="R34" s="115"/>
    </row>
    <row r="35" spans="4:18" s="86" customFormat="1" outlineLevel="1" x14ac:dyDescent="0.25">
      <c r="D35" s="125" t="s">
        <v>271</v>
      </c>
      <c r="E35" s="126">
        <v>8.7899999999999991</v>
      </c>
      <c r="F35" s="122">
        <v>8.7899999999999991</v>
      </c>
      <c r="G35" s="127">
        <v>9.19</v>
      </c>
      <c r="H35" s="123">
        <v>9.1</v>
      </c>
      <c r="I35" s="123">
        <v>8.42</v>
      </c>
      <c r="J35" s="124">
        <v>9.19</v>
      </c>
      <c r="K35" s="124">
        <v>8.42</v>
      </c>
      <c r="R35" s="115"/>
    </row>
    <row r="36" spans="4:18" s="86" customFormat="1" x14ac:dyDescent="0.25">
      <c r="R36" s="115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14" t="s">
        <v>10</v>
      </c>
      <c r="B2" s="314"/>
      <c r="C2" s="314"/>
      <c r="D2" s="314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17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17"/>
    </row>
    <row r="5" spans="1:4" x14ac:dyDescent="0.25">
      <c r="A5" s="6"/>
      <c r="B5" s="1"/>
      <c r="C5" s="1"/>
    </row>
    <row r="6" spans="1:4" x14ac:dyDescent="0.25">
      <c r="A6" s="314" t="s">
        <v>12</v>
      </c>
      <c r="B6" s="314"/>
      <c r="C6" s="314"/>
      <c r="D6" s="314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18" t="s">
        <v>5</v>
      </c>
      <c r="B15" s="319" t="s">
        <v>15</v>
      </c>
      <c r="C15" s="319"/>
      <c r="D15" s="319"/>
    </row>
    <row r="16" spans="1:4" x14ac:dyDescent="0.25">
      <c r="A16" s="318"/>
      <c r="B16" s="318" t="s">
        <v>17</v>
      </c>
      <c r="C16" s="319" t="s">
        <v>28</v>
      </c>
      <c r="D16" s="319"/>
    </row>
    <row r="17" spans="1:4" ht="39" customHeight="1" x14ac:dyDescent="0.25">
      <c r="A17" s="318"/>
      <c r="B17" s="318"/>
      <c r="C17" s="10" t="s">
        <v>21</v>
      </c>
      <c r="D17" s="11" t="s">
        <v>23</v>
      </c>
    </row>
    <row r="18" spans="1:4" x14ac:dyDescent="0.25">
      <c r="A18" s="137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20" t="s">
        <v>29</v>
      </c>
      <c r="B2" s="320"/>
      <c r="C2" s="320"/>
      <c r="D2" s="320"/>
    </row>
    <row r="3" spans="1:10" x14ac:dyDescent="0.25">
      <c r="H3" s="141" t="s">
        <v>30</v>
      </c>
      <c r="I3" s="141" t="s">
        <v>31</v>
      </c>
      <c r="J3" s="141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4">
        <v>3985.09</v>
      </c>
      <c r="I4" s="134">
        <v>3153.63</v>
      </c>
      <c r="J4" s="134">
        <v>94532.14</v>
      </c>
    </row>
    <row r="5" spans="1:10" ht="102" customHeight="1" x14ac:dyDescent="0.25">
      <c r="A5" s="2">
        <v>1</v>
      </c>
      <c r="B5" s="9" t="s">
        <v>37</v>
      </c>
      <c r="C5" s="147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7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8">
        <v>3</v>
      </c>
      <c r="B7" s="148" t="s">
        <v>41</v>
      </c>
      <c r="C7" s="149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39">
        <v>4</v>
      </c>
      <c r="B8" s="150" t="s">
        <v>43</v>
      </c>
      <c r="C8" s="151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0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topLeftCell="A22" zoomScale="70" zoomScaleNormal="55" workbookViewId="0">
      <selection activeCell="D29" sqref="D29"/>
    </sheetView>
  </sheetViews>
  <sheetFormatPr defaultColWidth="9.140625" defaultRowHeight="15.75" x14ac:dyDescent="0.25"/>
  <cols>
    <col min="1" max="2" width="9.140625" style="160"/>
    <col min="3" max="3" width="36.85546875" style="160" customWidth="1"/>
    <col min="4" max="4" width="36.5703125" style="160" customWidth="1"/>
    <col min="5" max="5" width="17.5703125" style="160" customWidth="1"/>
    <col min="6" max="6" width="18.7109375" style="160" customWidth="1"/>
    <col min="7" max="7" width="9.140625" style="160"/>
  </cols>
  <sheetData>
    <row r="3" spans="2:4" x14ac:dyDescent="0.25">
      <c r="B3" s="321" t="s">
        <v>45</v>
      </c>
      <c r="C3" s="321"/>
      <c r="D3" s="321"/>
    </row>
    <row r="4" spans="2:4" x14ac:dyDescent="0.25">
      <c r="B4" s="322" t="s">
        <v>46</v>
      </c>
      <c r="C4" s="322"/>
      <c r="D4" s="322"/>
    </row>
    <row r="5" spans="2:4" x14ac:dyDescent="0.25">
      <c r="B5" s="161"/>
      <c r="C5" s="161"/>
      <c r="D5" s="161"/>
    </row>
    <row r="6" spans="2:4" x14ac:dyDescent="0.25">
      <c r="B6" s="161"/>
      <c r="C6" s="161"/>
      <c r="D6" s="161"/>
    </row>
    <row r="7" spans="2:4" ht="61.5" customHeight="1" x14ac:dyDescent="0.25">
      <c r="B7" s="323" t="s">
        <v>47</v>
      </c>
      <c r="C7" s="324"/>
      <c r="D7" s="324"/>
    </row>
    <row r="8" spans="2:4" ht="31.5" customHeight="1" x14ac:dyDescent="0.25">
      <c r="B8" s="324" t="s">
        <v>48</v>
      </c>
      <c r="C8" s="324"/>
      <c r="D8" s="324"/>
    </row>
    <row r="9" spans="2:4" x14ac:dyDescent="0.25">
      <c r="B9" s="324" t="s">
        <v>49</v>
      </c>
      <c r="C9" s="324"/>
      <c r="D9" s="324"/>
    </row>
    <row r="10" spans="2:4" x14ac:dyDescent="0.25">
      <c r="B10" s="262"/>
    </row>
    <row r="11" spans="2:4" x14ac:dyDescent="0.25">
      <c r="B11" s="263" t="s">
        <v>33</v>
      </c>
      <c r="C11" s="263" t="s">
        <v>50</v>
      </c>
      <c r="D11" s="162" t="s">
        <v>51</v>
      </c>
    </row>
    <row r="12" spans="2:4" ht="157.5" customHeight="1" x14ac:dyDescent="0.25">
      <c r="B12" s="263">
        <v>1</v>
      </c>
      <c r="C12" s="162" t="s">
        <v>52</v>
      </c>
      <c r="D12" s="313" t="s">
        <v>53</v>
      </c>
    </row>
    <row r="13" spans="2:4" ht="31.5" customHeight="1" x14ac:dyDescent="0.25">
      <c r="B13" s="263">
        <v>2</v>
      </c>
      <c r="C13" s="162" t="s">
        <v>54</v>
      </c>
      <c r="D13" s="313" t="s">
        <v>55</v>
      </c>
    </row>
    <row r="14" spans="2:4" x14ac:dyDescent="0.25">
      <c r="B14" s="263">
        <v>3</v>
      </c>
      <c r="C14" s="162" t="s">
        <v>56</v>
      </c>
      <c r="D14" s="313" t="s">
        <v>57</v>
      </c>
    </row>
    <row r="15" spans="2:4" x14ac:dyDescent="0.25">
      <c r="B15" s="263">
        <v>4</v>
      </c>
      <c r="C15" s="162" t="s">
        <v>58</v>
      </c>
      <c r="D15" s="313">
        <v>1</v>
      </c>
    </row>
    <row r="16" spans="2:4" ht="94.5" customHeight="1" x14ac:dyDescent="0.25">
      <c r="B16" s="263">
        <v>5</v>
      </c>
      <c r="C16" s="164" t="s">
        <v>59</v>
      </c>
      <c r="D16" s="162" t="s">
        <v>60</v>
      </c>
    </row>
    <row r="17" spans="2:6" ht="78.75" customHeight="1" x14ac:dyDescent="0.25">
      <c r="B17" s="263">
        <v>6</v>
      </c>
      <c r="C17" s="164" t="s">
        <v>61</v>
      </c>
      <c r="D17" s="165">
        <f>D18+D19</f>
        <v>8147.8667705999997</v>
      </c>
    </row>
    <row r="18" spans="2:6" x14ac:dyDescent="0.25">
      <c r="B18" s="166" t="s">
        <v>62</v>
      </c>
      <c r="C18" s="162" t="s">
        <v>63</v>
      </c>
      <c r="D18" s="165">
        <f>'Прил.2 Расч стоим'!F12</f>
        <v>8147.8667705999997</v>
      </c>
    </row>
    <row r="19" spans="2:6" ht="15.75" customHeight="1" x14ac:dyDescent="0.25">
      <c r="B19" s="166" t="s">
        <v>64</v>
      </c>
      <c r="C19" s="162" t="s">
        <v>65</v>
      </c>
      <c r="D19" s="165">
        <f>'Прил.2 Расч стоим'!H12</f>
        <v>0</v>
      </c>
    </row>
    <row r="20" spans="2:6" ht="16.5" customHeight="1" x14ac:dyDescent="0.25">
      <c r="B20" s="166" t="s">
        <v>66</v>
      </c>
      <c r="C20" s="162" t="s">
        <v>67</v>
      </c>
      <c r="D20" s="165"/>
      <c r="F20" s="167"/>
    </row>
    <row r="21" spans="2:6" ht="35.25" customHeight="1" x14ac:dyDescent="0.25">
      <c r="B21" s="166" t="s">
        <v>68</v>
      </c>
      <c r="C21" s="168" t="s">
        <v>69</v>
      </c>
      <c r="D21" s="165"/>
    </row>
    <row r="22" spans="2:6" x14ac:dyDescent="0.25">
      <c r="B22" s="263">
        <v>7</v>
      </c>
      <c r="C22" s="168" t="s">
        <v>70</v>
      </c>
      <c r="D22" s="169" t="s">
        <v>71</v>
      </c>
    </row>
    <row r="23" spans="2:6" ht="123" customHeight="1" x14ac:dyDescent="0.25">
      <c r="B23" s="263">
        <v>8</v>
      </c>
      <c r="C23" s="170" t="s">
        <v>72</v>
      </c>
      <c r="D23" s="165">
        <f>D17</f>
        <v>8147.8667705999997</v>
      </c>
    </row>
    <row r="24" spans="2:6" ht="60.75" customHeight="1" x14ac:dyDescent="0.25">
      <c r="B24" s="263">
        <v>9</v>
      </c>
      <c r="C24" s="164" t="s">
        <v>73</v>
      </c>
      <c r="D24" s="165">
        <f>D17/D15</f>
        <v>8147.8667705999997</v>
      </c>
    </row>
    <row r="25" spans="2:6" ht="118.5" customHeight="1" x14ac:dyDescent="0.25">
      <c r="B25" s="263">
        <v>10</v>
      </c>
      <c r="C25" s="162" t="s">
        <v>74</v>
      </c>
      <c r="D25" s="162"/>
    </row>
    <row r="26" spans="2:6" x14ac:dyDescent="0.25">
      <c r="B26" s="171"/>
      <c r="C26" s="172"/>
      <c r="D26" s="172"/>
    </row>
    <row r="27" spans="2:6" ht="37.5" customHeight="1" x14ac:dyDescent="0.25">
      <c r="B27" s="173"/>
    </row>
    <row r="28" spans="2:6" x14ac:dyDescent="0.25">
      <c r="B28" s="160" t="s">
        <v>75</v>
      </c>
    </row>
    <row r="29" spans="2:6" x14ac:dyDescent="0.25">
      <c r="B29" s="173" t="s">
        <v>76</v>
      </c>
    </row>
    <row r="31" spans="2:6" x14ac:dyDescent="0.25">
      <c r="B31" s="160" t="s">
        <v>77</v>
      </c>
    </row>
    <row r="32" spans="2:6" x14ac:dyDescent="0.25">
      <c r="B32" s="173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6"/>
  <sheetViews>
    <sheetView view="pageBreakPreview" zoomScale="70" zoomScaleNormal="70" workbookViewId="0">
      <selection activeCell="G22" sqref="G22"/>
    </sheetView>
  </sheetViews>
  <sheetFormatPr defaultColWidth="9.140625" defaultRowHeight="15.75" x14ac:dyDescent="0.25"/>
  <cols>
    <col min="1" max="1" width="5.5703125" style="160" customWidth="1"/>
    <col min="2" max="2" width="9.140625" style="160"/>
    <col min="3" max="3" width="35.28515625" style="160" customWidth="1"/>
    <col min="4" max="4" width="13.85546875" style="160" customWidth="1"/>
    <col min="5" max="5" width="24.85546875" style="160" customWidth="1"/>
    <col min="6" max="6" width="15.5703125" style="160" customWidth="1"/>
    <col min="7" max="7" width="14.85546875" style="160" customWidth="1"/>
    <col min="8" max="8" width="16.7109375" style="160" customWidth="1"/>
    <col min="9" max="10" width="13" style="160" customWidth="1"/>
    <col min="11" max="11" width="18" style="160" customWidth="1"/>
    <col min="12" max="12" width="9.140625" style="160"/>
  </cols>
  <sheetData>
    <row r="3" spans="2:12" x14ac:dyDescent="0.25">
      <c r="B3" s="321" t="s">
        <v>79</v>
      </c>
      <c r="C3" s="321"/>
      <c r="D3" s="321"/>
      <c r="E3" s="321"/>
      <c r="F3" s="321"/>
      <c r="G3" s="321"/>
      <c r="H3" s="321"/>
      <c r="I3" s="321"/>
      <c r="J3" s="321"/>
      <c r="K3" s="173"/>
    </row>
    <row r="4" spans="2:12" x14ac:dyDescent="0.25">
      <c r="B4" s="322" t="s">
        <v>80</v>
      </c>
      <c r="C4" s="322"/>
      <c r="D4" s="322"/>
      <c r="E4" s="322"/>
      <c r="F4" s="322"/>
      <c r="G4" s="322"/>
      <c r="H4" s="322"/>
      <c r="I4" s="322"/>
      <c r="J4" s="322"/>
      <c r="K4" s="322"/>
    </row>
    <row r="5" spans="2:12" x14ac:dyDescent="0.25">
      <c r="B5" s="161"/>
      <c r="C5" s="161"/>
      <c r="D5" s="161"/>
      <c r="E5" s="161"/>
      <c r="F5" s="161"/>
      <c r="G5" s="161"/>
      <c r="H5" s="161"/>
      <c r="I5" s="161"/>
      <c r="J5" s="161"/>
      <c r="K5" s="161"/>
    </row>
    <row r="6" spans="2:12" ht="33" customHeight="1" x14ac:dyDescent="0.25">
      <c r="B6" s="326" t="s">
        <v>81</v>
      </c>
      <c r="C6" s="326"/>
      <c r="D6" s="326"/>
      <c r="E6" s="326"/>
      <c r="F6" s="326"/>
      <c r="G6" s="326"/>
      <c r="H6" s="326"/>
      <c r="I6" s="326"/>
      <c r="J6" s="326"/>
      <c r="K6" s="173"/>
      <c r="L6" s="174"/>
    </row>
    <row r="7" spans="2:12" x14ac:dyDescent="0.25">
      <c r="B7" s="324" t="s">
        <v>49</v>
      </c>
      <c r="C7" s="324"/>
      <c r="D7" s="324"/>
      <c r="E7" s="324"/>
      <c r="F7" s="324"/>
      <c r="G7" s="324"/>
      <c r="H7" s="324"/>
      <c r="I7" s="324"/>
      <c r="J7" s="324"/>
      <c r="K7" s="324"/>
      <c r="L7" s="174"/>
    </row>
    <row r="8" spans="2:12" x14ac:dyDescent="0.25">
      <c r="B8" s="262"/>
    </row>
    <row r="9" spans="2:12" ht="15.75" customHeight="1" x14ac:dyDescent="0.25">
      <c r="B9" s="327" t="s">
        <v>33</v>
      </c>
      <c r="C9" s="327" t="s">
        <v>82</v>
      </c>
      <c r="D9" s="327" t="s">
        <v>51</v>
      </c>
      <c r="E9" s="327"/>
      <c r="F9" s="327"/>
      <c r="G9" s="327"/>
      <c r="H9" s="327"/>
      <c r="I9" s="327"/>
      <c r="J9" s="327"/>
    </row>
    <row r="10" spans="2:12" ht="15.75" customHeight="1" x14ac:dyDescent="0.25">
      <c r="B10" s="327"/>
      <c r="C10" s="327"/>
      <c r="D10" s="327" t="s">
        <v>83</v>
      </c>
      <c r="E10" s="327" t="s">
        <v>84</v>
      </c>
      <c r="F10" s="327" t="s">
        <v>85</v>
      </c>
      <c r="G10" s="327"/>
      <c r="H10" s="327"/>
      <c r="I10" s="327"/>
      <c r="J10" s="327"/>
    </row>
    <row r="11" spans="2:12" ht="31.5" customHeight="1" x14ac:dyDescent="0.25">
      <c r="B11" s="327"/>
      <c r="C11" s="327"/>
      <c r="D11" s="327"/>
      <c r="E11" s="327"/>
      <c r="F11" s="263" t="s">
        <v>86</v>
      </c>
      <c r="G11" s="263" t="s">
        <v>87</v>
      </c>
      <c r="H11" s="263" t="s">
        <v>43</v>
      </c>
      <c r="I11" s="263" t="s">
        <v>88</v>
      </c>
      <c r="J11" s="263" t="s">
        <v>89</v>
      </c>
    </row>
    <row r="12" spans="2:12" ht="63" customHeight="1" x14ac:dyDescent="0.25">
      <c r="B12" s="264">
        <v>1</v>
      </c>
      <c r="C12" s="281" t="s">
        <v>90</v>
      </c>
      <c r="D12" s="175"/>
      <c r="E12" s="163"/>
      <c r="F12" s="328">
        <v>8147.8667705999997</v>
      </c>
      <c r="G12" s="329"/>
      <c r="H12" s="176">
        <v>0</v>
      </c>
      <c r="I12" s="177"/>
      <c r="J12" s="178"/>
    </row>
    <row r="13" spans="2:12" ht="15.75" customHeight="1" x14ac:dyDescent="0.25">
      <c r="B13" s="325" t="s">
        <v>91</v>
      </c>
      <c r="C13" s="325"/>
      <c r="D13" s="325"/>
      <c r="E13" s="325"/>
      <c r="F13" s="179"/>
      <c r="G13" s="179"/>
      <c r="H13" s="179"/>
      <c r="I13" s="180"/>
      <c r="J13" s="181"/>
    </row>
    <row r="14" spans="2:12" ht="28.5" customHeight="1" x14ac:dyDescent="0.25">
      <c r="B14" s="325" t="s">
        <v>92</v>
      </c>
      <c r="C14" s="325"/>
      <c r="D14" s="325"/>
      <c r="E14" s="325"/>
      <c r="F14" s="330">
        <f>F12</f>
        <v>8147.8667705999997</v>
      </c>
      <c r="G14" s="331"/>
      <c r="H14" s="179">
        <v>0</v>
      </c>
      <c r="I14" s="180"/>
      <c r="J14" s="181">
        <f>SUM(F12:I12)</f>
        <v>8147.8667705999997</v>
      </c>
    </row>
    <row r="15" spans="2:12" x14ac:dyDescent="0.25">
      <c r="B15" s="262"/>
    </row>
    <row r="18" spans="2:3" x14ac:dyDescent="0.25">
      <c r="B18" s="182" t="s">
        <v>93</v>
      </c>
      <c r="C18" s="160" t="s">
        <v>94</v>
      </c>
    </row>
    <row r="22" spans="2:3" x14ac:dyDescent="0.25">
      <c r="B22" s="160" t="s">
        <v>75</v>
      </c>
    </row>
    <row r="23" spans="2:3" x14ac:dyDescent="0.25">
      <c r="B23" s="173" t="s">
        <v>76</v>
      </c>
    </row>
    <row r="25" spans="2:3" x14ac:dyDescent="0.25">
      <c r="B25" s="160" t="s">
        <v>77</v>
      </c>
    </row>
    <row r="26" spans="2:3" x14ac:dyDescent="0.25">
      <c r="B26" s="173" t="s">
        <v>78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25"/>
  <sheetViews>
    <sheetView view="pageBreakPreview" zoomScale="55" zoomScaleSheetLayoutView="55" workbookViewId="0">
      <selection activeCell="F22" sqref="F22"/>
    </sheetView>
  </sheetViews>
  <sheetFormatPr defaultColWidth="9.140625" defaultRowHeight="15.75" x14ac:dyDescent="0.25"/>
  <cols>
    <col min="1" max="1" width="9.140625" style="160"/>
    <col min="2" max="2" width="12.5703125" style="160" customWidth="1"/>
    <col min="3" max="3" width="22.42578125" style="160" customWidth="1"/>
    <col min="4" max="4" width="49.7109375" style="160" customWidth="1"/>
    <col min="5" max="5" width="10.140625" style="183" customWidth="1"/>
    <col min="6" max="6" width="20.7109375" style="160" customWidth="1"/>
    <col min="7" max="7" width="16.140625" style="160" customWidth="1"/>
    <col min="8" max="8" width="16.7109375" style="160" customWidth="1"/>
    <col min="9" max="9" width="9.140625" style="160"/>
    <col min="10" max="10" width="10.28515625" style="160" customWidth="1"/>
    <col min="11" max="11" width="9.140625" style="160"/>
  </cols>
  <sheetData>
    <row r="2" spans="1:12" s="302" customFormat="1" x14ac:dyDescent="0.25">
      <c r="A2" s="301"/>
      <c r="B2" s="301"/>
      <c r="C2" s="301"/>
      <c r="D2" s="301"/>
      <c r="E2" s="183"/>
      <c r="F2" s="301"/>
      <c r="G2" s="301"/>
      <c r="H2" s="301"/>
      <c r="I2" s="301"/>
      <c r="J2" s="301"/>
      <c r="K2" s="301"/>
    </row>
    <row r="3" spans="1:12" s="302" customFormat="1" x14ac:dyDescent="0.25">
      <c r="A3" s="301"/>
      <c r="B3" s="301"/>
      <c r="C3" s="301"/>
      <c r="D3" s="301"/>
      <c r="E3" s="183"/>
      <c r="F3" s="301"/>
      <c r="G3" s="301"/>
      <c r="H3" s="301"/>
      <c r="I3" s="301"/>
      <c r="J3" s="301"/>
      <c r="K3" s="301"/>
    </row>
    <row r="4" spans="1:12" x14ac:dyDescent="0.25">
      <c r="A4" s="321" t="s">
        <v>95</v>
      </c>
      <c r="B4" s="321"/>
      <c r="C4" s="321"/>
      <c r="D4" s="321"/>
      <c r="E4" s="321"/>
      <c r="F4" s="321"/>
      <c r="G4" s="321"/>
      <c r="H4" s="321"/>
    </row>
    <row r="5" spans="1:12" x14ac:dyDescent="0.25">
      <c r="A5" s="322" t="s">
        <v>96</v>
      </c>
      <c r="B5" s="322"/>
      <c r="C5" s="322"/>
      <c r="D5" s="322"/>
      <c r="E5" s="322"/>
      <c r="F5" s="322"/>
      <c r="G5" s="322"/>
      <c r="H5" s="322"/>
    </row>
    <row r="6" spans="1:12" x14ac:dyDescent="0.25">
      <c r="A6" s="262"/>
    </row>
    <row r="7" spans="1:12" x14ac:dyDescent="0.25">
      <c r="A7" s="335" t="s">
        <v>97</v>
      </c>
      <c r="B7" s="335"/>
      <c r="C7" s="335"/>
      <c r="D7" s="335"/>
      <c r="E7" s="335"/>
      <c r="F7" s="335"/>
      <c r="G7" s="335"/>
      <c r="H7" s="335"/>
    </row>
    <row r="8" spans="1:12" x14ac:dyDescent="0.25">
      <c r="A8" s="184"/>
      <c r="B8" s="184"/>
      <c r="C8" s="184"/>
      <c r="D8" s="184"/>
      <c r="E8" s="161"/>
      <c r="F8" s="184"/>
      <c r="G8" s="184"/>
      <c r="H8" s="184"/>
    </row>
    <row r="9" spans="1:12" ht="38.25" customHeight="1" x14ac:dyDescent="0.25">
      <c r="A9" s="327" t="s">
        <v>98</v>
      </c>
      <c r="B9" s="327" t="s">
        <v>99</v>
      </c>
      <c r="C9" s="327" t="s">
        <v>100</v>
      </c>
      <c r="D9" s="327" t="s">
        <v>101</v>
      </c>
      <c r="E9" s="327" t="s">
        <v>102</v>
      </c>
      <c r="F9" s="327" t="s">
        <v>103</v>
      </c>
      <c r="G9" s="327" t="s">
        <v>104</v>
      </c>
      <c r="H9" s="327"/>
    </row>
    <row r="10" spans="1:12" ht="40.5" customHeight="1" x14ac:dyDescent="0.25">
      <c r="A10" s="327"/>
      <c r="B10" s="327"/>
      <c r="C10" s="327"/>
      <c r="D10" s="327"/>
      <c r="E10" s="327"/>
      <c r="F10" s="327"/>
      <c r="G10" s="263" t="s">
        <v>105</v>
      </c>
      <c r="H10" s="263" t="s">
        <v>106</v>
      </c>
    </row>
    <row r="11" spans="1:12" x14ac:dyDescent="0.25">
      <c r="A11" s="185">
        <v>1</v>
      </c>
      <c r="B11" s="185"/>
      <c r="C11" s="185">
        <v>2</v>
      </c>
      <c r="D11" s="185" t="s">
        <v>107</v>
      </c>
      <c r="E11" s="185">
        <v>4</v>
      </c>
      <c r="F11" s="185">
        <v>5</v>
      </c>
      <c r="G11" s="185">
        <v>6</v>
      </c>
      <c r="H11" s="185">
        <v>7</v>
      </c>
    </row>
    <row r="12" spans="1:12" s="187" customFormat="1" x14ac:dyDescent="0.25">
      <c r="A12" s="332" t="s">
        <v>108</v>
      </c>
      <c r="B12" s="333"/>
      <c r="C12" s="334"/>
      <c r="D12" s="334"/>
      <c r="E12" s="333"/>
      <c r="F12" s="186">
        <f>SUM(F13:F13)</f>
        <v>27.990649683240999</v>
      </c>
      <c r="G12" s="186"/>
      <c r="H12" s="186">
        <f>SUM(H13:H13)</f>
        <v>306.22000000000003</v>
      </c>
      <c r="I12" s="160"/>
      <c r="J12" s="160"/>
      <c r="K12" s="160"/>
      <c r="L12" s="160"/>
    </row>
    <row r="13" spans="1:12" x14ac:dyDescent="0.25">
      <c r="A13" s="188">
        <v>1</v>
      </c>
      <c r="B13" s="189" t="s">
        <v>109</v>
      </c>
      <c r="C13" s="190" t="s">
        <v>110</v>
      </c>
      <c r="D13" s="191" t="s">
        <v>111</v>
      </c>
      <c r="E13" s="192" t="s">
        <v>112</v>
      </c>
      <c r="F13" s="211">
        <v>27.990649683240999</v>
      </c>
      <c r="G13" s="193">
        <v>10.94</v>
      </c>
      <c r="H13" s="193">
        <f>ROUND(F13*G13,2)</f>
        <v>306.22000000000003</v>
      </c>
    </row>
    <row r="14" spans="1:12" x14ac:dyDescent="0.25">
      <c r="A14" s="332" t="s">
        <v>113</v>
      </c>
      <c r="B14" s="333"/>
      <c r="C14" s="334"/>
      <c r="D14" s="334"/>
      <c r="E14" s="333"/>
      <c r="F14" s="265"/>
      <c r="G14" s="186"/>
      <c r="H14" s="186"/>
    </row>
    <row r="15" spans="1:12" s="187" customFormat="1" x14ac:dyDescent="0.25">
      <c r="A15" s="332" t="s">
        <v>114</v>
      </c>
      <c r="B15" s="333"/>
      <c r="C15" s="334"/>
      <c r="D15" s="334"/>
      <c r="E15" s="333"/>
      <c r="F15" s="265"/>
      <c r="G15" s="186"/>
      <c r="H15" s="186">
        <v>0</v>
      </c>
      <c r="I15" s="160"/>
      <c r="J15" s="160"/>
      <c r="K15" s="160"/>
      <c r="L15" s="160"/>
    </row>
    <row r="16" spans="1:12" x14ac:dyDescent="0.25">
      <c r="A16" s="332" t="s">
        <v>43</v>
      </c>
      <c r="B16" s="333"/>
      <c r="C16" s="334"/>
      <c r="D16" s="334"/>
      <c r="E16" s="333"/>
      <c r="F16" s="265"/>
      <c r="G16" s="186"/>
      <c r="H16" s="186">
        <f>SUM(H17:H17)</f>
        <v>1378351.44</v>
      </c>
    </row>
    <row r="17" spans="1:12" s="187" customFormat="1" ht="47.25" customHeight="1" x14ac:dyDescent="0.25">
      <c r="A17" s="188">
        <v>2</v>
      </c>
      <c r="B17" s="188" t="s">
        <v>109</v>
      </c>
      <c r="C17" s="191" t="s">
        <v>115</v>
      </c>
      <c r="D17" s="191" t="s">
        <v>116</v>
      </c>
      <c r="E17" s="192" t="s">
        <v>117</v>
      </c>
      <c r="F17" s="188">
        <v>9</v>
      </c>
      <c r="G17" s="193">
        <v>153150.16</v>
      </c>
      <c r="H17" s="193">
        <f>ROUND(F17*G17,2)</f>
        <v>1378351.44</v>
      </c>
      <c r="I17" s="160"/>
      <c r="J17" s="160"/>
      <c r="K17" s="160"/>
      <c r="L17" s="160"/>
    </row>
    <row r="18" spans="1:12" x14ac:dyDescent="0.25">
      <c r="A18" s="332" t="s">
        <v>118</v>
      </c>
      <c r="B18" s="333"/>
      <c r="C18" s="334"/>
      <c r="D18" s="334"/>
      <c r="E18" s="333"/>
      <c r="F18" s="265"/>
      <c r="G18" s="186"/>
      <c r="H18" s="186">
        <v>0</v>
      </c>
    </row>
    <row r="21" spans="1:12" x14ac:dyDescent="0.25">
      <c r="B21" s="160" t="s">
        <v>75</v>
      </c>
    </row>
    <row r="22" spans="1:12" x14ac:dyDescent="0.25">
      <c r="B22" s="173" t="s">
        <v>76</v>
      </c>
    </row>
    <row r="24" spans="1:12" x14ac:dyDescent="0.25">
      <c r="B24" s="160" t="s">
        <v>77</v>
      </c>
    </row>
    <row r="25" spans="1:12" x14ac:dyDescent="0.25">
      <c r="B25" s="173" t="s">
        <v>78</v>
      </c>
    </row>
  </sheetData>
  <mergeCells count="15">
    <mergeCell ref="A14:E14"/>
    <mergeCell ref="A18:E18"/>
    <mergeCell ref="A12:E12"/>
    <mergeCell ref="A15:E15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16:E1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50"/>
  <sheetViews>
    <sheetView view="pageBreakPreview" topLeftCell="A31" workbookViewId="0">
      <selection activeCell="D45" sqref="D45"/>
    </sheetView>
  </sheetViews>
  <sheetFormatPr defaultRowHeight="15" x14ac:dyDescent="0.25"/>
  <cols>
    <col min="1" max="1" width="4.140625" style="51" customWidth="1"/>
    <col min="2" max="2" width="36.28515625" style="51" customWidth="1"/>
    <col min="3" max="3" width="18.85546875" style="51" customWidth="1"/>
    <col min="4" max="4" width="18.28515625" style="51" customWidth="1"/>
    <col min="5" max="5" width="18.85546875" style="51" customWidth="1"/>
    <col min="6" max="9" width="9.140625" style="51" customWidth="1"/>
    <col min="10" max="10" width="13.5703125" style="51" customWidth="1"/>
    <col min="11" max="11" width="9.140625" style="51" customWidth="1"/>
  </cols>
  <sheetData>
    <row r="1" spans="2:5" x14ac:dyDescent="0.25">
      <c r="B1" s="153"/>
      <c r="C1" s="153"/>
      <c r="D1" s="153"/>
      <c r="E1" s="153"/>
    </row>
    <row r="2" spans="2:5" x14ac:dyDescent="0.25">
      <c r="B2" s="153"/>
      <c r="C2" s="153"/>
      <c r="D2" s="153"/>
      <c r="E2" s="279" t="s">
        <v>119</v>
      </c>
    </row>
    <row r="3" spans="2:5" x14ac:dyDescent="0.25">
      <c r="B3" s="153"/>
      <c r="C3" s="153"/>
      <c r="D3" s="153"/>
      <c r="E3" s="153"/>
    </row>
    <row r="4" spans="2:5" x14ac:dyDescent="0.25">
      <c r="B4" s="153"/>
      <c r="C4" s="153"/>
      <c r="D4" s="153"/>
      <c r="E4" s="153"/>
    </row>
    <row r="5" spans="2:5" x14ac:dyDescent="0.25">
      <c r="B5" s="314" t="s">
        <v>120</v>
      </c>
      <c r="C5" s="314"/>
      <c r="D5" s="314"/>
      <c r="E5" s="314"/>
    </row>
    <row r="6" spans="2:5" x14ac:dyDescent="0.25">
      <c r="B6" s="195"/>
      <c r="C6" s="153"/>
      <c r="D6" s="153"/>
      <c r="E6" s="153"/>
    </row>
    <row r="7" spans="2:5" ht="25.5" customHeight="1" x14ac:dyDescent="0.25">
      <c r="B7" s="336" t="s">
        <v>47</v>
      </c>
      <c r="C7" s="336"/>
      <c r="D7" s="336"/>
      <c r="E7" s="336"/>
    </row>
    <row r="8" spans="2:5" x14ac:dyDescent="0.25">
      <c r="B8" s="337" t="s">
        <v>49</v>
      </c>
      <c r="C8" s="337"/>
      <c r="D8" s="337"/>
      <c r="E8" s="337"/>
    </row>
    <row r="9" spans="2:5" x14ac:dyDescent="0.25">
      <c r="B9" s="195"/>
      <c r="C9" s="153"/>
      <c r="D9" s="153"/>
      <c r="E9" s="153"/>
    </row>
    <row r="10" spans="2:5" ht="51" customHeight="1" x14ac:dyDescent="0.25">
      <c r="B10" s="196" t="s">
        <v>121</v>
      </c>
      <c r="C10" s="196" t="s">
        <v>122</v>
      </c>
      <c r="D10" s="196" t="s">
        <v>123</v>
      </c>
      <c r="E10" s="196" t="s">
        <v>124</v>
      </c>
    </row>
    <row r="11" spans="2:5" x14ac:dyDescent="0.25">
      <c r="B11" s="154" t="s">
        <v>125</v>
      </c>
      <c r="C11" s="155">
        <f>'Прил.5 Расчет СМР и ОБ'!J14</f>
        <v>14128.49</v>
      </c>
      <c r="D11" s="156">
        <f t="shared" ref="D11:D18" si="0">C11/$C$24</f>
        <v>0.42372876781020685</v>
      </c>
      <c r="E11" s="156">
        <f t="shared" ref="E11:E18" si="1">C11/$C$40</f>
        <v>1.4668106278355501E-3</v>
      </c>
    </row>
    <row r="12" spans="2:5" x14ac:dyDescent="0.25">
      <c r="B12" s="154" t="s">
        <v>126</v>
      </c>
      <c r="C12" s="155">
        <f>'Прил.5 Расчет СМР и ОБ'!J17</f>
        <v>0</v>
      </c>
      <c r="D12" s="156">
        <f t="shared" si="0"/>
        <v>0</v>
      </c>
      <c r="E12" s="156">
        <f t="shared" si="1"/>
        <v>0</v>
      </c>
    </row>
    <row r="13" spans="2:5" x14ac:dyDescent="0.25">
      <c r="B13" s="154" t="s">
        <v>127</v>
      </c>
      <c r="C13" s="155">
        <f>'Прил.5 Расчет СМР и ОБ'!J18</f>
        <v>0</v>
      </c>
      <c r="D13" s="156">
        <f t="shared" si="0"/>
        <v>0</v>
      </c>
      <c r="E13" s="156">
        <f t="shared" si="1"/>
        <v>0</v>
      </c>
    </row>
    <row r="14" spans="2:5" x14ac:dyDescent="0.25">
      <c r="B14" s="154" t="s">
        <v>128</v>
      </c>
      <c r="C14" s="155">
        <f>C13+C12</f>
        <v>0</v>
      </c>
      <c r="D14" s="156">
        <f t="shared" si="0"/>
        <v>0</v>
      </c>
      <c r="E14" s="156">
        <f t="shared" si="1"/>
        <v>0</v>
      </c>
    </row>
    <row r="15" spans="2:5" x14ac:dyDescent="0.25">
      <c r="B15" s="154" t="s">
        <v>129</v>
      </c>
      <c r="C15" s="155">
        <v>0</v>
      </c>
      <c r="D15" s="156">
        <f t="shared" si="0"/>
        <v>0</v>
      </c>
      <c r="E15" s="156">
        <f t="shared" si="1"/>
        <v>0</v>
      </c>
    </row>
    <row r="16" spans="2:5" x14ac:dyDescent="0.25">
      <c r="B16" s="154" t="s">
        <v>130</v>
      </c>
      <c r="C16" s="155">
        <f>'Прил.5 Расчет СМР и ОБ'!J29</f>
        <v>0</v>
      </c>
      <c r="D16" s="156">
        <f t="shared" si="0"/>
        <v>0</v>
      </c>
      <c r="E16" s="156">
        <f t="shared" si="1"/>
        <v>0</v>
      </c>
    </row>
    <row r="17" spans="2:5" x14ac:dyDescent="0.25">
      <c r="B17" s="154" t="s">
        <v>131</v>
      </c>
      <c r="C17" s="155">
        <f>'Прил.5 Расчет СМР и ОБ'!J30</f>
        <v>0</v>
      </c>
      <c r="D17" s="156">
        <f t="shared" si="0"/>
        <v>0</v>
      </c>
      <c r="E17" s="156">
        <f t="shared" si="1"/>
        <v>0</v>
      </c>
    </row>
    <row r="18" spans="2:5" x14ac:dyDescent="0.25">
      <c r="B18" s="154" t="s">
        <v>132</v>
      </c>
      <c r="C18" s="155">
        <f>C17+C16</f>
        <v>0</v>
      </c>
      <c r="D18" s="156">
        <f t="shared" si="0"/>
        <v>0</v>
      </c>
      <c r="E18" s="156">
        <f t="shared" si="1"/>
        <v>0</v>
      </c>
    </row>
    <row r="19" spans="2:5" x14ac:dyDescent="0.25">
      <c r="B19" s="154" t="s">
        <v>133</v>
      </c>
      <c r="C19" s="155">
        <f>C18+C14+C11</f>
        <v>14128.49</v>
      </c>
      <c r="D19" s="156"/>
      <c r="E19" s="154"/>
    </row>
    <row r="20" spans="2:5" x14ac:dyDescent="0.25">
      <c r="B20" s="154" t="s">
        <v>134</v>
      </c>
      <c r="C20" s="155">
        <f>ROUND(C21*(C11+C15),2)</f>
        <v>6499.11</v>
      </c>
      <c r="D20" s="156">
        <f>C20/$C$24</f>
        <v>0.19491537115169372</v>
      </c>
      <c r="E20" s="156">
        <f>C20/$C$40</f>
        <v>6.7473336637335641E-4</v>
      </c>
    </row>
    <row r="21" spans="2:5" x14ac:dyDescent="0.25">
      <c r="B21" s="154" t="s">
        <v>135</v>
      </c>
      <c r="C21" s="280">
        <v>0.46</v>
      </c>
      <c r="D21" s="156"/>
      <c r="E21" s="154"/>
    </row>
    <row r="22" spans="2:5" x14ac:dyDescent="0.25">
      <c r="B22" s="154" t="s">
        <v>136</v>
      </c>
      <c r="C22" s="155">
        <f>ROUND(C23*(C11+C15),2)</f>
        <v>12715.64</v>
      </c>
      <c r="D22" s="156">
        <f>C22/$C$24</f>
        <v>0.38135586103809949</v>
      </c>
      <c r="E22" s="156">
        <f>C22/$C$40</f>
        <v>1.3201294612326464E-3</v>
      </c>
    </row>
    <row r="23" spans="2:5" x14ac:dyDescent="0.25">
      <c r="B23" s="154" t="s">
        <v>137</v>
      </c>
      <c r="C23" s="280">
        <v>0.9</v>
      </c>
      <c r="D23" s="156"/>
      <c r="E23" s="154"/>
    </row>
    <row r="24" spans="2:5" x14ac:dyDescent="0.25">
      <c r="B24" s="154" t="s">
        <v>138</v>
      </c>
      <c r="C24" s="155">
        <f>C19+C20+C22</f>
        <v>33343.24</v>
      </c>
      <c r="D24" s="156">
        <f>C24/$C$24</f>
        <v>1</v>
      </c>
      <c r="E24" s="156">
        <f>C24/$C$40</f>
        <v>3.4616734554415527E-3</v>
      </c>
    </row>
    <row r="25" spans="2:5" ht="25.5" customHeight="1" x14ac:dyDescent="0.25">
      <c r="B25" s="154" t="s">
        <v>139</v>
      </c>
      <c r="C25" s="155">
        <f>'Прил.5 Расчет СМР и ОБ'!J25</f>
        <v>8628480</v>
      </c>
      <c r="D25" s="156"/>
      <c r="E25" s="156">
        <f>C25/$C$40</f>
        <v>0.89580317260135278</v>
      </c>
    </row>
    <row r="26" spans="2:5" ht="25.5" customHeight="1" x14ac:dyDescent="0.25">
      <c r="B26" s="154" t="s">
        <v>140</v>
      </c>
      <c r="C26" s="155">
        <f>'Прил.5 Расчет СМР и ОБ'!J26</f>
        <v>8628480.0099999998</v>
      </c>
      <c r="D26" s="156"/>
      <c r="E26" s="156">
        <f>C26/$C$40</f>
        <v>0.89580317363954631</v>
      </c>
    </row>
    <row r="27" spans="2:5" x14ac:dyDescent="0.25">
      <c r="B27" s="154" t="s">
        <v>141</v>
      </c>
      <c r="C27" s="158">
        <f>C24+C25</f>
        <v>8661823.2400000002</v>
      </c>
      <c r="D27" s="156"/>
      <c r="E27" s="156">
        <f>C27/$C$40</f>
        <v>0.89926484605679435</v>
      </c>
    </row>
    <row r="28" spans="2:5" ht="33" customHeight="1" x14ac:dyDescent="0.25">
      <c r="B28" s="154" t="s">
        <v>142</v>
      </c>
      <c r="C28" s="154"/>
      <c r="D28" s="154"/>
      <c r="E28" s="154"/>
    </row>
    <row r="29" spans="2:5" ht="25.5" customHeight="1" x14ac:dyDescent="0.25">
      <c r="B29" s="154" t="s">
        <v>143</v>
      </c>
      <c r="C29" s="158">
        <f>ROUND(C24*3.9%,2)</f>
        <v>1300.3900000000001</v>
      </c>
      <c r="D29" s="154"/>
      <c r="E29" s="156">
        <f t="shared" ref="E29:E38" si="2">C29/$C$40</f>
        <v>1.3500564266464931E-4</v>
      </c>
    </row>
    <row r="30" spans="2:5" ht="38.25" customHeight="1" x14ac:dyDescent="0.25">
      <c r="B30" s="154" t="s">
        <v>144</v>
      </c>
      <c r="C30" s="299">
        <f>ROUND((C24+C29)*2.1%,2)</f>
        <v>727.52</v>
      </c>
      <c r="D30" s="300"/>
      <c r="E30" s="156">
        <f t="shared" si="2"/>
        <v>7.5530652459174298E-5</v>
      </c>
    </row>
    <row r="31" spans="2:5" x14ac:dyDescent="0.25">
      <c r="B31" s="154" t="s">
        <v>145</v>
      </c>
      <c r="C31" s="299">
        <v>511550</v>
      </c>
      <c r="D31" s="300"/>
      <c r="E31" s="156">
        <f t="shared" si="2"/>
        <v>5.3108787752213837E-2</v>
      </c>
    </row>
    <row r="32" spans="2:5" ht="25.5" customHeight="1" x14ac:dyDescent="0.25">
      <c r="B32" s="154" t="s">
        <v>146</v>
      </c>
      <c r="C32" s="299">
        <v>0</v>
      </c>
      <c r="D32" s="300"/>
      <c r="E32" s="156">
        <f t="shared" si="2"/>
        <v>0</v>
      </c>
    </row>
    <row r="33" spans="2:10" ht="25.5" customHeight="1" x14ac:dyDescent="0.25">
      <c r="B33" s="154" t="s">
        <v>147</v>
      </c>
      <c r="C33" s="158">
        <v>0</v>
      </c>
      <c r="D33" s="154"/>
      <c r="E33" s="156">
        <f t="shared" si="2"/>
        <v>0</v>
      </c>
    </row>
    <row r="34" spans="2:10" ht="51" customHeight="1" x14ac:dyDescent="0.25">
      <c r="B34" s="154" t="s">
        <v>148</v>
      </c>
      <c r="C34" s="158">
        <v>0</v>
      </c>
      <c r="D34" s="154"/>
      <c r="E34" s="156">
        <f t="shared" si="2"/>
        <v>0</v>
      </c>
      <c r="F34" s="194"/>
    </row>
    <row r="35" spans="2:10" ht="76.5" customHeight="1" x14ac:dyDescent="0.25">
      <c r="B35" s="154" t="s">
        <v>149</v>
      </c>
      <c r="C35" s="158">
        <v>0</v>
      </c>
      <c r="D35" s="154"/>
      <c r="E35" s="156">
        <f t="shared" si="2"/>
        <v>0</v>
      </c>
    </row>
    <row r="36" spans="2:10" ht="25.5" customHeight="1" x14ac:dyDescent="0.25">
      <c r="B36" s="154" t="s">
        <v>150</v>
      </c>
      <c r="C36" s="158">
        <f>ROUND((C27+C32+C33+C34+C35+C29+C31+C30)*1.72%,2)</f>
        <v>157816.9</v>
      </c>
      <c r="D36" s="154"/>
      <c r="E36" s="156">
        <f t="shared" si="2"/>
        <v>1.6384447748631327E-2</v>
      </c>
      <c r="J36" s="157"/>
    </row>
    <row r="37" spans="2:10" x14ac:dyDescent="0.25">
      <c r="B37" s="154" t="s">
        <v>151</v>
      </c>
      <c r="C37" s="158">
        <f>ROUND((C27+C32+C33+C34+C35+C29+C31+C30)*0.2%,2)</f>
        <v>18350.8</v>
      </c>
      <c r="D37" s="154"/>
      <c r="E37" s="156">
        <f t="shared" si="2"/>
        <v>1.9051681014237622E-3</v>
      </c>
      <c r="J37" s="157"/>
    </row>
    <row r="38" spans="2:10" ht="38.25" customHeight="1" x14ac:dyDescent="0.25">
      <c r="B38" s="154" t="s">
        <v>152</v>
      </c>
      <c r="C38" s="155">
        <f>C27+C32+C33+C34+C35+C29+C31+C30+C36+C37</f>
        <v>9351568.8500000015</v>
      </c>
      <c r="D38" s="154"/>
      <c r="E38" s="156">
        <f t="shared" si="2"/>
        <v>0.97087378595418727</v>
      </c>
    </row>
    <row r="39" spans="2:10" ht="13.5" customHeight="1" x14ac:dyDescent="0.25">
      <c r="B39" s="154" t="s">
        <v>153</v>
      </c>
      <c r="C39" s="155">
        <f>ROUND(C38*3%,2)</f>
        <v>280547.07</v>
      </c>
      <c r="D39" s="154"/>
      <c r="E39" s="156">
        <f>C39/$C$38</f>
        <v>3.0000000481202677E-2</v>
      </c>
    </row>
    <row r="40" spans="2:10" x14ac:dyDescent="0.25">
      <c r="B40" s="154" t="s">
        <v>154</v>
      </c>
      <c r="C40" s="155">
        <f>C39+C38</f>
        <v>9632115.9200000018</v>
      </c>
      <c r="D40" s="154"/>
      <c r="E40" s="156">
        <f>C40/$C$40</f>
        <v>1</v>
      </c>
    </row>
    <row r="41" spans="2:10" x14ac:dyDescent="0.25">
      <c r="B41" s="154" t="s">
        <v>155</v>
      </c>
      <c r="C41" s="155">
        <f>C40/'Прил.5 Расчет СМР и ОБ'!E37</f>
        <v>9632115.9200000018</v>
      </c>
      <c r="D41" s="154"/>
      <c r="E41" s="154"/>
    </row>
    <row r="42" spans="2:10" x14ac:dyDescent="0.25">
      <c r="B42" s="159"/>
      <c r="C42" s="153"/>
      <c r="D42" s="153"/>
      <c r="E42" s="153"/>
    </row>
    <row r="43" spans="2:10" x14ac:dyDescent="0.25">
      <c r="B43" s="159" t="s">
        <v>156</v>
      </c>
      <c r="C43" s="153"/>
      <c r="D43" s="153"/>
      <c r="E43" s="153"/>
    </row>
    <row r="44" spans="2:10" x14ac:dyDescent="0.25">
      <c r="B44" s="159" t="s">
        <v>157</v>
      </c>
      <c r="C44" s="153"/>
      <c r="D44" s="153"/>
      <c r="E44" s="153"/>
    </row>
    <row r="45" spans="2:10" x14ac:dyDescent="0.25">
      <c r="B45" s="159"/>
      <c r="C45" s="153"/>
      <c r="D45" s="153"/>
      <c r="E45" s="153"/>
    </row>
    <row r="46" spans="2:10" x14ac:dyDescent="0.25">
      <c r="B46" s="159" t="s">
        <v>158</v>
      </c>
      <c r="C46" s="153"/>
      <c r="D46" s="153"/>
      <c r="E46" s="153"/>
    </row>
    <row r="47" spans="2:10" x14ac:dyDescent="0.25">
      <c r="B47" s="337" t="s">
        <v>159</v>
      </c>
      <c r="C47" s="337"/>
      <c r="D47" s="153"/>
      <c r="E47" s="153"/>
    </row>
    <row r="49" spans="2:5" x14ac:dyDescent="0.25">
      <c r="B49" s="153"/>
      <c r="C49" s="153"/>
      <c r="D49" s="153"/>
      <c r="E49" s="153"/>
    </row>
    <row r="50" spans="2:5" x14ac:dyDescent="0.25">
      <c r="B50" s="153"/>
      <c r="C50" s="153"/>
      <c r="D50" s="153"/>
      <c r="E50" s="153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43"/>
  <sheetViews>
    <sheetView tabSelected="1" view="pageBreakPreview" zoomScale="70" zoomScaleSheetLayoutView="70" workbookViewId="0">
      <selection activeCell="X35" sqref="X35"/>
    </sheetView>
  </sheetViews>
  <sheetFormatPr defaultColWidth="9.140625" defaultRowHeight="15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9.140625" style="5"/>
  </cols>
  <sheetData>
    <row r="1" spans="1:12" s="198" customFormat="1" x14ac:dyDescent="0.25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</row>
    <row r="2" spans="1:12" s="198" customFormat="1" ht="15.75" customHeight="1" x14ac:dyDescent="0.25">
      <c r="A2" s="197"/>
      <c r="B2" s="197"/>
      <c r="C2" s="197"/>
      <c r="D2" s="197"/>
      <c r="E2" s="197"/>
      <c r="F2" s="197"/>
      <c r="G2" s="197"/>
      <c r="H2" s="338" t="s">
        <v>160</v>
      </c>
      <c r="I2" s="338"/>
      <c r="J2" s="338"/>
      <c r="K2" s="197"/>
      <c r="L2" s="197"/>
    </row>
    <row r="3" spans="1:12" s="198" customFormat="1" x14ac:dyDescent="0.25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</row>
    <row r="4" spans="1:12" s="199" customFormat="1" ht="12.75" customHeight="1" x14ac:dyDescent="0.2">
      <c r="A4" s="314" t="s">
        <v>161</v>
      </c>
      <c r="B4" s="314"/>
      <c r="C4" s="314"/>
      <c r="D4" s="314"/>
      <c r="E4" s="314"/>
      <c r="F4" s="314"/>
      <c r="G4" s="314"/>
      <c r="H4" s="314"/>
      <c r="I4" s="314"/>
      <c r="J4" s="314"/>
    </row>
    <row r="5" spans="1:12" s="199" customFormat="1" ht="12.75" customHeight="1" x14ac:dyDescent="0.2">
      <c r="A5" s="274"/>
      <c r="B5" s="274"/>
      <c r="C5" s="200"/>
      <c r="D5" s="274"/>
      <c r="E5" s="274"/>
      <c r="F5" s="274"/>
      <c r="G5" s="274"/>
      <c r="H5" s="274"/>
      <c r="I5" s="274"/>
      <c r="J5" s="274"/>
    </row>
    <row r="6" spans="1:12" s="199" customFormat="1" ht="12.75" customHeight="1" x14ac:dyDescent="0.2">
      <c r="A6" s="201" t="s">
        <v>162</v>
      </c>
      <c r="B6" s="202"/>
      <c r="C6" s="202"/>
      <c r="D6" s="344" t="s">
        <v>163</v>
      </c>
      <c r="E6" s="344"/>
      <c r="F6" s="344"/>
      <c r="G6" s="344"/>
      <c r="H6" s="344"/>
      <c r="I6" s="344"/>
      <c r="J6" s="344"/>
    </row>
    <row r="7" spans="1:12" s="199" customFormat="1" ht="12.75" customHeight="1" x14ac:dyDescent="0.2">
      <c r="A7" s="317" t="s">
        <v>49</v>
      </c>
      <c r="B7" s="336"/>
      <c r="C7" s="336"/>
      <c r="D7" s="336"/>
      <c r="E7" s="336"/>
      <c r="F7" s="336"/>
      <c r="G7" s="336"/>
      <c r="H7" s="336"/>
      <c r="I7" s="203"/>
      <c r="J7" s="203"/>
    </row>
    <row r="8" spans="1:12" s="4" customFormat="1" ht="13.5" customHeight="1" x14ac:dyDescent="0.2">
      <c r="A8" s="317"/>
      <c r="B8" s="336"/>
      <c r="C8" s="336"/>
      <c r="D8" s="336"/>
      <c r="E8" s="336"/>
      <c r="F8" s="336"/>
      <c r="G8" s="336"/>
      <c r="H8" s="336"/>
    </row>
    <row r="9" spans="1:12" s="198" customFormat="1" ht="27" customHeight="1" x14ac:dyDescent="0.25">
      <c r="A9" s="341" t="s">
        <v>13</v>
      </c>
      <c r="B9" s="341" t="s">
        <v>100</v>
      </c>
      <c r="C9" s="341" t="s">
        <v>121</v>
      </c>
      <c r="D9" s="341" t="s">
        <v>102</v>
      </c>
      <c r="E9" s="342" t="s">
        <v>164</v>
      </c>
      <c r="F9" s="339" t="s">
        <v>104</v>
      </c>
      <c r="G9" s="340"/>
      <c r="H9" s="342" t="s">
        <v>165</v>
      </c>
      <c r="I9" s="339" t="s">
        <v>166</v>
      </c>
      <c r="J9" s="340"/>
      <c r="K9" s="197"/>
      <c r="L9" s="197"/>
    </row>
    <row r="10" spans="1:12" s="198" customFormat="1" ht="28.5" customHeight="1" x14ac:dyDescent="0.25">
      <c r="A10" s="341"/>
      <c r="B10" s="341"/>
      <c r="C10" s="341"/>
      <c r="D10" s="341"/>
      <c r="E10" s="343"/>
      <c r="F10" s="144" t="s">
        <v>167</v>
      </c>
      <c r="G10" s="144" t="s">
        <v>106</v>
      </c>
      <c r="H10" s="343"/>
      <c r="I10" s="144" t="s">
        <v>167</v>
      </c>
      <c r="J10" s="144" t="s">
        <v>106</v>
      </c>
      <c r="K10" s="197"/>
      <c r="L10" s="197"/>
    </row>
    <row r="11" spans="1:12" s="198" customFormat="1" x14ac:dyDescent="0.25">
      <c r="A11" s="144">
        <v>1</v>
      </c>
      <c r="B11" s="144">
        <v>2</v>
      </c>
      <c r="C11" s="144">
        <v>3</v>
      </c>
      <c r="D11" s="144">
        <v>4</v>
      </c>
      <c r="E11" s="144">
        <v>5</v>
      </c>
      <c r="F11" s="144">
        <v>6</v>
      </c>
      <c r="G11" s="144">
        <v>7</v>
      </c>
      <c r="H11" s="144">
        <v>8</v>
      </c>
      <c r="I11" s="273">
        <v>9</v>
      </c>
      <c r="J11" s="273">
        <v>10</v>
      </c>
      <c r="K11" s="197"/>
      <c r="L11" s="197"/>
    </row>
    <row r="12" spans="1:12" x14ac:dyDescent="0.25">
      <c r="A12" s="2"/>
      <c r="B12" s="349" t="s">
        <v>168</v>
      </c>
      <c r="C12" s="350"/>
      <c r="D12" s="341"/>
      <c r="E12" s="351"/>
      <c r="F12" s="352"/>
      <c r="G12" s="352"/>
      <c r="H12" s="353"/>
      <c r="I12" s="204"/>
      <c r="J12" s="204"/>
    </row>
    <row r="13" spans="1:12" ht="25.5" customHeight="1" x14ac:dyDescent="0.25">
      <c r="A13" s="2">
        <v>1</v>
      </c>
      <c r="B13" s="205" t="s">
        <v>110</v>
      </c>
      <c r="C13" s="206" t="s">
        <v>169</v>
      </c>
      <c r="D13" s="144" t="s">
        <v>170</v>
      </c>
      <c r="E13" s="207">
        <v>27.990649683240999</v>
      </c>
      <c r="F13" s="208">
        <v>10.94</v>
      </c>
      <c r="G13" s="208">
        <f>Прил.3!H12</f>
        <v>306.22000000000003</v>
      </c>
      <c r="H13" s="209">
        <f>G13/$G$14</f>
        <v>1</v>
      </c>
      <c r="I13" s="210">
        <f>ФОТр.тек.!E13</f>
        <v>504.75733271476997</v>
      </c>
      <c r="J13" s="210">
        <f>ROUND(I13*E13,2)</f>
        <v>14128.49</v>
      </c>
    </row>
    <row r="14" spans="1:12" s="14" customFormat="1" ht="25.5" customHeight="1" x14ac:dyDescent="0.2">
      <c r="A14" s="2"/>
      <c r="B14" s="2"/>
      <c r="C14" s="267" t="s">
        <v>171</v>
      </c>
      <c r="D14" s="2" t="s">
        <v>170</v>
      </c>
      <c r="E14" s="211">
        <f>SUM(E13:E13)</f>
        <v>27.990649683240999</v>
      </c>
      <c r="F14" s="28"/>
      <c r="G14" s="28">
        <f>SUM(G13:G13)</f>
        <v>306.22000000000003</v>
      </c>
      <c r="H14" s="270">
        <v>1</v>
      </c>
      <c r="I14" s="204"/>
      <c r="J14" s="208">
        <f>SUM(J13:J13)</f>
        <v>14128.49</v>
      </c>
    </row>
    <row r="15" spans="1:12" s="14" customFormat="1" ht="14.25" customHeight="1" x14ac:dyDescent="0.2">
      <c r="A15" s="2"/>
      <c r="B15" s="350" t="s">
        <v>113</v>
      </c>
      <c r="C15" s="350"/>
      <c r="D15" s="341"/>
      <c r="E15" s="351"/>
      <c r="F15" s="352"/>
      <c r="G15" s="352"/>
      <c r="H15" s="353"/>
      <c r="I15" s="204"/>
      <c r="J15" s="204"/>
    </row>
    <row r="16" spans="1:12" s="14" customFormat="1" ht="14.25" customHeight="1" x14ac:dyDescent="0.2">
      <c r="A16" s="2"/>
      <c r="B16" s="349" t="s">
        <v>114</v>
      </c>
      <c r="C16" s="350"/>
      <c r="D16" s="341"/>
      <c r="E16" s="351"/>
      <c r="F16" s="352"/>
      <c r="G16" s="352"/>
      <c r="H16" s="353"/>
      <c r="I16" s="204"/>
      <c r="J16" s="204"/>
    </row>
    <row r="17" spans="1:10" s="14" customFormat="1" ht="14.25" customHeight="1" x14ac:dyDescent="0.2">
      <c r="A17" s="2"/>
      <c r="B17" s="2"/>
      <c r="C17" s="9" t="s">
        <v>172</v>
      </c>
      <c r="D17" s="2"/>
      <c r="E17" s="211"/>
      <c r="F17" s="28"/>
      <c r="G17" s="28">
        <v>0</v>
      </c>
      <c r="H17" s="270">
        <v>0</v>
      </c>
      <c r="I17" s="213"/>
      <c r="J17" s="28">
        <v>0</v>
      </c>
    </row>
    <row r="18" spans="1:10" s="14" customFormat="1" ht="14.25" customHeight="1" x14ac:dyDescent="0.2">
      <c r="A18" s="2"/>
      <c r="B18" s="2"/>
      <c r="C18" s="9" t="s">
        <v>173</v>
      </c>
      <c r="D18" s="2"/>
      <c r="E18" s="268"/>
      <c r="F18" s="28"/>
      <c r="G18" s="213">
        <v>0</v>
      </c>
      <c r="H18" s="214">
        <v>0</v>
      </c>
      <c r="I18" s="215"/>
      <c r="J18" s="215">
        <v>0</v>
      </c>
    </row>
    <row r="19" spans="1:10" s="14" customFormat="1" ht="25.5" customHeight="1" x14ac:dyDescent="0.2">
      <c r="A19" s="2"/>
      <c r="B19" s="2"/>
      <c r="C19" s="267" t="s">
        <v>174</v>
      </c>
      <c r="D19" s="2"/>
      <c r="E19" s="268"/>
      <c r="F19" s="28"/>
      <c r="G19" s="28">
        <f>G18+G17</f>
        <v>0</v>
      </c>
      <c r="H19" s="216">
        <v>1</v>
      </c>
      <c r="I19" s="217"/>
      <c r="J19" s="218">
        <f>J18+J17</f>
        <v>0</v>
      </c>
    </row>
    <row r="20" spans="1:10" s="14" customFormat="1" ht="14.25" customHeight="1" x14ac:dyDescent="0.2">
      <c r="A20" s="2"/>
      <c r="B20" s="349" t="s">
        <v>43</v>
      </c>
      <c r="C20" s="349"/>
      <c r="D20" s="354"/>
      <c r="E20" s="355"/>
      <c r="F20" s="356"/>
      <c r="G20" s="356"/>
      <c r="H20" s="357"/>
      <c r="I20" s="204"/>
      <c r="J20" s="204"/>
    </row>
    <row r="21" spans="1:10" x14ac:dyDescent="0.25">
      <c r="A21" s="271"/>
      <c r="B21" s="350" t="s">
        <v>175</v>
      </c>
      <c r="C21" s="350"/>
      <c r="D21" s="341"/>
      <c r="E21" s="351"/>
      <c r="F21" s="352"/>
      <c r="G21" s="352"/>
      <c r="H21" s="353"/>
      <c r="I21" s="219"/>
      <c r="J21" s="219"/>
    </row>
    <row r="22" spans="1:10" s="14" customFormat="1" ht="63.75" customHeight="1" x14ac:dyDescent="0.2">
      <c r="A22" s="2">
        <v>2</v>
      </c>
      <c r="B22" s="282" t="s">
        <v>176</v>
      </c>
      <c r="C22" s="283" t="s">
        <v>177</v>
      </c>
      <c r="D22" s="282" t="s">
        <v>117</v>
      </c>
      <c r="E22" s="284">
        <v>9</v>
      </c>
      <c r="F22" s="285">
        <f>ROUND(I22/Прил.10!$D$14,2)</f>
        <v>153150.16</v>
      </c>
      <c r="G22" s="286">
        <f>ROUND(E22*F22,2)</f>
        <v>1378351.44</v>
      </c>
      <c r="H22" s="287">
        <f>G22/$G$25</f>
        <v>1</v>
      </c>
      <c r="I22" s="208">
        <v>958720</v>
      </c>
      <c r="J22" s="208">
        <f>ROUND(I22*E22,2)</f>
        <v>8628480</v>
      </c>
    </row>
    <row r="23" spans="1:10" x14ac:dyDescent="0.25">
      <c r="A23" s="2"/>
      <c r="B23" s="288"/>
      <c r="C23" s="289" t="s">
        <v>178</v>
      </c>
      <c r="D23" s="290"/>
      <c r="E23" s="291"/>
      <c r="F23" s="292"/>
      <c r="G23" s="293">
        <f>SUM(G22)</f>
        <v>1378351.44</v>
      </c>
      <c r="H23" s="287">
        <f>G22/$G$25</f>
        <v>1</v>
      </c>
      <c r="I23" s="221"/>
      <c r="J23" s="220">
        <f>SUM(J22)</f>
        <v>8628480</v>
      </c>
    </row>
    <row r="24" spans="1:10" x14ac:dyDescent="0.25">
      <c r="A24" s="2"/>
      <c r="B24" s="288"/>
      <c r="C24" s="289" t="s">
        <v>179</v>
      </c>
      <c r="D24" s="288"/>
      <c r="E24" s="291"/>
      <c r="F24" s="292"/>
      <c r="G24" s="293">
        <v>0</v>
      </c>
      <c r="H24" s="287">
        <f>G24/$G$25</f>
        <v>0</v>
      </c>
      <c r="I24" s="221"/>
      <c r="J24" s="220">
        <v>0</v>
      </c>
    </row>
    <row r="25" spans="1:10" x14ac:dyDescent="0.25">
      <c r="A25" s="271"/>
      <c r="B25" s="288"/>
      <c r="C25" s="294" t="s">
        <v>180</v>
      </c>
      <c r="D25" s="288"/>
      <c r="E25" s="295"/>
      <c r="F25" s="292"/>
      <c r="G25" s="293">
        <f>G23+G24</f>
        <v>1378351.44</v>
      </c>
      <c r="H25" s="296">
        <v>1</v>
      </c>
      <c r="I25" s="221"/>
      <c r="J25" s="220">
        <f>J24+J23</f>
        <v>8628480</v>
      </c>
    </row>
    <row r="26" spans="1:10" ht="25.5" customHeight="1" x14ac:dyDescent="0.25">
      <c r="A26" s="271"/>
      <c r="B26" s="288"/>
      <c r="C26" s="289" t="s">
        <v>181</v>
      </c>
      <c r="D26" s="288"/>
      <c r="E26" s="297"/>
      <c r="F26" s="292"/>
      <c r="G26" s="293">
        <f>'Прил.6 Расчет ОБ'!G13</f>
        <v>1378351.44</v>
      </c>
      <c r="H26" s="298"/>
      <c r="I26" s="221"/>
      <c r="J26" s="220">
        <f>ROUND(G26*Прил.10!D14,2)</f>
        <v>8628480.0099999998</v>
      </c>
    </row>
    <row r="27" spans="1:10" s="14" customFormat="1" ht="14.25" customHeight="1" x14ac:dyDescent="0.2">
      <c r="A27" s="2"/>
      <c r="B27" s="358" t="s">
        <v>118</v>
      </c>
      <c r="C27" s="358"/>
      <c r="D27" s="359"/>
      <c r="E27" s="360"/>
      <c r="F27" s="361"/>
      <c r="G27" s="361"/>
      <c r="H27" s="362"/>
      <c r="I27" s="204"/>
      <c r="J27" s="204"/>
    </row>
    <row r="28" spans="1:10" s="14" customFormat="1" ht="14.25" customHeight="1" x14ac:dyDescent="0.2">
      <c r="A28" s="266"/>
      <c r="B28" s="345" t="s">
        <v>182</v>
      </c>
      <c r="C28" s="345"/>
      <c r="D28" s="342"/>
      <c r="E28" s="346"/>
      <c r="F28" s="347"/>
      <c r="G28" s="347"/>
      <c r="H28" s="348"/>
      <c r="I28" s="223"/>
      <c r="J28" s="223"/>
    </row>
    <row r="29" spans="1:10" s="14" customFormat="1" ht="14.25" customHeight="1" x14ac:dyDescent="0.2">
      <c r="A29" s="224"/>
      <c r="B29" s="225"/>
      <c r="C29" s="226" t="s">
        <v>183</v>
      </c>
      <c r="D29" s="227"/>
      <c r="E29" s="228"/>
      <c r="F29" s="229"/>
      <c r="G29" s="230">
        <v>0</v>
      </c>
      <c r="H29" s="214">
        <v>0</v>
      </c>
      <c r="I29" s="208"/>
      <c r="J29" s="230">
        <v>0</v>
      </c>
    </row>
    <row r="30" spans="1:10" s="14" customFormat="1" ht="14.25" customHeight="1" x14ac:dyDescent="0.2">
      <c r="A30" s="2"/>
      <c r="B30" s="2"/>
      <c r="C30" s="9" t="s">
        <v>184</v>
      </c>
      <c r="D30" s="2"/>
      <c r="E30" s="268"/>
      <c r="F30" s="269"/>
      <c r="G30" s="28">
        <v>0</v>
      </c>
      <c r="H30" s="214">
        <v>0</v>
      </c>
      <c r="I30" s="28"/>
      <c r="J30" s="28">
        <v>0</v>
      </c>
    </row>
    <row r="31" spans="1:10" s="14" customFormat="1" ht="14.25" customHeight="1" x14ac:dyDescent="0.2">
      <c r="A31" s="2"/>
      <c r="B31" s="2"/>
      <c r="C31" s="267" t="s">
        <v>185</v>
      </c>
      <c r="D31" s="2"/>
      <c r="E31" s="268"/>
      <c r="F31" s="269"/>
      <c r="G31" s="28">
        <f>G29+G30</f>
        <v>0</v>
      </c>
      <c r="H31" s="270">
        <v>0</v>
      </c>
      <c r="I31" s="28"/>
      <c r="J31" s="28">
        <f>J29+J30</f>
        <v>0</v>
      </c>
    </row>
    <row r="32" spans="1:10" s="14" customFormat="1" ht="14.25" customHeight="1" x14ac:dyDescent="0.2">
      <c r="A32" s="2"/>
      <c r="B32" s="2"/>
      <c r="C32" s="9" t="s">
        <v>186</v>
      </c>
      <c r="D32" s="2"/>
      <c r="E32" s="268"/>
      <c r="F32" s="269"/>
      <c r="G32" s="28">
        <f>G14+G19+G31</f>
        <v>306.22000000000003</v>
      </c>
      <c r="H32" s="270"/>
      <c r="I32" s="28"/>
      <c r="J32" s="28">
        <f>J14+J19+J31</f>
        <v>14128.49</v>
      </c>
    </row>
    <row r="33" spans="1:10" s="14" customFormat="1" ht="14.25" customHeight="1" x14ac:dyDescent="0.2">
      <c r="A33" s="2"/>
      <c r="B33" s="2"/>
      <c r="C33" s="9" t="s">
        <v>187</v>
      </c>
      <c r="D33" s="231">
        <f>ROUND(G33/(0+$G$14),2)</f>
        <v>1.1000000000000001</v>
      </c>
      <c r="E33" s="268"/>
      <c r="F33" s="269"/>
      <c r="G33" s="28">
        <v>336.8</v>
      </c>
      <c r="H33" s="270"/>
      <c r="I33" s="28"/>
      <c r="J33" s="208">
        <f>ROUND(D33*(J14+0),2)</f>
        <v>15541.34</v>
      </c>
    </row>
    <row r="34" spans="1:10" s="14" customFormat="1" ht="14.25" customHeight="1" x14ac:dyDescent="0.2">
      <c r="A34" s="2"/>
      <c r="B34" s="2"/>
      <c r="C34" s="9" t="s">
        <v>188</v>
      </c>
      <c r="D34" s="231">
        <f>ROUND(G34/(G$14+0),2)</f>
        <v>0.56000000000000005</v>
      </c>
      <c r="E34" s="268"/>
      <c r="F34" s="269"/>
      <c r="G34" s="28">
        <v>172.14</v>
      </c>
      <c r="H34" s="270"/>
      <c r="I34" s="28"/>
      <c r="J34" s="208">
        <f>ROUND(D34*(J14+0),2)</f>
        <v>7911.95</v>
      </c>
    </row>
    <row r="35" spans="1:10" s="14" customFormat="1" ht="14.25" customHeight="1" x14ac:dyDescent="0.2">
      <c r="A35" s="2"/>
      <c r="B35" s="2"/>
      <c r="C35" s="9" t="s">
        <v>189</v>
      </c>
      <c r="D35" s="2"/>
      <c r="E35" s="268"/>
      <c r="F35" s="269"/>
      <c r="G35" s="28">
        <f>G14+G19+G31+G33+G34</f>
        <v>815.16</v>
      </c>
      <c r="H35" s="270"/>
      <c r="I35" s="28"/>
      <c r="J35" s="28">
        <f>J14+J19+J31+J33+J34</f>
        <v>37581.78</v>
      </c>
    </row>
    <row r="36" spans="1:10" s="14" customFormat="1" ht="14.25" customHeight="1" x14ac:dyDescent="0.2">
      <c r="A36" s="2"/>
      <c r="B36" s="2"/>
      <c r="C36" s="9" t="s">
        <v>190</v>
      </c>
      <c r="D36" s="2"/>
      <c r="E36" s="268"/>
      <c r="F36" s="269"/>
      <c r="G36" s="28">
        <f>G35+G25</f>
        <v>1379166.5999999999</v>
      </c>
      <c r="H36" s="270"/>
      <c r="I36" s="28"/>
      <c r="J36" s="28">
        <f>J35+J25</f>
        <v>8666061.7799999993</v>
      </c>
    </row>
    <row r="37" spans="1:10" s="14" customFormat="1" ht="34.5" customHeight="1" x14ac:dyDescent="0.2">
      <c r="A37" s="2"/>
      <c r="B37" s="2"/>
      <c r="C37" s="9" t="s">
        <v>155</v>
      </c>
      <c r="D37" s="2" t="s">
        <v>191</v>
      </c>
      <c r="E37" s="278">
        <v>1</v>
      </c>
      <c r="F37" s="269"/>
      <c r="G37" s="28">
        <f>G36/E37</f>
        <v>1379166.5999999999</v>
      </c>
      <c r="H37" s="270"/>
      <c r="I37" s="28"/>
      <c r="J37" s="28">
        <f>J36/E37</f>
        <v>8666061.7799999993</v>
      </c>
    </row>
    <row r="39" spans="1:10" s="14" customFormat="1" ht="14.25" customHeight="1" x14ac:dyDescent="0.2">
      <c r="A39" s="4" t="s">
        <v>192</v>
      </c>
    </row>
    <row r="40" spans="1:10" s="14" customFormat="1" ht="14.25" customHeight="1" x14ac:dyDescent="0.2">
      <c r="A40" s="232" t="s">
        <v>76</v>
      </c>
    </row>
    <row r="41" spans="1:10" s="14" customFormat="1" ht="14.25" customHeight="1" x14ac:dyDescent="0.2">
      <c r="A41" s="4"/>
    </row>
    <row r="42" spans="1:10" s="14" customFormat="1" ht="14.25" customHeight="1" x14ac:dyDescent="0.2">
      <c r="A42" s="4" t="s">
        <v>193</v>
      </c>
    </row>
    <row r="43" spans="1:10" s="14" customFormat="1" ht="14.25" customHeight="1" x14ac:dyDescent="0.2">
      <c r="A43" s="232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B28:H28"/>
    <mergeCell ref="B12:H12"/>
    <mergeCell ref="B15:H15"/>
    <mergeCell ref="B16:H16"/>
    <mergeCell ref="B21:H21"/>
    <mergeCell ref="B20:H20"/>
    <mergeCell ref="B27:H27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0"/>
  <sheetViews>
    <sheetView view="pageBreakPreview" workbookViewId="0">
      <selection activeCell="F19" sqref="F19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63" t="s">
        <v>194</v>
      </c>
      <c r="B1" s="363"/>
      <c r="C1" s="363"/>
      <c r="D1" s="363"/>
      <c r="E1" s="363"/>
      <c r="F1" s="363"/>
      <c r="G1" s="363"/>
    </row>
    <row r="2" spans="1:7" ht="21.75" customHeight="1" x14ac:dyDescent="0.25">
      <c r="A2" s="275"/>
      <c r="B2" s="275"/>
      <c r="C2" s="275"/>
      <c r="D2" s="275"/>
      <c r="E2" s="275"/>
      <c r="F2" s="275"/>
      <c r="G2" s="275"/>
    </row>
    <row r="3" spans="1:7" x14ac:dyDescent="0.25">
      <c r="A3" s="314" t="s">
        <v>195</v>
      </c>
      <c r="B3" s="314"/>
      <c r="C3" s="314"/>
      <c r="D3" s="314"/>
      <c r="E3" s="314"/>
      <c r="F3" s="314"/>
      <c r="G3" s="314"/>
    </row>
    <row r="4" spans="1:7" ht="25.5" customHeight="1" x14ac:dyDescent="0.25">
      <c r="A4" s="317" t="s">
        <v>47</v>
      </c>
      <c r="B4" s="317"/>
      <c r="C4" s="317"/>
      <c r="D4" s="317"/>
      <c r="E4" s="317"/>
      <c r="F4" s="317"/>
      <c r="G4" s="317"/>
    </row>
    <row r="5" spans="1:7" x14ac:dyDescent="0.25">
      <c r="A5" s="233"/>
      <c r="B5" s="233"/>
      <c r="C5" s="233"/>
      <c r="D5" s="233"/>
      <c r="E5" s="233"/>
      <c r="F5" s="233"/>
      <c r="G5" s="233"/>
    </row>
    <row r="6" spans="1:7" ht="30" customHeight="1" x14ac:dyDescent="0.25">
      <c r="A6" s="368" t="s">
        <v>13</v>
      </c>
      <c r="B6" s="368" t="s">
        <v>100</v>
      </c>
      <c r="C6" s="368" t="s">
        <v>121</v>
      </c>
      <c r="D6" s="368" t="s">
        <v>102</v>
      </c>
      <c r="E6" s="342" t="s">
        <v>164</v>
      </c>
      <c r="F6" s="368" t="s">
        <v>104</v>
      </c>
      <c r="G6" s="368"/>
    </row>
    <row r="7" spans="1:7" x14ac:dyDescent="0.25">
      <c r="A7" s="368"/>
      <c r="B7" s="368"/>
      <c r="C7" s="368"/>
      <c r="D7" s="368"/>
      <c r="E7" s="343"/>
      <c r="F7" s="271" t="s">
        <v>167</v>
      </c>
      <c r="G7" s="271" t="s">
        <v>106</v>
      </c>
    </row>
    <row r="8" spans="1:7" x14ac:dyDescent="0.25">
      <c r="A8" s="271">
        <v>1</v>
      </c>
      <c r="B8" s="271">
        <v>2</v>
      </c>
      <c r="C8" s="271">
        <v>3</v>
      </c>
      <c r="D8" s="271">
        <v>4</v>
      </c>
      <c r="E8" s="271">
        <v>5</v>
      </c>
      <c r="F8" s="271">
        <v>6</v>
      </c>
      <c r="G8" s="271">
        <v>7</v>
      </c>
    </row>
    <row r="9" spans="1:7" ht="15" customHeight="1" x14ac:dyDescent="0.25">
      <c r="A9" s="234"/>
      <c r="B9" s="364" t="s">
        <v>196</v>
      </c>
      <c r="C9" s="365"/>
      <c r="D9" s="365"/>
      <c r="E9" s="365"/>
      <c r="F9" s="365"/>
      <c r="G9" s="366"/>
    </row>
    <row r="10" spans="1:7" ht="27" customHeight="1" x14ac:dyDescent="0.25">
      <c r="A10" s="271"/>
      <c r="B10" s="222"/>
      <c r="C10" s="135" t="s">
        <v>197</v>
      </c>
      <c r="D10" s="222"/>
      <c r="E10" s="235"/>
      <c r="F10" s="272"/>
      <c r="G10" s="220">
        <v>0</v>
      </c>
    </row>
    <row r="11" spans="1:7" x14ac:dyDescent="0.25">
      <c r="A11" s="271"/>
      <c r="B11" s="350" t="s">
        <v>198</v>
      </c>
      <c r="C11" s="350"/>
      <c r="D11" s="350"/>
      <c r="E11" s="367"/>
      <c r="F11" s="352"/>
      <c r="G11" s="352"/>
    </row>
    <row r="12" spans="1:7" s="160" customFormat="1" ht="51" customHeight="1" x14ac:dyDescent="0.25">
      <c r="A12" s="271">
        <v>1</v>
      </c>
      <c r="B12" s="135" t="str">
        <f>'Прил.5 Расчет СМР и ОБ'!B22</f>
        <v>БЦ.54.13</v>
      </c>
      <c r="C12" s="236" t="str">
        <f>'Прил.5 Расчет СМР и ОБ'!C22</f>
        <v>Поворотная камера видеонаблюдения</v>
      </c>
      <c r="D12" s="237" t="str">
        <f>'Прил.5 Расчет СМР и ОБ'!D22</f>
        <v>шт.</v>
      </c>
      <c r="E12" s="238">
        <f>'Прил.5 Расчет СМР и ОБ'!E22</f>
        <v>9</v>
      </c>
      <c r="F12" s="212">
        <f>'Прил.5 Расчет СМР и ОБ'!F22</f>
        <v>153150.16</v>
      </c>
      <c r="G12" s="220">
        <f>ROUND(E12*F12,2)</f>
        <v>1378351.44</v>
      </c>
    </row>
    <row r="13" spans="1:7" ht="25.5" customHeight="1" x14ac:dyDescent="0.25">
      <c r="A13" s="271"/>
      <c r="B13" s="135"/>
      <c r="C13" s="135" t="s">
        <v>199</v>
      </c>
      <c r="D13" s="135"/>
      <c r="E13" s="276"/>
      <c r="F13" s="272"/>
      <c r="G13" s="220">
        <f>SUM(G12:G12)</f>
        <v>1378351.44</v>
      </c>
    </row>
    <row r="14" spans="1:7" ht="19.5" customHeight="1" x14ac:dyDescent="0.25">
      <c r="A14" s="271"/>
      <c r="B14" s="135"/>
      <c r="C14" s="135" t="s">
        <v>200</v>
      </c>
      <c r="D14" s="135"/>
      <c r="E14" s="276"/>
      <c r="F14" s="272"/>
      <c r="G14" s="220">
        <f>G10+G13</f>
        <v>1378351.44</v>
      </c>
    </row>
    <row r="15" spans="1:7" x14ac:dyDescent="0.25">
      <c r="A15" s="239"/>
      <c r="B15" s="240"/>
      <c r="C15" s="239"/>
      <c r="D15" s="239"/>
      <c r="E15" s="239"/>
      <c r="F15" s="239"/>
      <c r="G15" s="239"/>
    </row>
    <row r="16" spans="1:7" x14ac:dyDescent="0.25">
      <c r="A16" s="4" t="s">
        <v>192</v>
      </c>
      <c r="B16" s="14"/>
      <c r="C16" s="14"/>
      <c r="D16" s="239"/>
      <c r="E16" s="239"/>
      <c r="F16" s="239"/>
      <c r="G16" s="239"/>
    </row>
    <row r="17" spans="1:7" x14ac:dyDescent="0.25">
      <c r="A17" s="232" t="s">
        <v>76</v>
      </c>
      <c r="B17" s="14"/>
      <c r="C17" s="14"/>
      <c r="D17" s="239"/>
      <c r="E17" s="239"/>
      <c r="F17" s="239"/>
      <c r="G17" s="239"/>
    </row>
    <row r="18" spans="1:7" x14ac:dyDescent="0.25">
      <c r="A18" s="4"/>
      <c r="B18" s="14"/>
      <c r="C18" s="14"/>
      <c r="D18" s="239"/>
      <c r="E18" s="239"/>
      <c r="F18" s="239"/>
      <c r="G18" s="239"/>
    </row>
    <row r="19" spans="1:7" x14ac:dyDescent="0.25">
      <c r="A19" s="4" t="s">
        <v>193</v>
      </c>
      <c r="B19" s="14"/>
      <c r="C19" s="14"/>
      <c r="D19" s="239"/>
      <c r="E19" s="239"/>
      <c r="F19" s="239"/>
      <c r="G19" s="239"/>
    </row>
    <row r="20" spans="1:7" x14ac:dyDescent="0.25">
      <c r="A20" s="232" t="s">
        <v>78</v>
      </c>
      <c r="B20" s="14"/>
      <c r="C20" s="14"/>
      <c r="D20" s="239"/>
      <c r="E20" s="239"/>
      <c r="F20" s="239"/>
      <c r="G20" s="239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2023-11-27T04:36:26Z</cp:lastPrinted>
  <dcterms:created xsi:type="dcterms:W3CDTF">2020-09-30T08:50:27Z</dcterms:created>
  <dcterms:modified xsi:type="dcterms:W3CDTF">2023-11-27T04:36:38Z</dcterms:modified>
  <cp:category/>
</cp:coreProperties>
</file>