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MIBOOK\Desktop\Отчетые тома ПДФ\РМ Блок 2\РМ\З2\"/>
    </mc:Choice>
  </mc:AlternateContent>
  <xr:revisionPtr revIDLastSave="0" documentId="13_ncr:20001_{DC921C0F-A4E0-472D-A958-FEC17A2908B7}" xr6:coauthVersionLast="40" xr6:coauthVersionMax="40" xr10:uidLastSave="{00000000-0000-0000-0000-000000000000}"/>
  <bookViews>
    <workbookView xWindow="0" yWindow="0" windowWidth="28800" windowHeight="12225" tabRatio="924" firstSheet="3" activeTab="7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3">#REF!</definedName>
    <definedName name="\AUTOEXEC" localSheetId="4">#REF!</definedName>
    <definedName name="\AUTOEXEC" localSheetId="5">#REF!</definedName>
    <definedName name="\AUTOEXEC" localSheetId="7">#REF!</definedName>
    <definedName name="\AUTOEXEC" localSheetId="9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 localSheetId="7">#REF!</definedName>
    <definedName name="\z" localSheetId="9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3">#REF!</definedName>
    <definedName name="______a2" localSheetId="4">#REF!</definedName>
    <definedName name="______a2" localSheetId="5">#REF!</definedName>
    <definedName name="______a2" localSheetId="7">#REF!</definedName>
    <definedName name="______a2" localSheetId="9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3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 localSheetId="9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3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 localSheetId="9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3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 localSheetId="9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3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 localSheetId="9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3">#REF!</definedName>
    <definedName name="__qs2" localSheetId="4">#REF!</definedName>
    <definedName name="__qs2" localSheetId="5">#REF!</definedName>
    <definedName name="__qs2" localSheetId="7">#REF!</definedName>
    <definedName name="__qs2" localSheetId="9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3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 localSheetId="9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3">#REF!</definedName>
    <definedName name="_02121" localSheetId="4">#REF!</definedName>
    <definedName name="_02121" localSheetId="5">#REF!</definedName>
    <definedName name="_02121" localSheetId="7">#REF!</definedName>
    <definedName name="_02121" localSheetId="9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3">#REF!</definedName>
    <definedName name="_AUTOEXEC" localSheetId="4">#REF!</definedName>
    <definedName name="_AUTOEXEC" localSheetId="5">#REF!</definedName>
    <definedName name="_AUTOEXEC" localSheetId="7">#REF!</definedName>
    <definedName name="_AUTOEXEC" localSheetId="9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3">#REF!</definedName>
    <definedName name="_Fill" localSheetId="4">#REF!</definedName>
    <definedName name="_Fill" localSheetId="5">#REF!</definedName>
    <definedName name="_Fill" localSheetId="7">#REF!</definedName>
    <definedName name="_Fill" localSheetId="9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 localSheetId="9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3">#REF!</definedName>
    <definedName name="_k" localSheetId="4">#REF!</definedName>
    <definedName name="_k" localSheetId="5">#REF!</definedName>
    <definedName name="_k" localSheetId="7">#REF!</definedName>
    <definedName name="_k" localSheetId="9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3">#REF!</definedName>
    <definedName name="_qs2" localSheetId="4">#REF!</definedName>
    <definedName name="_qs2" localSheetId="5">#REF!</definedName>
    <definedName name="_qs2" localSheetId="7">#REF!</definedName>
    <definedName name="_qs2" localSheetId="9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3">#REF!</definedName>
    <definedName name="_z" localSheetId="4">#REF!</definedName>
    <definedName name="_z" localSheetId="5">#REF!</definedName>
    <definedName name="_z" localSheetId="7">#REF!</definedName>
    <definedName name="_z" localSheetId="9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3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 localSheetId="9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7">#REF!</definedName>
    <definedName name="a" localSheetId="9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3">#REF!</definedName>
    <definedName name="asd" localSheetId="4">#REF!</definedName>
    <definedName name="asd" localSheetId="5">#REF!</definedName>
    <definedName name="asd" localSheetId="7">#REF!</definedName>
    <definedName name="asd" localSheetId="9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3">#REF!</definedName>
    <definedName name="Categories" localSheetId="4">#REF!</definedName>
    <definedName name="Categories" localSheetId="5">#REF!</definedName>
    <definedName name="Categories" localSheetId="7">#REF!</definedName>
    <definedName name="Categories" localSheetId="9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3">#REF!</definedName>
    <definedName name="Criteria" localSheetId="4">#REF!</definedName>
    <definedName name="Criteria" localSheetId="5">#REF!</definedName>
    <definedName name="Criteria" localSheetId="7">#REF!</definedName>
    <definedName name="Criteria" localSheetId="9">#REF!</definedName>
    <definedName name="Criteria">#REF!</definedName>
    <definedName name="cvtnf" localSheetId="3">#REF!</definedName>
    <definedName name="cvtnf" localSheetId="4">#REF!</definedName>
    <definedName name="cvtnf" localSheetId="5">#REF!</definedName>
    <definedName name="cvtnf" localSheetId="6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3">#REF!</definedName>
    <definedName name="ddduy" localSheetId="4">#REF!</definedName>
    <definedName name="ddduy" localSheetId="5">#REF!</definedName>
    <definedName name="ddduy" localSheetId="7">#REF!</definedName>
    <definedName name="ddduy" localSheetId="9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3">#REF!</definedName>
    <definedName name="DiscontRate" localSheetId="4">#REF!</definedName>
    <definedName name="DiscontRate" localSheetId="5">#REF!</definedName>
    <definedName name="DiscontRate" localSheetId="7">#REF!</definedName>
    <definedName name="DiscontRate" localSheetId="9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 localSheetId="9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3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 localSheetId="9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3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 localSheetId="9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3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 localSheetId="9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3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 localSheetId="9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3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 localSheetId="9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3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 localSheetId="9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3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 localSheetId="9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3">#REF!</definedName>
    <definedName name="htvjyn" localSheetId="4">#REF!</definedName>
    <definedName name="htvjyn" localSheetId="5">#REF!</definedName>
    <definedName name="htvjyn" localSheetId="6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3">#REF!</definedName>
    <definedName name="iii" localSheetId="4">#REF!</definedName>
    <definedName name="iii" localSheetId="5">#REF!</definedName>
    <definedName name="iii" localSheetId="7">#REF!</definedName>
    <definedName name="iii" localSheetId="9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3">#REF!</definedName>
    <definedName name="Itog" localSheetId="4">#REF!</definedName>
    <definedName name="Itog" localSheetId="5">#REF!</definedName>
    <definedName name="Itog" localSheetId="7">#REF!</definedName>
    <definedName name="Itog" localSheetId="9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3">#REF!</definedName>
    <definedName name="jkjhggh" localSheetId="4">#REF!</definedName>
    <definedName name="jkjhggh" localSheetId="5">#REF!</definedName>
    <definedName name="jkjhggh" localSheetId="7">#REF!</definedName>
    <definedName name="jkjhggh" localSheetId="9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3">#REF!</definedName>
    <definedName name="kk" localSheetId="4">#REF!</definedName>
    <definedName name="kk" localSheetId="5">#REF!</definedName>
    <definedName name="kk" localSheetId="6">#REF!</definedName>
    <definedName name="kk">#REF!</definedName>
    <definedName name="kl" localSheetId="3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3">#REF!</definedName>
    <definedName name="KPlan" localSheetId="4">#REF!</definedName>
    <definedName name="KPlan" localSheetId="5">#REF!</definedName>
    <definedName name="KPlan" localSheetId="7">#REF!</definedName>
    <definedName name="KPlan" localSheetId="9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7">#REF!</definedName>
    <definedName name="m" localSheetId="9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9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9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9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9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11">IF(ФОТр.тек.!n_3=1,ФОТр.тек.!n_2,ФОТр.тек.!n_3&amp;ФОТр.тек.!n_1)</definedName>
    <definedName name="n0x">IF('Прил.7 Расчет пок.'!n_3=1,'Прил.7 Расчет пок.'!n_2,'Прил.7 Расчет пок.'!n_3&amp;'Прил.7 Расчет пок.'!n_1)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11">IF(ФОТр.тек.!n_3=1,ФОТр.тек.!n_2,ФОТр.тек.!n_3&amp;ФОТр.тек.!n_5)</definedName>
    <definedName name="n1x">IF('Прил.7 Расчет пок.'!n_3=1,'Прил.7 Расчет пок.'!n_2,'Прил.7 Расчет пок.'!n_3&amp;'Прил.7 Расчет пок.'!n_5)</definedName>
    <definedName name="Nalog" localSheetId="0">#REF!</definedName>
    <definedName name="Nalog" localSheetId="1">#REF!</definedName>
    <definedName name="Nalog" localSheetId="2">#REF!</definedName>
    <definedName name="Nalog" localSheetId="3">#REF!</definedName>
    <definedName name="Nalog" localSheetId="4">#REF!</definedName>
    <definedName name="Nalog" localSheetId="5">#REF!</definedName>
    <definedName name="Nalog" localSheetId="7">#REF!</definedName>
    <definedName name="Nalog" localSheetId="9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3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 localSheetId="9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3">#REF!</definedName>
    <definedName name="oppp" localSheetId="4">#REF!</definedName>
    <definedName name="oppp" localSheetId="5">#REF!</definedName>
    <definedName name="oppp" localSheetId="7">#REF!</definedName>
    <definedName name="oppp" localSheetId="9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3">#REF!</definedName>
    <definedName name="pp" localSheetId="4">#REF!</definedName>
    <definedName name="pp" localSheetId="5">#REF!</definedName>
    <definedName name="pp" localSheetId="7">#REF!</definedName>
    <definedName name="pp" localSheetId="9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3">#REF!</definedName>
    <definedName name="Print_Area" localSheetId="4">#REF!</definedName>
    <definedName name="Print_Area" localSheetId="5">#REF!</definedName>
    <definedName name="Print_Area" localSheetId="7">#REF!</definedName>
    <definedName name="Print_Area" localSheetId="9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3">#REF!</definedName>
    <definedName name="propis" localSheetId="4">#REF!</definedName>
    <definedName name="propis" localSheetId="5">#REF!</definedName>
    <definedName name="propis" localSheetId="7">#REF!</definedName>
    <definedName name="propis" localSheetId="9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 localSheetId="9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3">#REF!</definedName>
    <definedName name="rrrrrr" localSheetId="4">#REF!</definedName>
    <definedName name="rrrrrr" localSheetId="5">#REF!</definedName>
    <definedName name="rrrrrr" localSheetId="6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3">#REF!</definedName>
    <definedName name="SD_DC" localSheetId="4">#REF!</definedName>
    <definedName name="SD_DC" localSheetId="5">#REF!</definedName>
    <definedName name="SD_DC" localSheetId="7">#REF!</definedName>
    <definedName name="SD_DC" localSheetId="9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3">#REF!</definedName>
    <definedName name="SDDsfd" localSheetId="4">#REF!</definedName>
    <definedName name="SDDsfd" localSheetId="5">#REF!</definedName>
    <definedName name="SDDsfd" localSheetId="7">#REF!</definedName>
    <definedName name="SDDsfd" localSheetId="9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3">#REF!</definedName>
    <definedName name="SM" localSheetId="4">#REF!</definedName>
    <definedName name="SM" localSheetId="5">#REF!</definedName>
    <definedName name="SM" localSheetId="7">#REF!</definedName>
    <definedName name="SM" localSheetId="9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3">#REF!</definedName>
    <definedName name="SM_STO1" localSheetId="4">#REF!</definedName>
    <definedName name="SM_STO1" localSheetId="5">#REF!</definedName>
    <definedName name="SM_STO1" localSheetId="7">#REF!</definedName>
    <definedName name="SM_STO1" localSheetId="9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7">#REF!</definedName>
    <definedName name="Status" localSheetId="9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3">#REF!</definedName>
    <definedName name="SUM_" localSheetId="4">#REF!</definedName>
    <definedName name="SUM_" localSheetId="5">#REF!</definedName>
    <definedName name="SUM_" localSheetId="7">#REF!</definedName>
    <definedName name="SUM_" localSheetId="9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3">#REF!</definedName>
    <definedName name="ttt" localSheetId="4">#REF!</definedName>
    <definedName name="ttt" localSheetId="5">#REF!</definedName>
    <definedName name="ttt" localSheetId="6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3">#REF!</definedName>
    <definedName name="USA_1" localSheetId="4">#REF!</definedName>
    <definedName name="USA_1" localSheetId="5">#REF!</definedName>
    <definedName name="USA_1" localSheetId="7">#REF!</definedName>
    <definedName name="USA_1" localSheetId="9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3">#REF!</definedName>
    <definedName name="v" localSheetId="4">#REF!</definedName>
    <definedName name="v" localSheetId="5">#REF!</definedName>
    <definedName name="v" localSheetId="7">#REF!</definedName>
    <definedName name="v" localSheetId="9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7">#REF!</definedName>
    <definedName name="w" localSheetId="9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3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3">#REF!</definedName>
    <definedName name="xh" localSheetId="4">#REF!</definedName>
    <definedName name="xh" localSheetId="5">#REF!</definedName>
    <definedName name="xh" localSheetId="7">#REF!</definedName>
    <definedName name="xh" localSheetId="9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3">#REF!</definedName>
    <definedName name="А10" localSheetId="4">#REF!</definedName>
    <definedName name="А10" localSheetId="5">#REF!</definedName>
    <definedName name="А10" localSheetId="7">#REF!</definedName>
    <definedName name="А10" localSheetId="9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3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3">#REF!</definedName>
    <definedName name="ало" localSheetId="4">#REF!</definedName>
    <definedName name="ало" localSheetId="5">#REF!</definedName>
    <definedName name="ало" localSheetId="7">#REF!</definedName>
    <definedName name="ало" localSheetId="9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3">#REF!</definedName>
    <definedName name="анол" localSheetId="4">#REF!</definedName>
    <definedName name="анол" localSheetId="5">#REF!</definedName>
    <definedName name="анол" localSheetId="7">#REF!</definedName>
    <definedName name="анол" localSheetId="9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3">#REF!</definedName>
    <definedName name="аода" localSheetId="4">#REF!</definedName>
    <definedName name="аода" localSheetId="5">#REF!</definedName>
    <definedName name="аода" localSheetId="7">#REF!</definedName>
    <definedName name="аода" localSheetId="9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3">#REF!</definedName>
    <definedName name="аопы" localSheetId="4">#REF!</definedName>
    <definedName name="аопы" localSheetId="5">#REF!</definedName>
    <definedName name="аопы" localSheetId="7">#REF!</definedName>
    <definedName name="аопы" localSheetId="9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3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 localSheetId="9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3">#REF!</definedName>
    <definedName name="апыо" localSheetId="4">#REF!</definedName>
    <definedName name="апыо" localSheetId="5">#REF!</definedName>
    <definedName name="апыо" localSheetId="7">#REF!</definedName>
    <definedName name="апыо" localSheetId="9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3">#REF!</definedName>
    <definedName name="аро" localSheetId="4">#REF!</definedName>
    <definedName name="аро" localSheetId="5">#REF!</definedName>
    <definedName name="аро" localSheetId="7">#REF!</definedName>
    <definedName name="аро" localSheetId="9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3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 localSheetId="9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 localSheetId="9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3">#REF!</definedName>
    <definedName name="аыв" localSheetId="4">#REF!</definedName>
    <definedName name="аыв" localSheetId="5">#REF!</definedName>
    <definedName name="аыв" localSheetId="7">#REF!</definedName>
    <definedName name="аыв" localSheetId="9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3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 localSheetId="9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3">#REF!</definedName>
    <definedName name="б" localSheetId="4">#REF!</definedName>
    <definedName name="б" localSheetId="5">#REF!</definedName>
    <definedName name="б" localSheetId="7">#REF!</definedName>
    <definedName name="б" localSheetId="9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3">#REF!</definedName>
    <definedName name="Больш" localSheetId="4">#REF!</definedName>
    <definedName name="Больш" localSheetId="5">#REF!</definedName>
    <definedName name="Больш" localSheetId="7">#REF!</definedName>
    <definedName name="Больш" localSheetId="9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3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 localSheetId="9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3">#REF!</definedName>
    <definedName name="вава" localSheetId="4">#REF!</definedName>
    <definedName name="вава" localSheetId="5">#REF!</definedName>
    <definedName name="вава" localSheetId="7">#REF!</definedName>
    <definedName name="вава" localSheetId="9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3">#REF!</definedName>
    <definedName name="ВАЛ_" localSheetId="4">#REF!</definedName>
    <definedName name="ВАЛ_" localSheetId="5">#REF!</definedName>
    <definedName name="ВАЛ_" localSheetId="7">#REF!</definedName>
    <definedName name="ВАЛ_" localSheetId="9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3">#REF!</definedName>
    <definedName name="вао" localSheetId="4">#REF!</definedName>
    <definedName name="вао" localSheetId="5">#REF!</definedName>
    <definedName name="вао" localSheetId="7">#REF!</definedName>
    <definedName name="вао" localSheetId="9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3">#REF!</definedName>
    <definedName name="варо" localSheetId="4">#REF!</definedName>
    <definedName name="варо" localSheetId="5">#REF!</definedName>
    <definedName name="варо" localSheetId="7">#REF!</definedName>
    <definedName name="варо" localSheetId="9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3">#REF!</definedName>
    <definedName name="ввв" localSheetId="4">#REF!</definedName>
    <definedName name="ввв" localSheetId="5">#REF!</definedName>
    <definedName name="ввв" localSheetId="7">#REF!</definedName>
    <definedName name="ввв" localSheetId="9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3">#REF!</definedName>
    <definedName name="вген" localSheetId="4">#REF!</definedName>
    <definedName name="вген" localSheetId="5">#REF!</definedName>
    <definedName name="вген" localSheetId="7">#REF!</definedName>
    <definedName name="вген" localSheetId="9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3">#REF!</definedName>
    <definedName name="веше" localSheetId="4">#REF!</definedName>
    <definedName name="веше" localSheetId="5">#REF!</definedName>
    <definedName name="веше" localSheetId="7">#REF!</definedName>
    <definedName name="веше" localSheetId="9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 localSheetId="9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3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 localSheetId="9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 localSheetId="9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3">#REF!</definedName>
    <definedName name="Вп" localSheetId="4">#REF!</definedName>
    <definedName name="Вп" localSheetId="5">#REF!</definedName>
    <definedName name="Вп" localSheetId="7">#REF!</definedName>
    <definedName name="Вп" localSheetId="9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3">#REF!</definedName>
    <definedName name="впор" localSheetId="4">#REF!</definedName>
    <definedName name="впор" localSheetId="5">#REF!</definedName>
    <definedName name="впор" localSheetId="7">#REF!</definedName>
    <definedName name="впор" localSheetId="9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3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 localSheetId="9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3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 localSheetId="9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3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 localSheetId="9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 localSheetId="9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3">#REF!</definedName>
    <definedName name="ГАП" localSheetId="4">#REF!</definedName>
    <definedName name="ГАП" localSheetId="5">#REF!</definedName>
    <definedName name="ГАП" localSheetId="7">#REF!</definedName>
    <definedName name="ГАП" localSheetId="9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3">#REF!</definedName>
    <definedName name="гелог" localSheetId="4">#REF!</definedName>
    <definedName name="гелог" localSheetId="5">#REF!</definedName>
    <definedName name="гелог" localSheetId="7">#REF!</definedName>
    <definedName name="гелог" localSheetId="9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3">#REF!</definedName>
    <definedName name="геол1" localSheetId="4">#REF!</definedName>
    <definedName name="геол1" localSheetId="5">#REF!</definedName>
    <definedName name="геол1" localSheetId="7">#REF!</definedName>
    <definedName name="геол1" localSheetId="9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3">#REF!</definedName>
    <definedName name="гидро1" localSheetId="4">#REF!</definedName>
    <definedName name="гидро1" localSheetId="5">#REF!</definedName>
    <definedName name="гидро1" localSheetId="7">#REF!</definedName>
    <definedName name="гидро1" localSheetId="9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3">#REF!</definedName>
    <definedName name="гидро5" localSheetId="4">#REF!</definedName>
    <definedName name="гидро5" localSheetId="5">#REF!</definedName>
    <definedName name="гидро5" localSheetId="7">#REF!</definedName>
    <definedName name="гидро5" localSheetId="9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3">#REF!</definedName>
    <definedName name="глрп" localSheetId="4">#REF!</definedName>
    <definedName name="глрп" localSheetId="5">#REF!</definedName>
    <definedName name="глрп" localSheetId="7">#REF!</definedName>
    <definedName name="глрп" localSheetId="9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3">#REF!</definedName>
    <definedName name="гор" localSheetId="4">#REF!</definedName>
    <definedName name="гор" localSheetId="5">#REF!</definedName>
    <definedName name="гор" localSheetId="7">#REF!</definedName>
    <definedName name="гор" localSheetId="9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3">#REF!</definedName>
    <definedName name="гш" localSheetId="4">#REF!</definedName>
    <definedName name="гш" localSheetId="5">#REF!</definedName>
    <definedName name="гш" localSheetId="7">#REF!</definedName>
    <definedName name="гш" localSheetId="9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3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 localSheetId="9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3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 localSheetId="9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3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 localSheetId="9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3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 localSheetId="9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3">#REF!</definedName>
    <definedName name="Диск" localSheetId="4">#REF!</definedName>
    <definedName name="Диск" localSheetId="5">#REF!</definedName>
    <definedName name="Диск" localSheetId="7">#REF!</definedName>
    <definedName name="Диск" localSheetId="9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3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 localSheetId="9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3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 localSheetId="9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3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 localSheetId="9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3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 localSheetId="9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 localSheetId="9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3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 localSheetId="9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3">#REF!</definedName>
    <definedName name="дщшю" localSheetId="4">#REF!</definedName>
    <definedName name="дщшю" localSheetId="5">#REF!</definedName>
    <definedName name="дщшю" localSheetId="7">#REF!</definedName>
    <definedName name="дщшю" localSheetId="9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 localSheetId="9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3">#REF!</definedName>
    <definedName name="жжж" localSheetId="4">#REF!</definedName>
    <definedName name="жжж" localSheetId="5">#REF!</definedName>
    <definedName name="жжж" localSheetId="7">#REF!</definedName>
    <definedName name="жжж" localSheetId="9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3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 localSheetId="9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3">#REF!</definedName>
    <definedName name="зждзд" localSheetId="4">#REF!</definedName>
    <definedName name="зждзд" localSheetId="5">#REF!</definedName>
    <definedName name="зждзд" localSheetId="7">#REF!</definedName>
    <definedName name="зждзд" localSheetId="9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3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 localSheetId="9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3">#REF!</definedName>
    <definedName name="зощр" localSheetId="4">#REF!</definedName>
    <definedName name="зощр" localSheetId="5">#REF!</definedName>
    <definedName name="зощр" localSheetId="7">#REF!</definedName>
    <definedName name="зощр" localSheetId="9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 localSheetId="9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3">#REF!</definedName>
    <definedName name="имт" localSheetId="4">#REF!</definedName>
    <definedName name="имт" localSheetId="5">#REF!</definedName>
    <definedName name="имт" localSheetId="7">#REF!</definedName>
    <definedName name="имт" localSheetId="9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3">#REF!</definedName>
    <definedName name="Ини" localSheetId="4">#REF!</definedName>
    <definedName name="Ини" localSheetId="5">#REF!</definedName>
    <definedName name="Ини" localSheetId="6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3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 localSheetId="9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 localSheetId="9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 localSheetId="9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 localSheetId="9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 localSheetId="9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 localSheetId="9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 localSheetId="9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 localSheetId="9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 localSheetId="9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 localSheetId="9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3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 localSheetId="9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3">#REF!</definedName>
    <definedName name="йцу" localSheetId="4">#REF!</definedName>
    <definedName name="йцу" localSheetId="5">#REF!</definedName>
    <definedName name="йцу" localSheetId="7">#REF!</definedName>
    <definedName name="йцу" localSheetId="9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3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 localSheetId="9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3">#REF!</definedName>
    <definedName name="кака" localSheetId="4">#REF!</definedName>
    <definedName name="кака" localSheetId="5">#REF!</definedName>
    <definedName name="кака" localSheetId="7">#REF!</definedName>
    <definedName name="кака" localSheetId="9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 localSheetId="9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3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 localSheetId="9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3">#REF!</definedName>
    <definedName name="кгкг" localSheetId="4">#REF!</definedName>
    <definedName name="кгкг" localSheetId="5">#REF!</definedName>
    <definedName name="кгкг" localSheetId="7">#REF!</definedName>
    <definedName name="кгкг" localSheetId="9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3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 localSheetId="9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3">#REF!</definedName>
    <definedName name="книга" localSheetId="4">#REF!</definedName>
    <definedName name="книга" localSheetId="5">#REF!</definedName>
    <definedName name="книга" localSheetId="7">#REF!</definedName>
    <definedName name="книга" localSheetId="9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 localSheetId="9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3">#REF!</definedName>
    <definedName name="ком." localSheetId="4">#REF!</definedName>
    <definedName name="ком." localSheetId="5">#REF!</definedName>
    <definedName name="ком." localSheetId="7">#REF!</definedName>
    <definedName name="ком." localSheetId="9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3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3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 localSheetId="9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3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 localSheetId="9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3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 localSheetId="9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3">#REF!</definedName>
    <definedName name="КОЭФ3" localSheetId="4">#REF!</definedName>
    <definedName name="КОЭФ3" localSheetId="5">#REF!</definedName>
    <definedName name="КОЭФ3" localSheetId="7">#REF!</definedName>
    <definedName name="КОЭФ3" localSheetId="9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3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 localSheetId="9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3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 localSheetId="9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3">#REF!</definedName>
    <definedName name="крас" localSheetId="4">#REF!</definedName>
    <definedName name="крас" localSheetId="5">#REF!</definedName>
    <definedName name="крас" localSheetId="7">#REF!</definedName>
    <definedName name="крас" localSheetId="9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3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 localSheetId="9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3">#REF!</definedName>
    <definedName name="куку" localSheetId="4">#REF!</definedName>
    <definedName name="куку" localSheetId="5">#REF!</definedName>
    <definedName name="куку" localSheetId="7">#REF!</definedName>
    <definedName name="куку" localSheetId="9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3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 localSheetId="9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3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 localSheetId="9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3">#REF!</definedName>
    <definedName name="ленин" localSheetId="4">#REF!</definedName>
    <definedName name="ленин" localSheetId="5">#REF!</definedName>
    <definedName name="ленин" localSheetId="7">#REF!</definedName>
    <definedName name="ленин" localSheetId="9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3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 localSheetId="9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3">#REF!</definedName>
    <definedName name="М" localSheetId="4">#REF!</definedName>
    <definedName name="М" localSheetId="5">#REF!</definedName>
    <definedName name="М" localSheetId="7">#REF!</definedName>
    <definedName name="М" localSheetId="9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 localSheetId="9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3">#REF!</definedName>
    <definedName name="МАРЖА" localSheetId="4">#REF!</definedName>
    <definedName name="МАРЖА" localSheetId="5">#REF!</definedName>
    <definedName name="МАРЖА" localSheetId="7">#REF!</definedName>
    <definedName name="МАРЖА" localSheetId="9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3">#REF!</definedName>
    <definedName name="МИ_Т" localSheetId="4">#REF!</definedName>
    <definedName name="МИ_Т" localSheetId="5">#REF!</definedName>
    <definedName name="МИ_Т" localSheetId="7">#REF!</definedName>
    <definedName name="МИ_Т" localSheetId="9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3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3">#REF!</definedName>
    <definedName name="мин" localSheetId="4">#REF!</definedName>
    <definedName name="мин" localSheetId="5">#REF!</definedName>
    <definedName name="мин" localSheetId="7">#REF!</definedName>
    <definedName name="мин" localSheetId="9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3">#REF!</definedName>
    <definedName name="мм" localSheetId="4">#REF!</definedName>
    <definedName name="мм" localSheetId="5">#REF!</definedName>
    <definedName name="мм" localSheetId="7">#REF!</definedName>
    <definedName name="мм" localSheetId="9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3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 localSheetId="9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 localSheetId="9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 localSheetId="9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3">#REF!</definedName>
    <definedName name="над" localSheetId="4">#REF!</definedName>
    <definedName name="над" localSheetId="5">#REF!</definedName>
    <definedName name="над" localSheetId="7">#REF!</definedName>
    <definedName name="над" localSheetId="9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3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 localSheetId="9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 localSheetId="9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3">#REF!</definedName>
    <definedName name="нвле" localSheetId="4">#REF!</definedName>
    <definedName name="нвле" localSheetId="5">#REF!</definedName>
    <definedName name="нвле" localSheetId="7">#REF!</definedName>
    <definedName name="нвле" localSheetId="9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3">#REF!</definedName>
    <definedName name="нер" localSheetId="4">#REF!</definedName>
    <definedName name="нер" localSheetId="5">#REF!</definedName>
    <definedName name="нер" localSheetId="7">#REF!</definedName>
    <definedName name="нер" localSheetId="9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3">#REF!</definedName>
    <definedName name="неуо" localSheetId="4">#REF!</definedName>
    <definedName name="неуо" localSheetId="5">#REF!</definedName>
    <definedName name="неуо" localSheetId="7">#REF!</definedName>
    <definedName name="неуо" localSheetId="9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3">#REF!</definedName>
    <definedName name="новый" localSheetId="4">#REF!</definedName>
    <definedName name="новый" localSheetId="5">#REF!</definedName>
    <definedName name="новый" localSheetId="7">#REF!</definedName>
    <definedName name="новый" localSheetId="9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3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>#REF!</definedName>
    <definedName name="НормаПП_на_УЕ" localSheetId="3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3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3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3">#REF!</definedName>
    <definedName name="о" localSheetId="4">#REF!</definedName>
    <definedName name="о" localSheetId="5">#REF!</definedName>
    <definedName name="о" localSheetId="7">#REF!</definedName>
    <definedName name="о" localSheetId="9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3">#REF!</definedName>
    <definedName name="об" localSheetId="4">#REF!</definedName>
    <definedName name="об" localSheetId="5">#REF!</definedName>
    <definedName name="об" localSheetId="7">#REF!</definedName>
    <definedName name="об" localSheetId="9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3">'Прил.1 Сравнит табл'!$A$1:$D$32</definedName>
    <definedName name="_xlnm.Print_Area" localSheetId="4">'Прил.2 Расч стоим'!$A$1:$J$22</definedName>
    <definedName name="_xlnm.Print_Area" localSheetId="5">Прил.3!$A$1:$H$66</definedName>
    <definedName name="_xlnm.Print_Area" localSheetId="6">'Прил.4 РМ'!$A$1:$E$48</definedName>
    <definedName name="_xlnm.Print_Area" localSheetId="7">'Прил.5 Расчет СМР и ОБ'!$A$1:$J$78</definedName>
    <definedName name="_xlnm.Print_Area" localSheetId="8">'Прил.6 Расчет ОБ'!$A$1:$G$32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 localSheetId="9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3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 localSheetId="9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3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 localSheetId="9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3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 localSheetId="9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3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 localSheetId="9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3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 localSheetId="9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3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 localSheetId="9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3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 localSheetId="9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3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 localSheetId="9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3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 localSheetId="9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3">#REF!</definedName>
    <definedName name="окн" localSheetId="4">#REF!</definedName>
    <definedName name="окн" localSheetId="5">#REF!</definedName>
    <definedName name="окн" localSheetId="7">#REF!</definedName>
    <definedName name="окн" localSheetId="9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 localSheetId="9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>#REF!</definedName>
    <definedName name="ОсвоениеИП" localSheetId="3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3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3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3">#REF!</definedName>
    <definedName name="оьт" localSheetId="4">#REF!</definedName>
    <definedName name="оьт" localSheetId="5">#REF!</definedName>
    <definedName name="оьт" localSheetId="7">#REF!</definedName>
    <definedName name="оьт" localSheetId="9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3">#REF!</definedName>
    <definedName name="паша" localSheetId="4">#REF!</definedName>
    <definedName name="паша" localSheetId="5">#REF!</definedName>
    <definedName name="паша" localSheetId="7">#REF!</definedName>
    <definedName name="паша" localSheetId="9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3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 localSheetId="9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3">#REF!</definedName>
    <definedName name="Пи" localSheetId="4">#REF!</definedName>
    <definedName name="Пи" localSheetId="5">#REF!</definedName>
    <definedName name="Пи" localSheetId="7">#REF!</definedName>
    <definedName name="Пи" localSheetId="9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3">#REF!</definedName>
    <definedName name="пл" localSheetId="4">#REF!</definedName>
    <definedName name="пл" localSheetId="5">#REF!</definedName>
    <definedName name="пл" localSheetId="7">#REF!</definedName>
    <definedName name="пл" localSheetId="9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3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 localSheetId="9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3">#REF!</definedName>
    <definedName name="плыа" localSheetId="4">#REF!</definedName>
    <definedName name="плыа" localSheetId="5">#REF!</definedName>
    <definedName name="плыа" localSheetId="7">#REF!</definedName>
    <definedName name="плыа" localSheetId="9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3">#REF!</definedName>
    <definedName name="пов" localSheetId="4">#REF!</definedName>
    <definedName name="пов" localSheetId="5">#REF!</definedName>
    <definedName name="пов" localSheetId="7">#REF!</definedName>
    <definedName name="пов" localSheetId="9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3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 localSheetId="9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3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 localSheetId="9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3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 localSheetId="9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 localSheetId="9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 localSheetId="9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 localSheetId="9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 localSheetId="9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 localSheetId="9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 localSheetId="9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 localSheetId="9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 localSheetId="9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 localSheetId="9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 localSheetId="9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3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>#REF!</definedName>
    <definedName name="ПотериФакт" localSheetId="3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3">#REF!</definedName>
    <definedName name="пп" localSheetId="4">#REF!</definedName>
    <definedName name="пп" localSheetId="5">#REF!</definedName>
    <definedName name="пп" localSheetId="7">#REF!</definedName>
    <definedName name="пп" localSheetId="9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 localSheetId="9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3">#REF!</definedName>
    <definedName name="прд" localSheetId="4">#REF!</definedName>
    <definedName name="прд" localSheetId="5">#REF!</definedName>
    <definedName name="прд" localSheetId="7">#REF!</definedName>
    <definedName name="прд" localSheetId="9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3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 localSheetId="9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3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 localSheetId="9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3">#REF!</definedName>
    <definedName name="прл" localSheetId="4">#REF!</definedName>
    <definedName name="прл" localSheetId="5">#REF!</definedName>
    <definedName name="прл" localSheetId="7">#REF!</definedName>
    <definedName name="прл" localSheetId="9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3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 localSheetId="9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3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 localSheetId="9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3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 localSheetId="9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3">#REF!</definedName>
    <definedName name="пропр" localSheetId="4">#REF!</definedName>
    <definedName name="пропр" localSheetId="5">#REF!</definedName>
    <definedName name="пропр" localSheetId="7">#REF!</definedName>
    <definedName name="пропр" localSheetId="9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3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 localSheetId="9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3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 localSheetId="9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3">#REF!</definedName>
    <definedName name="прпр_1" localSheetId="4">#REF!</definedName>
    <definedName name="прпр_1" localSheetId="5">#REF!</definedName>
    <definedName name="прпр_1" localSheetId="7">#REF!</definedName>
    <definedName name="прпр_1" localSheetId="9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3">#REF!</definedName>
    <definedName name="прьто" localSheetId="4">#REF!</definedName>
    <definedName name="прьто" localSheetId="5">#REF!</definedName>
    <definedName name="прьто" localSheetId="7">#REF!</definedName>
    <definedName name="прьто" localSheetId="9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 localSheetId="9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3">#REF!</definedName>
    <definedName name="пшждю" localSheetId="4">#REF!</definedName>
    <definedName name="пшждю" localSheetId="5">#REF!</definedName>
    <definedName name="пшждю" localSheetId="7">#REF!</definedName>
    <definedName name="пшждю" localSheetId="9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3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 localSheetId="9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9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3">#REF!</definedName>
    <definedName name="раоб" localSheetId="4">#REF!</definedName>
    <definedName name="раоб" localSheetId="5">#REF!</definedName>
    <definedName name="раоб" localSheetId="7">#REF!</definedName>
    <definedName name="раоб" localSheetId="9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3">#REF!</definedName>
    <definedName name="расш" localSheetId="4">#REF!</definedName>
    <definedName name="расш" localSheetId="5">#REF!</definedName>
    <definedName name="расш" localSheetId="6">#REF!</definedName>
    <definedName name="расш">#REF!</definedName>
    <definedName name="расш." localSheetId="3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3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 localSheetId="9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3">#REF!</definedName>
    <definedName name="рлвро" localSheetId="4">#REF!</definedName>
    <definedName name="рлвро" localSheetId="5">#REF!</definedName>
    <definedName name="рлвро" localSheetId="7">#REF!</definedName>
    <definedName name="рлвро" localSheetId="9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3">#REF!</definedName>
    <definedName name="роло" localSheetId="4">#REF!</definedName>
    <definedName name="роло" localSheetId="5">#REF!</definedName>
    <definedName name="роло" localSheetId="7">#REF!</definedName>
    <definedName name="роло" localSheetId="9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3">#REF!</definedName>
    <definedName name="рпьрь" localSheetId="4">#REF!</definedName>
    <definedName name="рпьрь" localSheetId="5">#REF!</definedName>
    <definedName name="рпьрь" localSheetId="7">#REF!</definedName>
    <definedName name="рпьрь" localSheetId="9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 localSheetId="9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3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3">#REF!</definedName>
    <definedName name="с1" localSheetId="4">#REF!</definedName>
    <definedName name="с1" localSheetId="5">#REF!</definedName>
    <definedName name="с1" localSheetId="7">#REF!</definedName>
    <definedName name="с1" localSheetId="9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 localSheetId="9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3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 localSheetId="9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3">#REF!</definedName>
    <definedName name="сев" localSheetId="4">#REF!</definedName>
    <definedName name="сев" localSheetId="5">#REF!</definedName>
    <definedName name="сев" localSheetId="7">#REF!</definedName>
    <definedName name="сев" localSheetId="9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3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 localSheetId="9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3">#REF!</definedName>
    <definedName name="Семь" localSheetId="4">#REF!</definedName>
    <definedName name="Семь" localSheetId="5">#REF!</definedName>
    <definedName name="Семь" localSheetId="7">#REF!</definedName>
    <definedName name="Семь" localSheetId="9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3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 localSheetId="9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 localSheetId="9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3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 localSheetId="9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3">#REF!</definedName>
    <definedName name="см" localSheetId="4">#REF!</definedName>
    <definedName name="см" localSheetId="5">#REF!</definedName>
    <definedName name="см" localSheetId="7">#REF!</definedName>
    <definedName name="см" localSheetId="9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3">#REF!</definedName>
    <definedName name="См7" localSheetId="4">#REF!</definedName>
    <definedName name="См7" localSheetId="5">#REF!</definedName>
    <definedName name="См7" localSheetId="7">#REF!</definedName>
    <definedName name="См7" localSheetId="9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3">#REF!</definedName>
    <definedName name="смета" localSheetId="4">#REF!</definedName>
    <definedName name="смета" localSheetId="5">#REF!</definedName>
    <definedName name="смета" localSheetId="7">#REF!</definedName>
    <definedName name="смета" localSheetId="9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3">#REF!</definedName>
    <definedName name="смета1" localSheetId="4">#REF!</definedName>
    <definedName name="смета1" localSheetId="5">#REF!</definedName>
    <definedName name="смета1" localSheetId="7">#REF!</definedName>
    <definedName name="смета1" localSheetId="9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 localSheetId="9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 localSheetId="9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3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 localSheetId="9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3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 localSheetId="9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3">#REF!</definedName>
    <definedName name="сп2" localSheetId="4">#REF!</definedName>
    <definedName name="сп2" localSheetId="5">#REF!</definedName>
    <definedName name="сп2" localSheetId="7">#REF!</definedName>
    <definedName name="сп2" localSheetId="9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3">#REF!</definedName>
    <definedName name="срл" localSheetId="4">#REF!</definedName>
    <definedName name="срл" localSheetId="5">#REF!</definedName>
    <definedName name="срл" localSheetId="7">#REF!</definedName>
    <definedName name="срл" localSheetId="9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>#REF!</definedName>
    <definedName name="СтавкаДепозитов" localSheetId="3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 localSheetId="9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3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 localSheetId="9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3">#REF!</definedName>
    <definedName name="страх" localSheetId="4">#REF!</definedName>
    <definedName name="страх" localSheetId="5">#REF!</definedName>
    <definedName name="страх" localSheetId="6">#REF!</definedName>
    <definedName name="страх">#REF!</definedName>
    <definedName name="страхов" localSheetId="3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 localSheetId="9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3">#REF!</definedName>
    <definedName name="т" localSheetId="4">#REF!</definedName>
    <definedName name="т" localSheetId="5">#REF!</definedName>
    <definedName name="т" localSheetId="7">#REF!</definedName>
    <definedName name="т" localSheetId="9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 localSheetId="9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3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 localSheetId="9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3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 localSheetId="9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3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3">#REF!</definedName>
    <definedName name="тьбю" localSheetId="4">#REF!</definedName>
    <definedName name="тьбю" localSheetId="5">#REF!</definedName>
    <definedName name="тьбю" localSheetId="7">#REF!</definedName>
    <definedName name="тьбю" localSheetId="9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>#REF!</definedName>
    <definedName name="УслугиТОиР_ЭСС" localSheetId="3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3">#REF!</definedName>
    <definedName name="Ф5.1" localSheetId="4">#REF!</definedName>
    <definedName name="Ф5.1" localSheetId="5">#REF!</definedName>
    <definedName name="Ф5.1" localSheetId="7">#REF!</definedName>
    <definedName name="Ф5.1" localSheetId="9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3">#REF!</definedName>
    <definedName name="Ф91" localSheetId="4">#REF!</definedName>
    <definedName name="Ф91" localSheetId="5">#REF!</definedName>
    <definedName name="Ф91" localSheetId="7">#REF!</definedName>
    <definedName name="Ф91" localSheetId="9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 localSheetId="9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3">#REF!</definedName>
    <definedName name="фукек" localSheetId="4">#REF!</definedName>
    <definedName name="фукек" localSheetId="5">#REF!</definedName>
    <definedName name="фукек" localSheetId="7">#REF!</definedName>
    <definedName name="фукек" localSheetId="9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3">#REF!</definedName>
    <definedName name="ффггг" localSheetId="4">#REF!</definedName>
    <definedName name="ффггг" localSheetId="5">#REF!</definedName>
    <definedName name="ффггг" localSheetId="7">#REF!</definedName>
    <definedName name="ффггг" localSheetId="9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3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 localSheetId="9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3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 localSheetId="9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3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 localSheetId="9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3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 localSheetId="9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3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 localSheetId="9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3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 localSheetId="9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3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 localSheetId="9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3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 localSheetId="9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3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 localSheetId="9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3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 localSheetId="9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 localSheetId="9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3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 localSheetId="9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3">#REF!</definedName>
    <definedName name="ыа" localSheetId="4">#REF!</definedName>
    <definedName name="ыа" localSheetId="5">#REF!</definedName>
    <definedName name="ыа" localSheetId="7">#REF!</definedName>
    <definedName name="ыа" localSheetId="9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3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 localSheetId="9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3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 localSheetId="9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3">#REF!</definedName>
    <definedName name="ываф" localSheetId="4">#REF!</definedName>
    <definedName name="ываф" localSheetId="5">#REF!</definedName>
    <definedName name="ываф" localSheetId="7">#REF!</definedName>
    <definedName name="ываф" localSheetId="9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3">#REF!</definedName>
    <definedName name="ыВПВП" localSheetId="4">#REF!</definedName>
    <definedName name="ыВПВП" localSheetId="5">#REF!</definedName>
    <definedName name="ыВПВП" localSheetId="7">#REF!</definedName>
    <definedName name="ыВПВП" localSheetId="9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3">#REF!</definedName>
    <definedName name="ыпры" localSheetId="4">#REF!</definedName>
    <definedName name="ыпры" localSheetId="5">#REF!</definedName>
    <definedName name="ыпры" localSheetId="7">#REF!</definedName>
    <definedName name="ыпры" localSheetId="9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3">#REF!</definedName>
    <definedName name="ьбюбб" localSheetId="4">#REF!</definedName>
    <definedName name="ьбюбб" localSheetId="5">#REF!</definedName>
    <definedName name="ьбюбб" localSheetId="7">#REF!</definedName>
    <definedName name="ьбюбб" localSheetId="9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3">#REF!</definedName>
    <definedName name="экол1" localSheetId="4">#REF!</definedName>
    <definedName name="экол1" localSheetId="5">#REF!</definedName>
    <definedName name="экол1" localSheetId="7">#REF!</definedName>
    <definedName name="экол1" localSheetId="9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3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3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3">#REF!</definedName>
    <definedName name="экт" localSheetId="4">#REF!</definedName>
    <definedName name="экт" localSheetId="5">#REF!</definedName>
    <definedName name="экт" localSheetId="7">#REF!</definedName>
    <definedName name="экт" localSheetId="9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3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 localSheetId="9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3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 localSheetId="9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3">#REF!</definedName>
    <definedName name="яапт" localSheetId="4">#REF!</definedName>
    <definedName name="яапт" localSheetId="5">#REF!</definedName>
    <definedName name="яапт" localSheetId="7">#REF!</definedName>
    <definedName name="яапт" localSheetId="9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  <fileRecoveryPr repairLoad="1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8" i="12"/>
  <c r="C11" i="10"/>
  <c r="D5" i="10"/>
  <c r="F24" i="9"/>
  <c r="E24" i="9"/>
  <c r="G24" i="9" s="1"/>
  <c r="D24" i="9"/>
  <c r="C24" i="9"/>
  <c r="B24" i="9"/>
  <c r="F23" i="9"/>
  <c r="E23" i="9"/>
  <c r="G23" i="9" s="1"/>
  <c r="D23" i="9"/>
  <c r="C23" i="9"/>
  <c r="B23" i="9"/>
  <c r="F22" i="9"/>
  <c r="E22" i="9"/>
  <c r="G22" i="9" s="1"/>
  <c r="D22" i="9"/>
  <c r="C22" i="9"/>
  <c r="B22" i="9"/>
  <c r="F21" i="9"/>
  <c r="E21" i="9"/>
  <c r="G21" i="9" s="1"/>
  <c r="D21" i="9"/>
  <c r="C21" i="9"/>
  <c r="B21" i="9"/>
  <c r="F20" i="9"/>
  <c r="E20" i="9"/>
  <c r="G20" i="9" s="1"/>
  <c r="D20" i="9"/>
  <c r="C20" i="9"/>
  <c r="B20" i="9"/>
  <c r="F19" i="9"/>
  <c r="E19" i="9"/>
  <c r="G19" i="9" s="1"/>
  <c r="D19" i="9"/>
  <c r="C19" i="9"/>
  <c r="B19" i="9"/>
  <c r="F18" i="9"/>
  <c r="E18" i="9"/>
  <c r="G18" i="9" s="1"/>
  <c r="D18" i="9"/>
  <c r="C18" i="9"/>
  <c r="B18" i="9"/>
  <c r="F17" i="9"/>
  <c r="E17" i="9"/>
  <c r="G17" i="9" s="1"/>
  <c r="D17" i="9"/>
  <c r="C17" i="9"/>
  <c r="B17" i="9"/>
  <c r="F16" i="9"/>
  <c r="E16" i="9"/>
  <c r="G16" i="9" s="1"/>
  <c r="D16" i="9"/>
  <c r="C16" i="9"/>
  <c r="B16" i="9"/>
  <c r="F15" i="9"/>
  <c r="E15" i="9"/>
  <c r="G15" i="9" s="1"/>
  <c r="D15" i="9"/>
  <c r="C15" i="9"/>
  <c r="B15" i="9"/>
  <c r="F14" i="9"/>
  <c r="E14" i="9"/>
  <c r="G14" i="9" s="1"/>
  <c r="D14" i="9"/>
  <c r="C14" i="9"/>
  <c r="B14" i="9"/>
  <c r="F13" i="9"/>
  <c r="E13" i="9"/>
  <c r="G13" i="9" s="1"/>
  <c r="D13" i="9"/>
  <c r="C13" i="9"/>
  <c r="B13" i="9"/>
  <c r="F12" i="9"/>
  <c r="E12" i="9"/>
  <c r="G12" i="9" s="1"/>
  <c r="D12" i="9"/>
  <c r="C12" i="9"/>
  <c r="B12" i="9"/>
  <c r="I62" i="8"/>
  <c r="J62" i="8" s="1"/>
  <c r="G62" i="8"/>
  <c r="J61" i="8"/>
  <c r="I61" i="8"/>
  <c r="G61" i="8"/>
  <c r="I60" i="8"/>
  <c r="J60" i="8" s="1"/>
  <c r="G60" i="8"/>
  <c r="J59" i="8"/>
  <c r="I59" i="8"/>
  <c r="G59" i="8"/>
  <c r="I58" i="8"/>
  <c r="J58" i="8" s="1"/>
  <c r="G58" i="8"/>
  <c r="J57" i="8"/>
  <c r="I57" i="8"/>
  <c r="G57" i="8"/>
  <c r="I56" i="8"/>
  <c r="J56" i="8" s="1"/>
  <c r="G56" i="8"/>
  <c r="J55" i="8"/>
  <c r="I55" i="8"/>
  <c r="G55" i="8"/>
  <c r="I54" i="8"/>
  <c r="J54" i="8" s="1"/>
  <c r="G54" i="8"/>
  <c r="J53" i="8"/>
  <c r="I53" i="8"/>
  <c r="G53" i="8"/>
  <c r="I52" i="8"/>
  <c r="J52" i="8" s="1"/>
  <c r="G52" i="8"/>
  <c r="J51" i="8"/>
  <c r="I51" i="8"/>
  <c r="G51" i="8"/>
  <c r="G63" i="8" s="1"/>
  <c r="J49" i="8"/>
  <c r="I49" i="8"/>
  <c r="G49" i="8"/>
  <c r="J48" i="8"/>
  <c r="I48" i="8"/>
  <c r="G48" i="8"/>
  <c r="J47" i="8"/>
  <c r="J50" i="8" s="1"/>
  <c r="C16" i="7" s="1"/>
  <c r="I47" i="8"/>
  <c r="G47" i="8"/>
  <c r="G50" i="8" s="1"/>
  <c r="J41" i="8"/>
  <c r="I41" i="8"/>
  <c r="G41" i="8"/>
  <c r="I40" i="8"/>
  <c r="J40" i="8" s="1"/>
  <c r="G40" i="8"/>
  <c r="I39" i="8"/>
  <c r="J39" i="8" s="1"/>
  <c r="G39" i="8"/>
  <c r="I38" i="8"/>
  <c r="J38" i="8" s="1"/>
  <c r="G38" i="8"/>
  <c r="I37" i="8"/>
  <c r="J37" i="8" s="1"/>
  <c r="G37" i="8"/>
  <c r="J35" i="8"/>
  <c r="I35" i="8"/>
  <c r="G35" i="8"/>
  <c r="J34" i="8"/>
  <c r="I34" i="8"/>
  <c r="G34" i="8"/>
  <c r="J33" i="8"/>
  <c r="I33" i="8"/>
  <c r="G33" i="8"/>
  <c r="J32" i="8"/>
  <c r="I32" i="8"/>
  <c r="G32" i="8"/>
  <c r="J31" i="8"/>
  <c r="I31" i="8"/>
  <c r="G31" i="8"/>
  <c r="J30" i="8"/>
  <c r="I30" i="8"/>
  <c r="G30" i="8"/>
  <c r="J29" i="8"/>
  <c r="I29" i="8"/>
  <c r="G29" i="8"/>
  <c r="J28" i="8"/>
  <c r="J36" i="8" s="1"/>
  <c r="I28" i="8"/>
  <c r="G28" i="8"/>
  <c r="G36" i="8" s="1"/>
  <c r="J24" i="8"/>
  <c r="J23" i="8"/>
  <c r="I23" i="8"/>
  <c r="G23" i="8"/>
  <c r="G24" i="8" s="1"/>
  <c r="J21" i="8"/>
  <c r="I21" i="8"/>
  <c r="G21" i="8"/>
  <c r="I20" i="8"/>
  <c r="J20" i="8" s="1"/>
  <c r="J22" i="8" s="1"/>
  <c r="G20" i="8"/>
  <c r="G22" i="8" s="1"/>
  <c r="J19" i="8"/>
  <c r="I19" i="8"/>
  <c r="G19" i="8"/>
  <c r="I16" i="8"/>
  <c r="J16" i="8" s="1"/>
  <c r="C15" i="7" s="1"/>
  <c r="G16" i="8"/>
  <c r="E14" i="8"/>
  <c r="J13" i="8"/>
  <c r="J14" i="8" s="1"/>
  <c r="I13" i="8"/>
  <c r="G13" i="8"/>
  <c r="G14" i="8" s="1"/>
  <c r="C13" i="7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1" i="6"/>
  <c r="F21" i="6"/>
  <c r="H20" i="6"/>
  <c r="H19" i="6"/>
  <c r="H18" i="6"/>
  <c r="H17" i="6"/>
  <c r="H16" i="6"/>
  <c r="H15" i="6"/>
  <c r="H14" i="6"/>
  <c r="H13" i="6"/>
  <c r="H12" i="6"/>
  <c r="F12" i="6"/>
  <c r="H12" i="5"/>
  <c r="H14" i="5" s="1"/>
  <c r="D19" i="4" s="1"/>
  <c r="F12" i="5"/>
  <c r="F14" i="5" s="1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G25" i="8" l="1"/>
  <c r="H21" i="8" s="1"/>
  <c r="G64" i="8"/>
  <c r="H53" i="8" s="1"/>
  <c r="G25" i="9"/>
  <c r="G26" i="9" s="1"/>
  <c r="H13" i="8"/>
  <c r="D67" i="8"/>
  <c r="J67" i="8" s="1"/>
  <c r="J63" i="8"/>
  <c r="C17" i="7" s="1"/>
  <c r="C11" i="7"/>
  <c r="H62" i="8"/>
  <c r="H56" i="8"/>
  <c r="H63" i="8"/>
  <c r="H60" i="8"/>
  <c r="H57" i="8"/>
  <c r="H54" i="8"/>
  <c r="H55" i="8"/>
  <c r="H50" i="8"/>
  <c r="H47" i="8"/>
  <c r="H49" i="8"/>
  <c r="H64" i="8"/>
  <c r="C12" i="7"/>
  <c r="J25" i="8"/>
  <c r="C14" i="7"/>
  <c r="J42" i="8"/>
  <c r="J43" i="8" s="1"/>
  <c r="C25" i="7" s="1"/>
  <c r="G44" i="8"/>
  <c r="J44" i="8" s="1"/>
  <c r="C26" i="7" s="1"/>
  <c r="C18" i="7"/>
  <c r="H20" i="8"/>
  <c r="J64" i="8"/>
  <c r="H19" i="8"/>
  <c r="H22" i="8"/>
  <c r="G42" i="8"/>
  <c r="D66" i="8"/>
  <c r="J66" i="8" s="1"/>
  <c r="D18" i="4"/>
  <c r="D17" i="4" s="1"/>
  <c r="D23" i="4" s="1"/>
  <c r="D24" i="4" s="1"/>
  <c r="J12" i="5"/>
  <c r="J14" i="5" s="1"/>
  <c r="J68" i="8" l="1"/>
  <c r="J69" i="8" s="1"/>
  <c r="J70" i="8" s="1"/>
  <c r="H59" i="8"/>
  <c r="G68" i="8"/>
  <c r="H52" i="8"/>
  <c r="H61" i="8"/>
  <c r="H48" i="8"/>
  <c r="G65" i="8"/>
  <c r="H58" i="8"/>
  <c r="H51" i="8"/>
  <c r="H23" i="8"/>
  <c r="H24" i="8"/>
  <c r="G43" i="8"/>
  <c r="C19" i="7"/>
  <c r="C24" i="7" s="1"/>
  <c r="J65" i="8"/>
  <c r="C22" i="7"/>
  <c r="C20" i="7"/>
  <c r="G69" i="8" l="1"/>
  <c r="G70" i="8" s="1"/>
  <c r="D20" i="7"/>
  <c r="H42" i="8"/>
  <c r="C29" i="7"/>
  <c r="C30" i="7" s="1"/>
  <c r="C27" i="7"/>
  <c r="D24" i="7"/>
  <c r="D16" i="7"/>
  <c r="D17" i="7"/>
  <c r="D13" i="7"/>
  <c r="D15" i="7"/>
  <c r="D11" i="7"/>
  <c r="D22" i="7"/>
  <c r="D14" i="7"/>
  <c r="D12" i="7"/>
  <c r="H33" i="8"/>
  <c r="H30" i="8"/>
  <c r="H32" i="8"/>
  <c r="H34" i="8"/>
  <c r="H31" i="8"/>
  <c r="H28" i="8"/>
  <c r="H38" i="8"/>
  <c r="H40" i="8"/>
  <c r="H37" i="8"/>
  <c r="H35" i="8"/>
  <c r="H29" i="8"/>
  <c r="H41" i="8"/>
  <c r="H39" i="8"/>
  <c r="H36" i="8"/>
  <c r="H43" i="8" s="1"/>
  <c r="D18" i="7"/>
  <c r="C32" i="7" l="1"/>
  <c r="C34" i="7"/>
  <c r="C33" i="7"/>
  <c r="C37" i="7" l="1"/>
  <c r="C36" i="7"/>
  <c r="C38" i="7" l="1"/>
  <c r="C39" i="7" l="1"/>
  <c r="C40" i="7" l="1"/>
  <c r="E39" i="7"/>
  <c r="E35" i="7" l="1"/>
  <c r="C41" i="7"/>
  <c r="D11" i="10" s="1"/>
  <c r="E31" i="7"/>
  <c r="E40" i="7"/>
  <c r="E13" i="7"/>
  <c r="E15" i="7"/>
  <c r="E17" i="7"/>
  <c r="E16" i="7"/>
  <c r="E14" i="7"/>
  <c r="E12" i="7"/>
  <c r="E18" i="7"/>
  <c r="E25" i="7"/>
  <c r="E26" i="7"/>
  <c r="E11" i="7"/>
  <c r="E20" i="7"/>
  <c r="E22" i="7"/>
  <c r="E24" i="7"/>
  <c r="E27" i="7"/>
  <c r="E29" i="7"/>
  <c r="E30" i="7"/>
  <c r="E34" i="7"/>
  <c r="E32" i="7"/>
  <c r="E33" i="7"/>
  <c r="E36" i="7"/>
  <c r="E37" i="7"/>
  <c r="E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<sst xmlns="http://schemas.openxmlformats.org/spreadsheetml/2006/main" count="748" uniqueCount="444">
  <si>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</si>
  <si>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</si>
  <si>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</si>
  <si>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</si>
  <si>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</si>
  <si>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</si>
  <si>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</si>
  <si>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</si>
  <si>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</si>
  <si>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</si>
  <si>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</si>
  <si>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</si>
  <si>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</si>
  <si>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</si>
  <si>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</si>
  <si>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</si>
  <si>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</si>
  <si>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</si>
  <si>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</si>
  <si>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</si>
  <si>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</si>
  <si>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</si>
  <si>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</si>
  <si>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</si>
  <si>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</si>
  <si>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</si>
  <si>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</si>
  <si>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</si>
  <si>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</si>
  <si>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</si>
  <si>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</si>
  <si>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</si>
  <si>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</si>
  <si>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</si>
  <si>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</si>
  <si>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</si>
  <si>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</si>
  <si>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</si>
  <si>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</si>
  <si>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</si>
  <si>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</si>
  <si>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</si>
  <si>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</si>
  <si>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</si>
  <si>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</si>
  <si>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</si>
  <si>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</si>
  <si>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 xml:space="preserve">Наименование разрабатываемого показателя УНЦ — Постоянная часть ПС система пожарной и охранной сигнализации ЗПС 110 кВ </t>
  </si>
  <si>
    <t>Сопоставимый уровень цен: 4 кв. 2019 г.</t>
  </si>
  <si>
    <t>Единица измерения  — 1 ПС</t>
  </si>
  <si>
    <t>Параметр</t>
  </si>
  <si>
    <t>Объект-представитель 1</t>
  </si>
  <si>
    <t>Наименование объекта-представителя</t>
  </si>
  <si>
    <t>ПС 110 кВ Юнтолово</t>
  </si>
  <si>
    <t>Наименование субъекта Российской Федерации</t>
  </si>
  <si>
    <t>Ленинградская область</t>
  </si>
  <si>
    <t>Климатический район и подрайон</t>
  </si>
  <si>
    <t>IIВ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</si>
  <si>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</si>
  <si>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</si>
  <si>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 xml:space="preserve">Охранная и пожарная сигнализация - 1220 м2
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</si>
  <si>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</si>
  <si>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</si>
  <si>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</si>
  <si>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</si>
  <si>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</si>
  <si>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</si>
  <si>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</si>
  <si>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</si>
  <si>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</si>
  <si>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</si>
  <si>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4 кв. 2019 г.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</si>
  <si>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</si>
  <si>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</si>
  <si>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</si>
  <si>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    Д.Ю. Нефедова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</si>
  <si>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</si>
  <si>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</si>
  <si>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</si>
  <si>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</si>
  <si>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</si>
  <si>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 xml:space="preserve">Наименование разрабатываемого показателя УНЦ —  Постоянная часть ПС система пожарной и охранной сигнализации ЗПС 110 кВ 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</si>
  <si>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</si>
  <si>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</t>
  </si>
  <si>
    <t>Номер сметы</t>
  </si>
  <si>
    <t>Наименование сметы</t>
  </si>
  <si>
    <t>Сметная стоимость в уровне цен 4 кв. 2019 г., тыс. руб.</t>
  </si>
  <si>
    <t>Строительные работы</t>
  </si>
  <si>
    <t>Монтажные работы</t>
  </si>
  <si>
    <t>Прочее</t>
  </si>
  <si>
    <t>Всего</t>
  </si>
  <si>
    <t>Система пожарной и охранной сигнализации ЗПС 110 кВ</t>
  </si>
  <si>
    <t>Всего по объекту:</t>
  </si>
  <si>
    <t>Всего по объекту в сопоставимом уровне цен 4 кв. 2019 г.:</t>
  </si>
  <si>
    <t xml:space="preserve">Приложение № 3 </t>
  </si>
  <si>
    <t>Объектная ресурсная ведомость</t>
  </si>
  <si>
    <t xml:space="preserve">Наименование разрабатываемого показателя УНЦ - Постоянная часть ПС система пожарной и охранной сигнализации ЗПС 110 кВ 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</si>
  <si>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</si>
  <si>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</si>
  <si>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</si>
  <si>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</si>
  <si>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</si>
  <si>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</si>
  <si>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</si>
  <si>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</si>
  <si>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</si>
  <si>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</si>
  <si>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</si>
  <si>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 xml:space="preserve"> </t>
  </si>
  <si>
    <t>1-4-0</t>
  </si>
  <si>
    <t>Затраты труда рабочих (ср 4)</t>
  </si>
  <si>
    <t>чел.-ч</t>
  </si>
  <si>
    <t>1-3-8</t>
  </si>
  <si>
    <t>Затраты труда рабочих (ср 3,8)</t>
  </si>
  <si>
    <t>1-4-3</t>
  </si>
  <si>
    <t>Затраты труда рабочих (ср 4,3)</t>
  </si>
  <si>
    <t>1-4-2</t>
  </si>
  <si>
    <t>Затраты труда рабочих (ср 4,2)</t>
  </si>
  <si>
    <t>1-3-5</t>
  </si>
  <si>
    <t>Затраты труда рабочих (ср 3,5)</t>
  </si>
  <si>
    <t>1-4-6</t>
  </si>
  <si>
    <t>Затраты труда рабочих (ср 4,6)</t>
  </si>
  <si>
    <t>1-4-4</t>
  </si>
  <si>
    <t>Затраты труда рабочих (ср 4,4)</t>
  </si>
  <si>
    <t>1-4-5</t>
  </si>
  <si>
    <t>Затраты труда рабочих (ср 4,5)</t>
  </si>
  <si>
    <t>Затраты труда машинистов</t>
  </si>
  <si>
    <t>Машины и механизмы</t>
  </si>
  <si>
    <t>91.05.05-015</t>
  </si>
  <si>
    <t>Краны на автомобильном ходу, грузоподъемность 16 т</t>
  </si>
  <si>
    <t>маш.час</t>
  </si>
  <si>
    <t>91.14.02-001</t>
  </si>
  <si>
    <t>Автомобили бортовые, грузоподъемность до 5 т</t>
  </si>
  <si>
    <t>91.06.03-061</t>
  </si>
  <si>
    <t>Лебедки электрические тяговым усилием до 12,26 кН (1,25 т)</t>
  </si>
  <si>
    <t>91.06.01-003</t>
  </si>
  <si>
    <t>Домкраты гидравлические, грузоподъемность 63-100 т</t>
  </si>
  <si>
    <t>62.4.02.02-0041</t>
  </si>
  <si>
    <t>Источник резервного питания, марка: "РИП 12" исп. 06</t>
  </si>
  <si>
    <t>шт</t>
  </si>
  <si>
    <t>61.2.02.01-1004</t>
  </si>
  <si>
    <t>Извещатель пожарный дымовой ДИП-34А (ИП 212-34А) оптико-электронный адресно-аналоговый в комплекте с базой (розеткой)</t>
  </si>
  <si>
    <t>61.2.02.02-0001</t>
  </si>
  <si>
    <t>Извещатель адресный пожарный тепловой интеллектуальный ИП101-24А-A1R максимально-дифференциальный «Leonardo-Т», без базы (прим. марка "С2000-ИП")</t>
  </si>
  <si>
    <t>10 шт</t>
  </si>
  <si>
    <t>61.2.02.01-0095</t>
  </si>
  <si>
    <t>Извещатель пожарный дымовой: ИПДЛ</t>
  </si>
  <si>
    <t>61.2.04.05-0018</t>
  </si>
  <si>
    <t>Оповещатель охранно-пожарный звуковой, тип СВИРЕЛЬ-2 исп.00 6-15В/600мА</t>
  </si>
  <si>
    <t>61.2.04.07-0008</t>
  </si>
  <si>
    <t>Оповещатель световой МОЛНИЯ-12(24)</t>
  </si>
  <si>
    <t>61.2.07.02-0034</t>
  </si>
  <si>
    <t>Блок контрольно-пусковой, марка "С2000-КПБ"</t>
  </si>
  <si>
    <t>61.2.07.02-0042</t>
  </si>
  <si>
    <t>Блок контроля и индикации для работы в составе интегрированной системе охраны совместно с пультом контроля и управления, ручного управления 60 разделами системы и отображения с помощью встроенных индикаторов и звуковой сигнализации, количество кнопок для управления разделами 60, напряжение питания от 10.2 до 28 В, потребляемый ток, в дежурном режиме 200 мА</t>
  </si>
  <si>
    <t>61.2.07.04-0002</t>
  </si>
  <si>
    <t>Контроллер двухпроводной линии связи, марка "С2000-КДЛ"</t>
  </si>
  <si>
    <t>61.2.02.03-0025</t>
  </si>
  <si>
    <t>Извещатель пожарный ручной: ИПР-513-3 исп. 02</t>
  </si>
  <si>
    <t>61.2.07.02-0051</t>
  </si>
  <si>
    <t>Блоки разветвительно-изолирующие типа БРИЗ, для участка двухпроводной линии с коротким замыканием, размер не более 56х38х20 мм</t>
  </si>
  <si>
    <t>61.2.04.10-0005</t>
  </si>
  <si>
    <t>Пульт контроля и управления охранно-пожарный, марка "С2000"</t>
  </si>
  <si>
    <t>61.2.07.06-0005</t>
  </si>
  <si>
    <t>Расширитель адресный ("адресная метка"), марка "С2000-АР2" (прим. "С2000-АР8")</t>
  </si>
  <si>
    <t>100 шт</t>
  </si>
  <si>
    <t>Материалы</t>
  </si>
  <si>
    <t>21.1.08.01-0315</t>
  </si>
  <si>
    <t>Кабель пожарной сигнализации КПСЭнг(A)-FRLS 2х2х1</t>
  </si>
  <si>
    <t>1000 м</t>
  </si>
  <si>
    <t>01.7.15.07-0012</t>
  </si>
  <si>
    <t>Дюбели пластмассовые с шурупами, размер 12х70 мм</t>
  </si>
  <si>
    <t>10.3.02.03-0012</t>
  </si>
  <si>
    <t>Припои оловянно-свинцовые бессурьмянистые, марка ПОС40</t>
  </si>
  <si>
    <t>т</t>
  </si>
  <si>
    <t>10.3.02.03-0011</t>
  </si>
  <si>
    <t>Припои оловянно-свинцовые бессурьмянистые, марка ПОС30</t>
  </si>
  <si>
    <t>21.1.08.01-0313</t>
  </si>
  <si>
    <t>Кабель пожарной сигнализации КПСЭнг(A)-FRLS 1х2х1,5</t>
  </si>
  <si>
    <t>999-9950</t>
  </si>
  <si>
    <t>Вспомогательные ненормируемые ресурсы (2% от Оплаты труда рабочих)</t>
  </si>
  <si>
    <t>руб</t>
  </si>
  <si>
    <t>21.2.03.09-0105</t>
  </si>
  <si>
    <t>Провод силовой ПРТО 1х1,5-660</t>
  </si>
  <si>
    <t>22.2.02.23-0011</t>
  </si>
  <si>
    <t>Глухари</t>
  </si>
  <si>
    <t>01.7.06.05-0042</t>
  </si>
  <si>
    <t>Лента липкая изоляционная на поликасиновом компаунде, ширина 20-30 мм, толщина от 0,14 до 0,19 мм</t>
  </si>
  <si>
    <t>кг</t>
  </si>
  <si>
    <t>01.7.15.03-0042</t>
  </si>
  <si>
    <t>Болты с гайками и шайбами строительные</t>
  </si>
  <si>
    <t>01.3.05.17-0002</t>
  </si>
  <si>
    <t>Канифоль сосновая</t>
  </si>
  <si>
    <t>01.7.06.07-0002</t>
  </si>
  <si>
    <t>Лента монтажная, тип ЛМ-5</t>
  </si>
  <si>
    <t>10 м</t>
  </si>
  <si>
    <t>14.4.03.03-0002</t>
  </si>
  <si>
    <t>Лак битумный БТ-123</t>
  </si>
  <si>
    <t>03.1.01.01-0002</t>
  </si>
  <si>
    <t>Гипс строительный Г-3</t>
  </si>
  <si>
    <t>14.1.04.02-0002</t>
  </si>
  <si>
    <t>Клей 88-СА</t>
  </si>
  <si>
    <t>Приложение № 4</t>
  </si>
  <si>
    <t>Ресурсная модель</t>
  </si>
  <si>
    <t>Единица измерения  —  1 ПС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</si>
  <si>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</si>
  <si>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</si>
  <si>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</si>
  <si>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</si>
  <si>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</si>
  <si>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</si>
  <si>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</si>
  <si>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</si>
  <si>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</si>
  <si>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</si>
  <si>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</si>
  <si>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</si>
  <si>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</si>
  <si>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</si>
  <si>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</si>
  <si>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</si>
  <si>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</si>
  <si>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</si>
  <si>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</si>
  <si>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</si>
  <si>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</si>
  <si>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</si>
  <si>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</si>
  <si>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</si>
  <si>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</si>
  <si>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</si>
  <si>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</si>
  <si>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</si>
  <si>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</si>
  <si>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- 1,72%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</si>
  <si>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</si>
  <si>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</si>
  <si>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</si>
  <si>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</si>
  <si>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</si>
  <si>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Д.Ю. Нефедова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</si>
  <si>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</si>
  <si>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</si>
  <si>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</si>
  <si>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</si>
  <si>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</si>
  <si>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</si>
  <si>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 xml:space="preserve">Постоянная часть ПС система пожарной и охранной сигнализации ЗПС 110 кВ 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</si>
  <si>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</si>
  <si>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</si>
  <si>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</si>
  <si>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</si>
  <si>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</si>
  <si>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(4,0)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</si>
  <si>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</si>
  <si>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</si>
  <si>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</si>
  <si>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</si>
  <si>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</si>
  <si>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</si>
  <si>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</si>
  <si>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</si>
  <si>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</si>
  <si>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</si>
  <si>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</si>
  <si>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</si>
  <si>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</si>
  <si>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</si>
  <si>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</si>
  <si>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</si>
  <si>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</si>
  <si>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</si>
  <si>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</si>
  <si>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</si>
  <si>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</si>
  <si>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</rPr>
      <t>______________________    Д.Ю. Нефедова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</si>
  <si>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</si>
  <si>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</si>
  <si>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</si>
  <si>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</si>
  <si>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</si>
  <si>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</si>
  <si>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</si>
  <si>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</si>
  <si>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</si>
  <si>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</si>
  <si>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</si>
  <si>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</si>
  <si>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</si>
  <si>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 xml:space="preserve">З2 ПС система пожарной и охранной сигнализации ЗПС 110 кВ </t>
  </si>
  <si>
    <t xml:space="preserve">УНЦ комплекса систем безопасности ПС </t>
  </si>
  <si>
    <t>Составил ______________________      Д.Ю. Нефедова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</si>
  <si>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</si>
  <si>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</si>
  <si>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</si>
  <si>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</si>
  <si>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</si>
  <si>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</si>
  <si>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</si>
  <si>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</si>
  <si>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</si>
  <si>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</si>
  <si>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</si>
  <si>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</si>
  <si>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</si>
  <si>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</si>
  <si>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</si>
  <si>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</si>
  <si>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</si>
  <si>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</si>
  <si>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</si>
  <si>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 xml:space="preserve">Составил </t>
    </r>
    <r>
      <rPr>
        <u/>
        <sz val="10"/>
        <color rgb="FF000000"/>
        <rFont val="Arial"/>
      </rPr>
      <t>______________________        Д.Ю. Нефедова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</si>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</sst>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₽_-;\-* #,##0\ _₽_-;_-* &quot;-&quot;??\ _₽_-;_-@_-"/>
    <numFmt numFmtId="165" formatCode="_-* #,##0.00_-;\-* #,##0.00_-;_-* &quot;-&quot;??_-;_-@_-"/>
    <numFmt numFmtId="166" formatCode="#,##0.0000"/>
    <numFmt numFmtId="167" formatCode="0.0000"/>
    <numFmt numFmtId="168" formatCode="#,##0.0"/>
    <numFmt numFmtId="169" formatCode="#,##0.000"/>
    <numFmt numFmtId="170" formatCode="0.000"/>
  </numFmts>
  <fonts count="29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sz val="12"/>
      <color rgb="FFFF0000"/>
      <name val="Times New Roman"/>
    </font>
    <font>
      <b/>
      <sz val="12"/>
      <color rgb="FF000000"/>
      <name val="Times New Roman"/>
    </font>
    <font>
      <sz val="10"/>
      <color rgb="FF000000"/>
      <name val="Times New Roman"/>
    </font>
    <font>
      <sz val="14"/>
      <color rgb="FF000000"/>
      <name val="Times New Roman"/>
    </font>
    <font>
      <u/>
      <sz val="12"/>
      <color rgb="FF0563C1"/>
      <name val="Times New Roman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4" fontId="0" fillId="0" borderId="0" xfId="0" applyNumberFormat="1"/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10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justify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/>
    <xf numFmtId="2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2" fontId="16" fillId="0" borderId="1" xfId="0" applyNumberFormat="1" applyFont="1" applyBorder="1" applyAlignment="1">
      <alignment horizontal="right" vertical="center" wrapText="1"/>
    </xf>
    <xf numFmtId="2" fontId="18" fillId="0" borderId="1" xfId="0" applyNumberFormat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2" fontId="16" fillId="0" borderId="1" xfId="0" applyNumberFormat="1" applyFont="1" applyBorder="1" applyAlignment="1">
      <alignment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4" fontId="18" fillId="0" borderId="1" xfId="0" applyNumberFormat="1" applyFont="1" applyBorder="1" applyAlignment="1">
      <alignment vertical="top"/>
    </xf>
    <xf numFmtId="0" fontId="18" fillId="0" borderId="0" xfId="0" applyFont="1"/>
    <xf numFmtId="0" fontId="16" fillId="0" borderId="1" xfId="0" applyFont="1" applyBorder="1" applyAlignment="1">
      <alignment vertical="top"/>
    </xf>
    <xf numFmtId="14" fontId="16" fillId="0" borderId="1" xfId="0" applyNumberFormat="1" applyFont="1" applyBorder="1" applyAlignment="1">
      <alignment vertical="top"/>
    </xf>
    <xf numFmtId="49" fontId="16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/>
    </xf>
    <xf numFmtId="4" fontId="16" fillId="0" borderId="1" xfId="0" applyNumberFormat="1" applyFont="1" applyBorder="1" applyAlignment="1">
      <alignment vertical="top"/>
    </xf>
    <xf numFmtId="10" fontId="0" fillId="0" borderId="0" xfId="0" applyNumberFormat="1"/>
    <xf numFmtId="0" fontId="1" fillId="0" borderId="0" xfId="0" applyFont="1" applyAlignment="1">
      <alignment horizontal="justify"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 wrapText="1"/>
    </xf>
    <xf numFmtId="0" fontId="4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7" fontId="1" fillId="0" borderId="4" xfId="0" applyNumberFormat="1" applyFont="1" applyBorder="1" applyAlignment="1">
      <alignment horizontal="center" vertical="center" wrapText="1"/>
    </xf>
    <xf numFmtId="10" fontId="19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10" fontId="16" fillId="0" borderId="1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justify" vertical="center"/>
    </xf>
    <xf numFmtId="49" fontId="16" fillId="0" borderId="0" xfId="0" applyNumberFormat="1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168" fontId="16" fillId="0" borderId="1" xfId="0" applyNumberFormat="1" applyFont="1" applyBorder="1" applyAlignment="1">
      <alignment horizontal="center" vertical="center"/>
    </xf>
    <xf numFmtId="169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vertical="top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left" vertical="center" wrapText="1"/>
    </xf>
    <xf numFmtId="4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 wrapText="1"/>
    </xf>
    <xf numFmtId="4" fontId="16" fillId="0" borderId="0" xfId="0" applyNumberFormat="1" applyFont="1" applyAlignment="1">
      <alignment horizontal="left" vertical="center" wrapText="1"/>
    </xf>
    <xf numFmtId="4" fontId="16" fillId="0" borderId="1" xfId="0" applyNumberFormat="1" applyFont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4" fontId="18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8" fillId="0" borderId="1" xfId="0" applyFont="1" applyBorder="1" applyAlignment="1">
      <alignment horizontal="right" vertical="center" wrapText="1"/>
    </xf>
    <xf numFmtId="0" fontId="16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center" vertical="center"/>
    </xf>
    <xf numFmtId="2" fontId="18" fillId="0" borderId="2" xfId="0" applyNumberFormat="1" applyFont="1" applyBorder="1" applyAlignment="1">
      <alignment horizontal="center" vertical="center" wrapText="1"/>
    </xf>
    <xf numFmtId="2" fontId="18" fillId="0" borderId="7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8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4" fontId="1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356721</xdr:colOff>
      <xdr:row>28</xdr:row>
      <xdr:rowOff>106185</xdr:rowOff>
    </xdr:from>
    <xdr:to>
      <xdr:col>2</xdr:col>
      <xdr:colOff>1301523</xdr:colOff>
      <xdr:row>31</xdr:row>
      <xdr:rowOff>14736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8920C043-D143-4764-9CCB-9616A250A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956" y="12544714"/>
          <a:ext cx="944802" cy="513669"/>
        </a:xfrm>
        <a:prstGeom prst="rect">
          <a:avLst/>
        </a:prstGeom>
      </xdr:spPr>
    </xdr:pic>
    <xdr:clientData/>
  </xdr:twoCellAnchor>
  <xdr:twoCellAnchor editAs="oneCell">
    <xdr:from>
      <xdr:col>2</xdr:col>
      <xdr:colOff>499597</xdr:colOff>
      <xdr:row>26</xdr:row>
      <xdr:rowOff>306668</xdr:rowOff>
    </xdr:from>
    <xdr:to>
      <xdr:col>2</xdr:col>
      <xdr:colOff>1337796</xdr:colOff>
      <xdr:row>28</xdr:row>
      <xdr:rowOff>66345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6ED9296A-7397-4090-8E21-A792E5F9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832" y="12061639"/>
          <a:ext cx="838199" cy="443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537482</xdr:colOff>
      <xdr:row>18</xdr:row>
      <xdr:rowOff>71664</xdr:rowOff>
    </xdr:from>
    <xdr:to>
      <xdr:col>2</xdr:col>
      <xdr:colOff>1482284</xdr:colOff>
      <xdr:row>20</xdr:row>
      <xdr:rowOff>191745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71DB8591-7D1A-4366-A384-49F7929CB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196" y="4915807"/>
          <a:ext cx="944802" cy="528295"/>
        </a:xfrm>
        <a:prstGeom prst="rect">
          <a:avLst/>
        </a:prstGeom>
      </xdr:spPr>
    </xdr:pic>
    <xdr:clientData/>
  </xdr:twoCellAnchor>
  <xdr:twoCellAnchor editAs="oneCell">
    <xdr:from>
      <xdr:col>2</xdr:col>
      <xdr:colOff>680358</xdr:colOff>
      <xdr:row>15</xdr:row>
      <xdr:rowOff>188685</xdr:rowOff>
    </xdr:from>
    <xdr:to>
      <xdr:col>2</xdr:col>
      <xdr:colOff>1518557</xdr:colOff>
      <xdr:row>18</xdr:row>
      <xdr:rowOff>31824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8DD29051-208F-430A-BC86-273869E6F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072" y="4420506"/>
          <a:ext cx="838199" cy="4554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60</xdr:row>
      <xdr:rowOff>129988</xdr:rowOff>
    </xdr:from>
    <xdr:to>
      <xdr:col>2</xdr:col>
      <xdr:colOff>1211502</xdr:colOff>
      <xdr:row>63</xdr:row>
      <xdr:rowOff>49083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C97B69A0-59ED-47AE-B4EF-9EF8F1929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9484788"/>
          <a:ext cx="944802" cy="490595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409576</xdr:colOff>
      <xdr:row>58</xdr:row>
      <xdr:rowOff>38100</xdr:rowOff>
    </xdr:from>
    <xdr:to>
      <xdr:col>2</xdr:col>
      <xdr:colOff>1247775</xdr:colOff>
      <xdr:row>60</xdr:row>
      <xdr:rowOff>90148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496D375B-4A05-4556-8AA9-2F1AFE0C5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6" y="19011900"/>
          <a:ext cx="838199" cy="433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43</xdr:row>
      <xdr:rowOff>47625</xdr:rowOff>
    </xdr:from>
    <xdr:to>
      <xdr:col>1</xdr:col>
      <xdr:colOff>1725852</xdr:colOff>
      <xdr:row>46</xdr:row>
      <xdr:rowOff>338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BD88F50A-AC8A-4541-AA02-3F371B142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116681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923926</xdr:colOff>
      <xdr:row>40</xdr:row>
      <xdr:rowOff>123825</xdr:rowOff>
    </xdr:from>
    <xdr:to>
      <xdr:col>1</xdr:col>
      <xdr:colOff>1762125</xdr:colOff>
      <xdr:row>43</xdr:row>
      <xdr:rowOff>7785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790DF9E1-CF15-45B9-B7DE-B9182C4CE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1" y="11172825"/>
          <a:ext cx="838199" cy="4554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811306</xdr:colOff>
      <xdr:row>72</xdr:row>
      <xdr:rowOff>98612</xdr:rowOff>
    </xdr:from>
    <xdr:to>
      <xdr:col>2</xdr:col>
      <xdr:colOff>251158</xdr:colOff>
      <xdr:row>75</xdr:row>
      <xdr:rowOff>51326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8711002A-61B6-4A4F-9400-178931737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306" y="21053612"/>
          <a:ext cx="96385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954182</xdr:colOff>
      <xdr:row>69</xdr:row>
      <xdr:rowOff>441512</xdr:rowOff>
    </xdr:from>
    <xdr:to>
      <xdr:col>2</xdr:col>
      <xdr:colOff>287431</xdr:colOff>
      <xdr:row>72</xdr:row>
      <xdr:rowOff>58772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5FA280F6-D7E2-4C9C-9B3B-CAC6834C9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182" y="20558312"/>
          <a:ext cx="857249" cy="455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28</xdr:row>
      <xdr:rowOff>76200</xdr:rowOff>
    </xdr:from>
    <xdr:to>
      <xdr:col>2</xdr:col>
      <xdr:colOff>192327</xdr:colOff>
      <xdr:row>31</xdr:row>
      <xdr:rowOff>28913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4FA0D5C3-554D-47D5-83E9-97BBC7B60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4013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561976</xdr:colOff>
      <xdr:row>25</xdr:row>
      <xdr:rowOff>209550</xdr:rowOff>
    </xdr:from>
    <xdr:to>
      <xdr:col>2</xdr:col>
      <xdr:colOff>228600</xdr:colOff>
      <xdr:row>28</xdr:row>
      <xdr:rowOff>36360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8F137852-6B81-404D-96AE-818FBE8E6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6" y="9906000"/>
          <a:ext cx="838199" cy="4554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13</xdr:row>
      <xdr:rowOff>85725</xdr:rowOff>
    </xdr:from>
    <xdr:to>
      <xdr:col>0</xdr:col>
      <xdr:colOff>1668702</xdr:colOff>
      <xdr:row>16</xdr:row>
      <xdr:rowOff>38438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157B20E2-CB7F-438B-A540-DF2A9DD18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344805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0</xdr:col>
      <xdr:colOff>866776</xdr:colOff>
      <xdr:row>10</xdr:row>
      <xdr:rowOff>771525</xdr:rowOff>
    </xdr:from>
    <xdr:to>
      <xdr:col>0</xdr:col>
      <xdr:colOff>1704975</xdr:colOff>
      <xdr:row>13</xdr:row>
      <xdr:rowOff>45885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DFABFD30-532B-43D9-9A56-9FFFE9B46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2952750"/>
          <a:ext cx="838199" cy="4554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889000</xdr:colOff>
      <xdr:row>27</xdr:row>
      <xdr:rowOff>66675</xdr:rowOff>
    </xdr:from>
    <xdr:to>
      <xdr:col>1</xdr:col>
      <xdr:colOff>1833802</xdr:colOff>
      <xdr:row>30</xdr:row>
      <xdr:rowOff>19388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605A3B91-F3B0-4404-966D-08193D98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93694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1031876</xdr:colOff>
      <xdr:row>24</xdr:row>
      <xdr:rowOff>142875</xdr:rowOff>
    </xdr:from>
    <xdr:to>
      <xdr:col>1</xdr:col>
      <xdr:colOff>1870075</xdr:colOff>
      <xdr:row>27</xdr:row>
      <xdr:rowOff>26835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9797E570-6C75-4B77-8295-9355A1E5E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26" y="8874125"/>
          <a:ext cx="838199" cy="45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view="pageBreakPreview" workbookViewId="0">
      <selection activeCell="H15" sqref="H15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197" t="s">
        <v>0</v>
      </c>
      <c r="B2" s="197"/>
      <c r="C2" s="197"/>
    </row>
    <row r="3" spans="1:3" x14ac:dyDescent="0.25">
      <c r="A3" s="1"/>
      <c r="B3" s="1"/>
      <c r="C3" s="1"/>
    </row>
    <row r="4" spans="1:3" x14ac:dyDescent="0.25">
      <c r="A4" s="198" t="s">
        <v>1</v>
      </c>
      <c r="B4" s="198"/>
      <c r="C4" s="198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99" t="s">
        <v>2</v>
      </c>
      <c r="B6" s="199" t="s">
        <v>3</v>
      </c>
      <c r="C6" s="199"/>
    </row>
    <row r="7" spans="1:3" x14ac:dyDescent="0.25">
      <c r="A7" s="100" t="s">
        <v>4</v>
      </c>
      <c r="B7" s="1"/>
      <c r="C7" s="1"/>
    </row>
    <row r="8" spans="1:3" x14ac:dyDescent="0.25">
      <c r="A8" s="100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01" t="s">
        <v>8</v>
      </c>
      <c r="B10" s="102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197" t="s">
        <v>10</v>
      </c>
      <c r="B2" s="197"/>
      <c r="C2" s="197"/>
      <c r="D2" s="197"/>
    </row>
    <row r="3" spans="1:4" x14ac:dyDescent="0.25">
      <c r="A3" s="1"/>
      <c r="B3" s="1"/>
      <c r="C3" s="1"/>
    </row>
    <row r="4" spans="1:4" ht="63.75" customHeight="1" x14ac:dyDescent="0.25">
      <c r="A4" s="5" t="s">
        <v>11</v>
      </c>
      <c r="B4" s="1" t="str">
        <f>'4.1 Отдел 1'!A10</f>
        <v>И5-05-02</v>
      </c>
      <c r="C4" s="200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00"/>
    </row>
    <row r="5" spans="1:4" x14ac:dyDescent="0.25">
      <c r="A5" s="5"/>
      <c r="B5" s="1"/>
      <c r="C5" s="1"/>
    </row>
    <row r="6" spans="1:4" x14ac:dyDescent="0.25">
      <c r="A6" s="197" t="s">
        <v>12</v>
      </c>
      <c r="B6" s="197"/>
      <c r="C6" s="197"/>
      <c r="D6" s="197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 t="e">
        <f>#REF!/1000</f>
        <v>#REF!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.200000000000003" hidden="1" customHeight="1" outlineLevel="1" x14ac:dyDescent="0.25">
      <c r="A11" s="7" t="s">
        <v>20</v>
      </c>
      <c r="B11" s="8" t="s">
        <v>21</v>
      </c>
      <c r="C11" s="3" t="e">
        <f>#REF!/1000</f>
        <v>#REF!</v>
      </c>
    </row>
    <row r="12" spans="1:4" ht="25.5" hidden="1" customHeight="1" outlineLevel="1" x14ac:dyDescent="0.25">
      <c r="A12" s="7" t="s">
        <v>22</v>
      </c>
      <c r="B12" s="8" t="s">
        <v>23</v>
      </c>
      <c r="C12" s="3" t="e">
        <f>#REF!/1000</f>
        <v>#REF!</v>
      </c>
    </row>
    <row r="13" spans="1:4" ht="26.45" hidden="1" customHeight="1" outlineLevel="1" x14ac:dyDescent="0.25">
      <c r="A13" s="7" t="s">
        <v>24</v>
      </c>
      <c r="B13" s="8" t="s">
        <v>25</v>
      </c>
      <c r="C13" s="3" t="e">
        <f>#REF!/1000</f>
        <v>#REF!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01" t="s">
        <v>5</v>
      </c>
      <c r="B15" s="202" t="s">
        <v>15</v>
      </c>
      <c r="C15" s="202"/>
      <c r="D15" s="202"/>
    </row>
    <row r="16" spans="1:4" x14ac:dyDescent="0.25">
      <c r="A16" s="201"/>
      <c r="B16" s="201" t="s">
        <v>17</v>
      </c>
      <c r="C16" s="202" t="s">
        <v>28</v>
      </c>
      <c r="D16" s="202"/>
    </row>
    <row r="17" spans="1:4" ht="39.200000000000003" customHeight="1" x14ac:dyDescent="0.25">
      <c r="A17" s="201"/>
      <c r="B17" s="201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 t="e">
        <f>C9</f>
        <v>#REF!</v>
      </c>
      <c r="C18" s="3" t="e">
        <f>C11</f>
        <v>#REF!</v>
      </c>
      <c r="D18" s="3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03" t="s">
        <v>29</v>
      </c>
      <c r="B2" s="203"/>
      <c r="C2" s="203"/>
      <c r="D2" s="203"/>
    </row>
    <row r="3" spans="1:10" x14ac:dyDescent="0.25">
      <c r="H3" s="98" t="s">
        <v>30</v>
      </c>
      <c r="I3" s="98" t="s">
        <v>31</v>
      </c>
      <c r="J3" s="98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95">
        <v>3985.09</v>
      </c>
      <c r="I4" s="95">
        <v>3153.63</v>
      </c>
      <c r="J4" s="95">
        <v>94532.14</v>
      </c>
    </row>
    <row r="5" spans="1:10" ht="102.2" customHeight="1" x14ac:dyDescent="0.25">
      <c r="A5" s="2">
        <v>1</v>
      </c>
      <c r="B5" s="8" t="s">
        <v>37</v>
      </c>
      <c r="C5" s="8" t="s">
        <v>38</v>
      </c>
      <c r="D5" s="16">
        <f>G5</f>
        <v>2.1285154861481002E-2</v>
      </c>
      <c r="F5" s="14">
        <v>2164.08</v>
      </c>
      <c r="G5" s="17">
        <f>F5/$G$4</f>
        <v>2.1285154861481002E-2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1.7910835021951999E-2</v>
      </c>
      <c r="F6" s="14">
        <v>1821.01</v>
      </c>
      <c r="G6" s="17">
        <f>F6/$G$4</f>
        <v>1.7910835021951999E-2</v>
      </c>
      <c r="H6" s="15"/>
      <c r="I6" s="15"/>
    </row>
    <row r="7" spans="1:10" ht="25.5" customHeight="1" x14ac:dyDescent="0.25">
      <c r="A7" s="96">
        <v>3</v>
      </c>
      <c r="B7" s="103" t="s">
        <v>41</v>
      </c>
      <c r="C7" s="103" t="s">
        <v>42</v>
      </c>
      <c r="D7" s="16">
        <f>G7</f>
        <v>3.1018032108707998E-2</v>
      </c>
      <c r="F7" s="18">
        <v>3153.63</v>
      </c>
      <c r="G7" s="17">
        <f>F7/$G$4</f>
        <v>3.1018032108707998E-2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0.92978597800786</v>
      </c>
      <c r="F8" s="18">
        <v>94532.14</v>
      </c>
      <c r="G8" s="17">
        <f>F8/$G$4</f>
        <v>0.92978597800786</v>
      </c>
      <c r="H8" s="15"/>
      <c r="I8" s="19"/>
    </row>
    <row r="9" spans="1:10" ht="14.45" customHeight="1" x14ac:dyDescent="0.25">
      <c r="F9" s="97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E32"/>
  <sheetViews>
    <sheetView view="pageBreakPreview" topLeftCell="A20" zoomScale="85" zoomScaleNormal="55" zoomScaleSheetLayoutView="85" workbookViewId="0">
      <selection activeCell="D28" sqref="D28"/>
    </sheetView>
  </sheetViews>
  <sheetFormatPr defaultColWidth="9.140625" defaultRowHeight="15.75" x14ac:dyDescent="0.25"/>
  <cols>
    <col min="1" max="2" width="9.140625" style="113"/>
    <col min="3" max="3" width="36.85546875" style="113" customWidth="1"/>
    <col min="4" max="4" width="38.28515625" style="113" customWidth="1"/>
    <col min="5" max="5" width="9.140625" style="113"/>
  </cols>
  <sheetData>
    <row r="3" spans="2:4" x14ac:dyDescent="0.25">
      <c r="B3" s="204" t="s">
        <v>45</v>
      </c>
      <c r="C3" s="204"/>
      <c r="D3" s="204"/>
    </row>
    <row r="4" spans="2:4" x14ac:dyDescent="0.25">
      <c r="B4" s="205" t="s">
        <v>46</v>
      </c>
      <c r="C4" s="205"/>
      <c r="D4" s="205"/>
    </row>
    <row r="5" spans="2:4" x14ac:dyDescent="0.25">
      <c r="B5" s="114"/>
      <c r="C5" s="114"/>
      <c r="D5" s="114"/>
    </row>
    <row r="6" spans="2:4" x14ac:dyDescent="0.25">
      <c r="B6" s="114"/>
      <c r="C6" s="114"/>
      <c r="D6" s="114"/>
    </row>
    <row r="7" spans="2:4" ht="33.75" customHeight="1" x14ac:dyDescent="0.25">
      <c r="B7" s="206" t="s">
        <v>47</v>
      </c>
      <c r="C7" s="207"/>
      <c r="D7" s="207"/>
    </row>
    <row r="8" spans="2:4" ht="31.7" customHeight="1" x14ac:dyDescent="0.25">
      <c r="B8" s="207" t="s">
        <v>48</v>
      </c>
      <c r="C8" s="207"/>
      <c r="D8" s="207"/>
    </row>
    <row r="9" spans="2:4" x14ac:dyDescent="0.25">
      <c r="B9" s="207" t="s">
        <v>49</v>
      </c>
      <c r="C9" s="207"/>
      <c r="D9" s="207"/>
    </row>
    <row r="10" spans="2:4" x14ac:dyDescent="0.25">
      <c r="B10" s="115"/>
    </row>
    <row r="11" spans="2:4" x14ac:dyDescent="0.25">
      <c r="B11" s="116" t="s">
        <v>33</v>
      </c>
      <c r="C11" s="116" t="s">
        <v>50</v>
      </c>
      <c r="D11" s="117" t="s">
        <v>51</v>
      </c>
    </row>
    <row r="12" spans="2:4" ht="47.25" customHeight="1" x14ac:dyDescent="0.25">
      <c r="B12" s="116">
        <v>1</v>
      </c>
      <c r="C12" s="117" t="s">
        <v>52</v>
      </c>
      <c r="D12" s="117" t="s">
        <v>53</v>
      </c>
    </row>
    <row r="13" spans="2:4" ht="31.7" customHeight="1" x14ac:dyDescent="0.25">
      <c r="B13" s="116">
        <v>2</v>
      </c>
      <c r="C13" s="117" t="s">
        <v>54</v>
      </c>
      <c r="D13" s="117" t="s">
        <v>55</v>
      </c>
    </row>
    <row r="14" spans="2:4" x14ac:dyDescent="0.25">
      <c r="B14" s="116">
        <v>3</v>
      </c>
      <c r="C14" s="117" t="s">
        <v>56</v>
      </c>
      <c r="D14" s="117" t="s">
        <v>57</v>
      </c>
    </row>
    <row r="15" spans="2:4" x14ac:dyDescent="0.25">
      <c r="B15" s="116">
        <v>4</v>
      </c>
      <c r="C15" s="117" t="s">
        <v>58</v>
      </c>
      <c r="D15" s="118">
        <v>1</v>
      </c>
    </row>
    <row r="16" spans="2:4" ht="110.25" customHeight="1" x14ac:dyDescent="0.25">
      <c r="B16" s="116">
        <v>5</v>
      </c>
      <c r="C16" s="119" t="s">
        <v>59</v>
      </c>
      <c r="D16" s="117" t="s">
        <v>60</v>
      </c>
    </row>
    <row r="17" spans="2:4" ht="78.75" customHeight="1" x14ac:dyDescent="0.25">
      <c r="B17" s="116">
        <v>6</v>
      </c>
      <c r="C17" s="119" t="s">
        <v>61</v>
      </c>
      <c r="D17" s="120">
        <f>D18+D19</f>
        <v>575.10294729999987</v>
      </c>
    </row>
    <row r="18" spans="2:4" x14ac:dyDescent="0.25">
      <c r="B18" s="121" t="s">
        <v>62</v>
      </c>
      <c r="C18" s="117" t="s">
        <v>63</v>
      </c>
      <c r="D18" s="120">
        <f>'Прил.2 Расч стоим'!F12</f>
        <v>305.88851949999992</v>
      </c>
    </row>
    <row r="19" spans="2:4" ht="15.75" customHeight="1" x14ac:dyDescent="0.25">
      <c r="B19" s="121" t="s">
        <v>64</v>
      </c>
      <c r="C19" s="117" t="s">
        <v>65</v>
      </c>
      <c r="D19" s="120">
        <f>'Прил.2 Расч стоим'!H14</f>
        <v>269.21442780000001</v>
      </c>
    </row>
    <row r="20" spans="2:4" ht="16.5" customHeight="1" x14ac:dyDescent="0.25">
      <c r="B20" s="121" t="s">
        <v>66</v>
      </c>
      <c r="C20" s="117" t="s">
        <v>67</v>
      </c>
      <c r="D20" s="120"/>
    </row>
    <row r="21" spans="2:4" ht="35.450000000000003" customHeight="1" x14ac:dyDescent="0.25">
      <c r="B21" s="121" t="s">
        <v>68</v>
      </c>
      <c r="C21" s="122" t="s">
        <v>69</v>
      </c>
      <c r="D21" s="120"/>
    </row>
    <row r="22" spans="2:4" x14ac:dyDescent="0.25">
      <c r="B22" s="116">
        <v>7</v>
      </c>
      <c r="C22" s="122" t="s">
        <v>70</v>
      </c>
      <c r="D22" s="116" t="s">
        <v>71</v>
      </c>
    </row>
    <row r="23" spans="2:4" ht="123" customHeight="1" x14ac:dyDescent="0.25">
      <c r="B23" s="116">
        <v>8</v>
      </c>
      <c r="C23" s="123" t="s">
        <v>72</v>
      </c>
      <c r="D23" s="120">
        <f>D17</f>
        <v>575.10294729999987</v>
      </c>
    </row>
    <row r="24" spans="2:4" ht="60.75" customHeight="1" x14ac:dyDescent="0.25">
      <c r="B24" s="116">
        <v>9</v>
      </c>
      <c r="C24" s="119" t="s">
        <v>73</v>
      </c>
      <c r="D24" s="120">
        <f>D23/D15</f>
        <v>575.10294729999987</v>
      </c>
    </row>
    <row r="25" spans="2:4" ht="118.5" customHeight="1" x14ac:dyDescent="0.25">
      <c r="B25" s="116">
        <v>10</v>
      </c>
      <c r="C25" s="117" t="s">
        <v>74</v>
      </c>
      <c r="D25" s="117"/>
    </row>
    <row r="26" spans="2:4" x14ac:dyDescent="0.25">
      <c r="B26" s="124"/>
      <c r="C26" s="125"/>
      <c r="D26" s="125"/>
    </row>
    <row r="27" spans="2:4" ht="37.5" customHeight="1" x14ac:dyDescent="0.25">
      <c r="B27" s="126"/>
    </row>
    <row r="28" spans="2:4" x14ac:dyDescent="0.25">
      <c r="B28" s="113" t="s">
        <v>75</v>
      </c>
    </row>
    <row r="29" spans="2:4" x14ac:dyDescent="0.25">
      <c r="B29" s="126" t="s">
        <v>76</v>
      </c>
    </row>
    <row r="31" spans="2:4" x14ac:dyDescent="0.25">
      <c r="B31" s="113" t="s">
        <v>77</v>
      </c>
    </row>
    <row r="32" spans="2:4" x14ac:dyDescent="0.25">
      <c r="B32" s="126" t="s">
        <v>78</v>
      </c>
    </row>
  </sheetData>
  <mergeCells count="5">
    <mergeCell ref="B3:D3"/>
    <mergeCell ref="B4:D4"/>
    <mergeCell ref="B7:D7"/>
    <mergeCell ref="B8:D8"/>
    <mergeCell ref="B9:D9"/>
  </mergeCells>
  <pageMargins left="0.7" right="0.7" top="0.75" bottom="0.75" header="0.3" footer="0.3"/>
  <pageSetup paperSize="9" scale="73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L22"/>
  <sheetViews>
    <sheetView view="pageBreakPreview" zoomScale="70" zoomScaleNormal="70" workbookViewId="0">
      <selection activeCell="E19" sqref="E19"/>
    </sheetView>
  </sheetViews>
  <sheetFormatPr defaultColWidth="9.140625" defaultRowHeight="15.75" x14ac:dyDescent="0.25"/>
  <cols>
    <col min="1" max="1" width="5.5703125" style="113" customWidth="1"/>
    <col min="2" max="2" width="9.140625" style="113"/>
    <col min="3" max="3" width="35.28515625" style="113" customWidth="1"/>
    <col min="4" max="4" width="13.85546875" style="113" customWidth="1"/>
    <col min="5" max="5" width="24.85546875" style="113" customWidth="1"/>
    <col min="6" max="6" width="15.5703125" style="113" customWidth="1"/>
    <col min="7" max="7" width="14.85546875" style="113" customWidth="1"/>
    <col min="8" max="8" width="16.7109375" style="113" customWidth="1"/>
    <col min="9" max="10" width="13" style="113" customWidth="1"/>
    <col min="11" max="11" width="18" style="113" customWidth="1"/>
    <col min="12" max="12" width="9.140625" style="113"/>
  </cols>
  <sheetData>
    <row r="3" spans="2:12" x14ac:dyDescent="0.25">
      <c r="B3" s="204" t="s">
        <v>79</v>
      </c>
      <c r="C3" s="204"/>
      <c r="D3" s="204"/>
      <c r="E3" s="204"/>
      <c r="F3" s="204"/>
      <c r="G3" s="204"/>
      <c r="H3" s="204"/>
      <c r="I3" s="204"/>
      <c r="J3" s="204"/>
      <c r="K3" s="126"/>
    </row>
    <row r="4" spans="2:12" x14ac:dyDescent="0.25">
      <c r="B4" s="205" t="s">
        <v>80</v>
      </c>
      <c r="C4" s="205"/>
      <c r="D4" s="205"/>
      <c r="E4" s="205"/>
      <c r="F4" s="205"/>
      <c r="G4" s="205"/>
      <c r="H4" s="205"/>
      <c r="I4" s="205"/>
      <c r="J4" s="205"/>
      <c r="K4" s="205"/>
    </row>
    <row r="5" spans="2:12" x14ac:dyDescent="0.25"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2:12" ht="33" customHeight="1" x14ac:dyDescent="0.25">
      <c r="B6" s="209" t="s">
        <v>81</v>
      </c>
      <c r="C6" s="209"/>
      <c r="D6" s="209"/>
      <c r="E6" s="209"/>
      <c r="F6" s="209"/>
      <c r="G6" s="209"/>
      <c r="H6" s="209"/>
      <c r="I6" s="209"/>
      <c r="J6" s="209"/>
      <c r="K6" s="126"/>
      <c r="L6" s="127"/>
    </row>
    <row r="7" spans="2:12" x14ac:dyDescent="0.25">
      <c r="B7" s="207" t="s">
        <v>49</v>
      </c>
      <c r="C7" s="207"/>
      <c r="D7" s="207"/>
      <c r="E7" s="207"/>
      <c r="F7" s="207"/>
      <c r="G7" s="207"/>
      <c r="H7" s="207"/>
      <c r="I7" s="207"/>
      <c r="J7" s="207"/>
      <c r="K7" s="207"/>
      <c r="L7" s="127"/>
    </row>
    <row r="8" spans="2:12" x14ac:dyDescent="0.25">
      <c r="B8" s="115"/>
    </row>
    <row r="9" spans="2:12" ht="15.75" customHeight="1" x14ac:dyDescent="0.25">
      <c r="B9" s="210" t="s">
        <v>33</v>
      </c>
      <c r="C9" s="210" t="s">
        <v>82</v>
      </c>
      <c r="D9" s="210" t="s">
        <v>83</v>
      </c>
      <c r="E9" s="210"/>
      <c r="F9" s="210"/>
      <c r="G9" s="210"/>
      <c r="H9" s="210"/>
      <c r="I9" s="210"/>
      <c r="J9" s="210"/>
    </row>
    <row r="10" spans="2:12" ht="15.75" customHeight="1" x14ac:dyDescent="0.25">
      <c r="B10" s="210"/>
      <c r="C10" s="210"/>
      <c r="D10" s="210" t="s">
        <v>84</v>
      </c>
      <c r="E10" s="210" t="s">
        <v>85</v>
      </c>
      <c r="F10" s="210" t="s">
        <v>86</v>
      </c>
      <c r="G10" s="210"/>
      <c r="H10" s="210"/>
      <c r="I10" s="210"/>
      <c r="J10" s="210"/>
    </row>
    <row r="11" spans="2:12" ht="31.7" customHeight="1" x14ac:dyDescent="0.25">
      <c r="B11" s="210"/>
      <c r="C11" s="210"/>
      <c r="D11" s="210"/>
      <c r="E11" s="210"/>
      <c r="F11" s="116" t="s">
        <v>87</v>
      </c>
      <c r="G11" s="116" t="s">
        <v>88</v>
      </c>
      <c r="H11" s="116" t="s">
        <v>43</v>
      </c>
      <c r="I11" s="116" t="s">
        <v>89</v>
      </c>
      <c r="J11" s="116" t="s">
        <v>90</v>
      </c>
    </row>
    <row r="12" spans="2:12" ht="63" customHeight="1" x14ac:dyDescent="0.25">
      <c r="B12" s="194"/>
      <c r="C12" s="195" t="s">
        <v>91</v>
      </c>
      <c r="D12" s="189"/>
      <c r="E12" s="116"/>
      <c r="F12" s="211">
        <f>(Прил.3!H12+Прил.3!H21+Прил.3!H23+Прил.3!H42)*8.11/1000</f>
        <v>305.88851949999992</v>
      </c>
      <c r="G12" s="212"/>
      <c r="H12" s="128">
        <f>Прил.3!H28*4.78/1000</f>
        <v>269.21442780000001</v>
      </c>
      <c r="I12" s="129"/>
      <c r="J12" s="130">
        <f>F12+H12</f>
        <v>575.10294729999987</v>
      </c>
    </row>
    <row r="13" spans="2:12" ht="15.75" customHeight="1" x14ac:dyDescent="0.25">
      <c r="B13" s="208" t="s">
        <v>92</v>
      </c>
      <c r="C13" s="208"/>
      <c r="D13" s="208"/>
      <c r="E13" s="208"/>
      <c r="F13" s="131"/>
      <c r="G13" s="131"/>
      <c r="H13" s="131"/>
      <c r="I13" s="196"/>
      <c r="J13" s="133"/>
    </row>
    <row r="14" spans="2:12" ht="28.5" customHeight="1" x14ac:dyDescent="0.25">
      <c r="B14" s="208" t="s">
        <v>93</v>
      </c>
      <c r="C14" s="208"/>
      <c r="D14" s="208"/>
      <c r="E14" s="208"/>
      <c r="F14" s="213">
        <f>F12</f>
        <v>305.88851949999992</v>
      </c>
      <c r="G14" s="214"/>
      <c r="H14" s="131">
        <f>H12</f>
        <v>269.21442780000001</v>
      </c>
      <c r="I14" s="196"/>
      <c r="J14" s="133">
        <f>J12</f>
        <v>575.10294729999987</v>
      </c>
    </row>
    <row r="15" spans="2:12" x14ac:dyDescent="0.25">
      <c r="B15" s="115"/>
    </row>
    <row r="18" spans="2:2" x14ac:dyDescent="0.25">
      <c r="B18" s="113" t="s">
        <v>75</v>
      </c>
    </row>
    <row r="19" spans="2:2" x14ac:dyDescent="0.25">
      <c r="B19" s="126" t="s">
        <v>76</v>
      </c>
    </row>
    <row r="21" spans="2:2" x14ac:dyDescent="0.25">
      <c r="B21" s="113" t="s">
        <v>77</v>
      </c>
    </row>
    <row r="22" spans="2:2" x14ac:dyDescent="0.25">
      <c r="B22" s="126" t="s">
        <v>78</v>
      </c>
    </row>
  </sheetData>
  <mergeCells count="14">
    <mergeCell ref="B13:E13"/>
    <mergeCell ref="B14:E14"/>
    <mergeCell ref="B3:J3"/>
    <mergeCell ref="B4:K4"/>
    <mergeCell ref="B6:J6"/>
    <mergeCell ref="B7:K7"/>
    <mergeCell ref="B9:B11"/>
    <mergeCell ref="C9:C11"/>
    <mergeCell ref="D9:J9"/>
    <mergeCell ref="D10:D11"/>
    <mergeCell ref="E10:E11"/>
    <mergeCell ref="F10:J10"/>
    <mergeCell ref="F12:G12"/>
    <mergeCell ref="F14:G14"/>
  </mergeCells>
  <pageMargins left="0.7" right="0.7" top="0.75" bottom="0.75" header="0.3" footer="0.3"/>
  <pageSetup paperSize="9" scale="54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4:M64"/>
  <sheetViews>
    <sheetView view="pageBreakPreview" zoomScale="55" zoomScaleSheetLayoutView="55" workbookViewId="0">
      <selection activeCell="G78" sqref="G78"/>
    </sheetView>
  </sheetViews>
  <sheetFormatPr defaultColWidth="9.140625" defaultRowHeight="15.75" x14ac:dyDescent="0.25"/>
  <cols>
    <col min="1" max="1" width="9.140625" style="113"/>
    <col min="2" max="2" width="12.5703125" style="113" customWidth="1"/>
    <col min="3" max="3" width="22.42578125" style="113" customWidth="1"/>
    <col min="4" max="4" width="49.7109375" style="113" customWidth="1"/>
    <col min="5" max="5" width="10.140625" style="134" customWidth="1"/>
    <col min="6" max="6" width="20.7109375" style="113" customWidth="1"/>
    <col min="7" max="7" width="16.140625" style="113" customWidth="1"/>
    <col min="8" max="8" width="16.7109375" style="113" customWidth="1"/>
    <col min="9" max="9" width="9.140625" style="113"/>
    <col min="10" max="10" width="10.28515625" style="113" customWidth="1"/>
    <col min="11" max="11" width="9.140625" style="113"/>
  </cols>
  <sheetData>
    <row r="4" spans="1:13" x14ac:dyDescent="0.25">
      <c r="A4" s="204" t="s">
        <v>94</v>
      </c>
      <c r="B4" s="204"/>
      <c r="C4" s="204"/>
      <c r="D4" s="204"/>
      <c r="E4" s="204"/>
      <c r="F4" s="204"/>
      <c r="G4" s="204"/>
      <c r="H4" s="204"/>
    </row>
    <row r="5" spans="1:13" x14ac:dyDescent="0.25">
      <c r="A5" s="205" t="s">
        <v>95</v>
      </c>
      <c r="B5" s="205"/>
      <c r="C5" s="205"/>
      <c r="D5" s="205"/>
      <c r="E5" s="205"/>
      <c r="F5" s="205"/>
      <c r="G5" s="205"/>
      <c r="H5" s="205"/>
    </row>
    <row r="6" spans="1:13" x14ac:dyDescent="0.25">
      <c r="A6" s="115"/>
    </row>
    <row r="7" spans="1:13" ht="30.75" customHeight="1" x14ac:dyDescent="0.25">
      <c r="A7" s="209" t="s">
        <v>96</v>
      </c>
      <c r="B7" s="209"/>
      <c r="C7" s="209"/>
      <c r="D7" s="209"/>
      <c r="E7" s="209"/>
      <c r="F7" s="209"/>
      <c r="G7" s="209"/>
      <c r="H7" s="209"/>
    </row>
    <row r="8" spans="1:13" x14ac:dyDescent="0.25">
      <c r="A8" s="135"/>
      <c r="B8" s="135"/>
      <c r="C8" s="135"/>
      <c r="D8" s="135"/>
      <c r="E8" s="114"/>
      <c r="F8" s="135"/>
      <c r="G8" s="135"/>
      <c r="H8" s="135"/>
    </row>
    <row r="9" spans="1:13" ht="38.25" customHeight="1" x14ac:dyDescent="0.25">
      <c r="A9" s="210" t="s">
        <v>97</v>
      </c>
      <c r="B9" s="210" t="s">
        <v>98</v>
      </c>
      <c r="C9" s="210" t="s">
        <v>99</v>
      </c>
      <c r="D9" s="210" t="s">
        <v>100</v>
      </c>
      <c r="E9" s="210" t="s">
        <v>101</v>
      </c>
      <c r="F9" s="210" t="s">
        <v>102</v>
      </c>
      <c r="G9" s="210" t="s">
        <v>103</v>
      </c>
      <c r="H9" s="210"/>
    </row>
    <row r="10" spans="1:13" ht="40.700000000000003" customHeight="1" x14ac:dyDescent="0.25">
      <c r="A10" s="210"/>
      <c r="B10" s="210"/>
      <c r="C10" s="210"/>
      <c r="D10" s="210"/>
      <c r="E10" s="210"/>
      <c r="F10" s="210"/>
      <c r="G10" s="116" t="s">
        <v>104</v>
      </c>
      <c r="H10" s="116" t="s">
        <v>105</v>
      </c>
    </row>
    <row r="11" spans="1:13" x14ac:dyDescent="0.25">
      <c r="A11" s="136">
        <v>1</v>
      </c>
      <c r="B11" s="136"/>
      <c r="C11" s="136">
        <v>2</v>
      </c>
      <c r="D11" s="136" t="s">
        <v>106</v>
      </c>
      <c r="E11" s="136">
        <v>4</v>
      </c>
      <c r="F11" s="136">
        <v>5</v>
      </c>
      <c r="G11" s="136">
        <v>6</v>
      </c>
      <c r="H11" s="136">
        <v>7</v>
      </c>
    </row>
    <row r="12" spans="1:13" s="138" customFormat="1" x14ac:dyDescent="0.25">
      <c r="A12" s="215" t="s">
        <v>107</v>
      </c>
      <c r="B12" s="216"/>
      <c r="C12" s="217"/>
      <c r="D12" s="217"/>
      <c r="E12" s="216"/>
      <c r="F12" s="137">
        <f>SUM(F13:F20)</f>
        <v>2108.5939919821999</v>
      </c>
      <c r="G12" s="137"/>
      <c r="H12" s="137">
        <f>SUM(H13:H20)</f>
        <v>20326.189999999999</v>
      </c>
      <c r="I12" s="113"/>
      <c r="J12" s="113"/>
      <c r="K12" s="113"/>
      <c r="L12" s="113"/>
      <c r="M12" s="113"/>
    </row>
    <row r="13" spans="1:13" x14ac:dyDescent="0.25">
      <c r="A13" s="139">
        <v>1</v>
      </c>
      <c r="B13" s="140" t="s">
        <v>108</v>
      </c>
      <c r="C13" s="141" t="s">
        <v>109</v>
      </c>
      <c r="D13" s="142" t="s">
        <v>110</v>
      </c>
      <c r="E13" s="143" t="s">
        <v>111</v>
      </c>
      <c r="F13" s="139">
        <v>1710.1010549634</v>
      </c>
      <c r="G13" s="144">
        <v>9.6199999999999992</v>
      </c>
      <c r="H13" s="144">
        <f t="shared" ref="H13:H20" si="0">ROUND(F13*G13,2)</f>
        <v>16451.169999999998</v>
      </c>
    </row>
    <row r="14" spans="1:13" x14ac:dyDescent="0.25">
      <c r="A14" s="139">
        <v>2</v>
      </c>
      <c r="B14" s="140" t="s">
        <v>108</v>
      </c>
      <c r="C14" s="141" t="s">
        <v>112</v>
      </c>
      <c r="D14" s="142" t="s">
        <v>113</v>
      </c>
      <c r="E14" s="143" t="s">
        <v>111</v>
      </c>
      <c r="F14" s="139">
        <v>159.60917941015001</v>
      </c>
      <c r="G14" s="144">
        <v>9.4</v>
      </c>
      <c r="H14" s="144">
        <f t="shared" si="0"/>
        <v>1500.33</v>
      </c>
    </row>
    <row r="15" spans="1:13" x14ac:dyDescent="0.25">
      <c r="A15" s="139">
        <v>3</v>
      </c>
      <c r="B15" s="140" t="s">
        <v>108</v>
      </c>
      <c r="C15" s="141" t="s">
        <v>114</v>
      </c>
      <c r="D15" s="142" t="s">
        <v>115</v>
      </c>
      <c r="E15" s="143" t="s">
        <v>111</v>
      </c>
      <c r="F15" s="139">
        <v>90.859115413747006</v>
      </c>
      <c r="G15" s="144">
        <v>10.06</v>
      </c>
      <c r="H15" s="144">
        <f t="shared" si="0"/>
        <v>914.04</v>
      </c>
    </row>
    <row r="16" spans="1:13" x14ac:dyDescent="0.25">
      <c r="A16" s="139">
        <v>4</v>
      </c>
      <c r="B16" s="140" t="s">
        <v>108</v>
      </c>
      <c r="C16" s="141" t="s">
        <v>116</v>
      </c>
      <c r="D16" s="142" t="s">
        <v>117</v>
      </c>
      <c r="E16" s="143" t="s">
        <v>111</v>
      </c>
      <c r="F16" s="139">
        <v>56.219077662255998</v>
      </c>
      <c r="G16" s="144">
        <v>9.92</v>
      </c>
      <c r="H16" s="144">
        <f t="shared" si="0"/>
        <v>557.69000000000005</v>
      </c>
    </row>
    <row r="17" spans="1:13" x14ac:dyDescent="0.25">
      <c r="A17" s="139">
        <v>5</v>
      </c>
      <c r="B17" s="140" t="s">
        <v>108</v>
      </c>
      <c r="C17" s="141" t="s">
        <v>118</v>
      </c>
      <c r="D17" s="142" t="s">
        <v>119</v>
      </c>
      <c r="E17" s="143" t="s">
        <v>111</v>
      </c>
      <c r="F17" s="139">
        <v>37.857964755727998</v>
      </c>
      <c r="G17" s="144">
        <v>9.07</v>
      </c>
      <c r="H17" s="144">
        <f t="shared" si="0"/>
        <v>343.37</v>
      </c>
    </row>
    <row r="18" spans="1:13" x14ac:dyDescent="0.25">
      <c r="A18" s="139">
        <v>6</v>
      </c>
      <c r="B18" s="140" t="s">
        <v>108</v>
      </c>
      <c r="C18" s="141" t="s">
        <v>120</v>
      </c>
      <c r="D18" s="142" t="s">
        <v>121</v>
      </c>
      <c r="E18" s="143" t="s">
        <v>111</v>
      </c>
      <c r="F18" s="139">
        <v>27.257734624124001</v>
      </c>
      <c r="G18" s="144">
        <v>10.5</v>
      </c>
      <c r="H18" s="144">
        <f t="shared" si="0"/>
        <v>286.20999999999998</v>
      </c>
    </row>
    <row r="19" spans="1:13" x14ac:dyDescent="0.25">
      <c r="A19" s="139">
        <v>7</v>
      </c>
      <c r="B19" s="140" t="s">
        <v>108</v>
      </c>
      <c r="C19" s="141" t="s">
        <v>122</v>
      </c>
      <c r="D19" s="142" t="s">
        <v>123</v>
      </c>
      <c r="E19" s="143" t="s">
        <v>111</v>
      </c>
      <c r="F19" s="139">
        <v>20.443300968092998</v>
      </c>
      <c r="G19" s="144">
        <v>10.210000000000001</v>
      </c>
      <c r="H19" s="144">
        <f t="shared" si="0"/>
        <v>208.73</v>
      </c>
    </row>
    <row r="20" spans="1:13" x14ac:dyDescent="0.25">
      <c r="A20" s="139">
        <v>8</v>
      </c>
      <c r="B20" s="140" t="s">
        <v>108</v>
      </c>
      <c r="C20" s="141" t="s">
        <v>124</v>
      </c>
      <c r="D20" s="142" t="s">
        <v>125</v>
      </c>
      <c r="E20" s="143" t="s">
        <v>111</v>
      </c>
      <c r="F20" s="139">
        <v>6.2465641846951003</v>
      </c>
      <c r="G20" s="144">
        <v>10.35</v>
      </c>
      <c r="H20" s="144">
        <f t="shared" si="0"/>
        <v>64.650000000000006</v>
      </c>
    </row>
    <row r="21" spans="1:13" x14ac:dyDescent="0.25">
      <c r="A21" s="215" t="s">
        <v>126</v>
      </c>
      <c r="B21" s="216"/>
      <c r="C21" s="217"/>
      <c r="D21" s="217"/>
      <c r="E21" s="216"/>
      <c r="F21" s="183">
        <f>F22</f>
        <v>9.2482192630797009</v>
      </c>
      <c r="G21" s="137"/>
      <c r="H21" s="137">
        <f>H22</f>
        <v>61.5</v>
      </c>
    </row>
    <row r="22" spans="1:13" x14ac:dyDescent="0.25">
      <c r="A22" s="139">
        <v>9</v>
      </c>
      <c r="B22" s="139" t="s">
        <v>108</v>
      </c>
      <c r="C22" s="142">
        <v>2</v>
      </c>
      <c r="D22" s="142" t="s">
        <v>126</v>
      </c>
      <c r="E22" s="143" t="s">
        <v>111</v>
      </c>
      <c r="F22" s="139">
        <v>9.2482192630797009</v>
      </c>
      <c r="G22" s="144"/>
      <c r="H22" s="144">
        <v>61.5</v>
      </c>
    </row>
    <row r="23" spans="1:13" s="138" customFormat="1" x14ac:dyDescent="0.25">
      <c r="A23" s="215" t="s">
        <v>127</v>
      </c>
      <c r="B23" s="216"/>
      <c r="C23" s="217"/>
      <c r="D23" s="217"/>
      <c r="E23" s="216"/>
      <c r="F23" s="183"/>
      <c r="G23" s="137"/>
      <c r="H23" s="137">
        <f>SUM(H24:H27)</f>
        <v>999.28</v>
      </c>
      <c r="I23" s="113"/>
      <c r="J23" s="113"/>
      <c r="K23" s="113"/>
      <c r="L23" s="113"/>
      <c r="M23" s="113"/>
    </row>
    <row r="24" spans="1:13" ht="31.7" customHeight="1" x14ac:dyDescent="0.25">
      <c r="A24" s="139">
        <v>10</v>
      </c>
      <c r="B24" s="139" t="s">
        <v>108</v>
      </c>
      <c r="C24" s="142" t="s">
        <v>128</v>
      </c>
      <c r="D24" s="142" t="s">
        <v>129</v>
      </c>
      <c r="E24" s="143" t="s">
        <v>130</v>
      </c>
      <c r="F24" s="139">
        <v>4.6280698947912997</v>
      </c>
      <c r="G24" s="144">
        <v>115.4</v>
      </c>
      <c r="H24" s="144">
        <f>ROUND(F24*G24,2)</f>
        <v>534.08000000000004</v>
      </c>
    </row>
    <row r="25" spans="1:13" s="138" customFormat="1" x14ac:dyDescent="0.25">
      <c r="A25" s="139">
        <v>11</v>
      </c>
      <c r="B25" s="139" t="s">
        <v>108</v>
      </c>
      <c r="C25" s="142" t="s">
        <v>131</v>
      </c>
      <c r="D25" s="142" t="s">
        <v>132</v>
      </c>
      <c r="E25" s="143" t="s">
        <v>130</v>
      </c>
      <c r="F25" s="139">
        <v>4.6281095699617998</v>
      </c>
      <c r="G25" s="144">
        <v>65.709999999999994</v>
      </c>
      <c r="H25" s="144">
        <f>ROUND(F25*G25,2)</f>
        <v>304.11</v>
      </c>
      <c r="I25" s="113"/>
      <c r="J25" s="113"/>
      <c r="K25" s="113"/>
      <c r="L25" s="113"/>
      <c r="M25" s="113"/>
    </row>
    <row r="26" spans="1:13" s="138" customFormat="1" ht="31.7" customHeight="1" x14ac:dyDescent="0.25">
      <c r="A26" s="139">
        <v>12</v>
      </c>
      <c r="B26" s="139" t="s">
        <v>108</v>
      </c>
      <c r="C26" s="142" t="s">
        <v>133</v>
      </c>
      <c r="D26" s="142" t="s">
        <v>134</v>
      </c>
      <c r="E26" s="143" t="s">
        <v>130</v>
      </c>
      <c r="F26" s="139">
        <v>38.536058951906</v>
      </c>
      <c r="G26" s="144">
        <v>3.28</v>
      </c>
      <c r="H26" s="144">
        <f>ROUND(F26*G26,2)</f>
        <v>126.4</v>
      </c>
      <c r="I26" s="113"/>
      <c r="J26" s="113"/>
      <c r="K26" s="113"/>
      <c r="L26" s="113"/>
      <c r="M26" s="113"/>
    </row>
    <row r="27" spans="1:13" s="138" customFormat="1" ht="31.7" customHeight="1" x14ac:dyDescent="0.25">
      <c r="A27" s="139">
        <v>13</v>
      </c>
      <c r="B27" s="139" t="s">
        <v>108</v>
      </c>
      <c r="C27" s="142" t="s">
        <v>135</v>
      </c>
      <c r="D27" s="142" t="s">
        <v>136</v>
      </c>
      <c r="E27" s="143" t="s">
        <v>130</v>
      </c>
      <c r="F27" s="139">
        <v>38.545353804321998</v>
      </c>
      <c r="G27" s="144">
        <v>0.9</v>
      </c>
      <c r="H27" s="144">
        <f>ROUND(F27*G27,2)</f>
        <v>34.69</v>
      </c>
      <c r="I27" s="113"/>
      <c r="J27" s="113"/>
      <c r="K27" s="113"/>
      <c r="L27" s="113"/>
      <c r="M27" s="113"/>
    </row>
    <row r="28" spans="1:13" x14ac:dyDescent="0.25">
      <c r="A28" s="215" t="s">
        <v>43</v>
      </c>
      <c r="B28" s="216"/>
      <c r="C28" s="217"/>
      <c r="D28" s="217"/>
      <c r="E28" s="216"/>
      <c r="F28" s="183"/>
      <c r="G28" s="137"/>
      <c r="H28" s="137">
        <f>SUM(H29:H41)</f>
        <v>56321.01</v>
      </c>
    </row>
    <row r="29" spans="1:13" s="138" customFormat="1" ht="31.7" customHeight="1" x14ac:dyDescent="0.25">
      <c r="A29" s="139">
        <v>14</v>
      </c>
      <c r="B29" s="139" t="s">
        <v>108</v>
      </c>
      <c r="C29" s="142" t="s">
        <v>137</v>
      </c>
      <c r="D29" s="142" t="s">
        <v>138</v>
      </c>
      <c r="E29" s="143" t="s">
        <v>139</v>
      </c>
      <c r="F29" s="139">
        <v>12</v>
      </c>
      <c r="G29" s="144">
        <v>1105.2</v>
      </c>
      <c r="H29" s="144">
        <f t="shared" ref="H29:H41" si="1">ROUND(F29*G29,2)</f>
        <v>13262.4</v>
      </c>
      <c r="I29" s="113"/>
      <c r="J29" s="113"/>
      <c r="K29" s="113"/>
      <c r="L29" s="113"/>
      <c r="M29" s="113"/>
    </row>
    <row r="30" spans="1:13" s="138" customFormat="1" ht="47.25" customHeight="1" x14ac:dyDescent="0.25">
      <c r="A30" s="139">
        <v>15</v>
      </c>
      <c r="B30" s="139" t="s">
        <v>108</v>
      </c>
      <c r="C30" s="142" t="s">
        <v>140</v>
      </c>
      <c r="D30" s="142" t="s">
        <v>141</v>
      </c>
      <c r="E30" s="143" t="s">
        <v>139</v>
      </c>
      <c r="F30" s="139">
        <v>74</v>
      </c>
      <c r="G30" s="144">
        <v>116.52</v>
      </c>
      <c r="H30" s="144">
        <f t="shared" si="1"/>
        <v>8622.48</v>
      </c>
      <c r="I30" s="113"/>
      <c r="J30" s="113"/>
      <c r="K30" s="113"/>
      <c r="L30" s="113"/>
      <c r="M30" s="113"/>
    </row>
    <row r="31" spans="1:13" s="138" customFormat="1" ht="63" customHeight="1" x14ac:dyDescent="0.25">
      <c r="A31" s="139">
        <v>16</v>
      </c>
      <c r="B31" s="139" t="s">
        <v>108</v>
      </c>
      <c r="C31" s="142" t="s">
        <v>142</v>
      </c>
      <c r="D31" s="142" t="s">
        <v>143</v>
      </c>
      <c r="E31" s="143" t="s">
        <v>144</v>
      </c>
      <c r="F31" s="139">
        <v>4</v>
      </c>
      <c r="G31" s="144">
        <v>2188.6</v>
      </c>
      <c r="H31" s="144">
        <f t="shared" si="1"/>
        <v>8754.4</v>
      </c>
      <c r="I31" s="113"/>
      <c r="J31" s="113"/>
      <c r="K31" s="113"/>
      <c r="L31" s="113"/>
      <c r="M31" s="113"/>
    </row>
    <row r="32" spans="1:13" s="138" customFormat="1" x14ac:dyDescent="0.25">
      <c r="A32" s="139">
        <v>17</v>
      </c>
      <c r="B32" s="139" t="s">
        <v>108</v>
      </c>
      <c r="C32" s="142" t="s">
        <v>145</v>
      </c>
      <c r="D32" s="142" t="s">
        <v>146</v>
      </c>
      <c r="E32" s="143" t="s">
        <v>144</v>
      </c>
      <c r="F32" s="139">
        <v>1.3</v>
      </c>
      <c r="G32" s="144">
        <v>3463.94</v>
      </c>
      <c r="H32" s="144">
        <f t="shared" si="1"/>
        <v>4503.12</v>
      </c>
      <c r="I32" s="113"/>
      <c r="J32" s="113"/>
      <c r="K32" s="113"/>
      <c r="L32" s="113"/>
      <c r="M32" s="113"/>
    </row>
    <row r="33" spans="1:13" s="138" customFormat="1" ht="31.7" customHeight="1" x14ac:dyDescent="0.25">
      <c r="A33" s="139">
        <v>18</v>
      </c>
      <c r="B33" s="139" t="s">
        <v>108</v>
      </c>
      <c r="C33" s="142" t="s">
        <v>147</v>
      </c>
      <c r="D33" s="142" t="s">
        <v>148</v>
      </c>
      <c r="E33" s="143" t="s">
        <v>139</v>
      </c>
      <c r="F33" s="139">
        <v>21</v>
      </c>
      <c r="G33" s="144">
        <v>187</v>
      </c>
      <c r="H33" s="144">
        <f t="shared" si="1"/>
        <v>3927</v>
      </c>
      <c r="I33" s="113"/>
      <c r="J33" s="113"/>
      <c r="K33" s="113"/>
      <c r="L33" s="113"/>
      <c r="M33" s="113"/>
    </row>
    <row r="34" spans="1:13" s="138" customFormat="1" x14ac:dyDescent="0.25">
      <c r="A34" s="139">
        <v>19</v>
      </c>
      <c r="B34" s="139" t="s">
        <v>108</v>
      </c>
      <c r="C34" s="142" t="s">
        <v>149</v>
      </c>
      <c r="D34" s="142" t="s">
        <v>150</v>
      </c>
      <c r="E34" s="143" t="s">
        <v>139</v>
      </c>
      <c r="F34" s="139">
        <v>90</v>
      </c>
      <c r="G34" s="144">
        <v>38.380000000000003</v>
      </c>
      <c r="H34" s="144">
        <f t="shared" si="1"/>
        <v>3454.2</v>
      </c>
      <c r="I34" s="113"/>
      <c r="J34" s="113"/>
      <c r="K34" s="113"/>
      <c r="L34" s="113"/>
      <c r="M34" s="113"/>
    </row>
    <row r="35" spans="1:13" s="138" customFormat="1" x14ac:dyDescent="0.25">
      <c r="A35" s="139">
        <v>20</v>
      </c>
      <c r="B35" s="139" t="s">
        <v>108</v>
      </c>
      <c r="C35" s="142" t="s">
        <v>151</v>
      </c>
      <c r="D35" s="142" t="s">
        <v>152</v>
      </c>
      <c r="E35" s="143" t="s">
        <v>139</v>
      </c>
      <c r="F35" s="139">
        <v>14</v>
      </c>
      <c r="G35" s="144">
        <v>243.85</v>
      </c>
      <c r="H35" s="144">
        <f t="shared" si="1"/>
        <v>3413.9</v>
      </c>
      <c r="I35" s="113"/>
      <c r="J35" s="113"/>
      <c r="K35" s="113"/>
      <c r="L35" s="113"/>
      <c r="M35" s="113"/>
    </row>
    <row r="36" spans="1:13" s="138" customFormat="1" ht="141.75" customHeight="1" x14ac:dyDescent="0.25">
      <c r="A36" s="139">
        <v>21</v>
      </c>
      <c r="B36" s="139" t="s">
        <v>108</v>
      </c>
      <c r="C36" s="142" t="s">
        <v>153</v>
      </c>
      <c r="D36" s="142" t="s">
        <v>154</v>
      </c>
      <c r="E36" s="143" t="s">
        <v>139</v>
      </c>
      <c r="F36" s="139">
        <v>4</v>
      </c>
      <c r="G36" s="144">
        <v>726.24</v>
      </c>
      <c r="H36" s="144">
        <f t="shared" si="1"/>
        <v>2904.96</v>
      </c>
      <c r="I36" s="113"/>
      <c r="J36" s="113"/>
      <c r="K36" s="113"/>
      <c r="L36" s="113"/>
      <c r="M36" s="113"/>
    </row>
    <row r="37" spans="1:13" s="138" customFormat="1" ht="31.7" customHeight="1" x14ac:dyDescent="0.25">
      <c r="A37" s="139">
        <v>22</v>
      </c>
      <c r="B37" s="139" t="s">
        <v>108</v>
      </c>
      <c r="C37" s="142" t="s">
        <v>155</v>
      </c>
      <c r="D37" s="142" t="s">
        <v>156</v>
      </c>
      <c r="E37" s="143" t="s">
        <v>139</v>
      </c>
      <c r="F37" s="139">
        <v>15</v>
      </c>
      <c r="G37" s="144">
        <v>175.63</v>
      </c>
      <c r="H37" s="144">
        <f t="shared" si="1"/>
        <v>2634.45</v>
      </c>
      <c r="I37" s="113"/>
      <c r="J37" s="113"/>
      <c r="K37" s="113"/>
      <c r="L37" s="113"/>
      <c r="M37" s="113"/>
    </row>
    <row r="38" spans="1:13" s="138" customFormat="1" ht="31.7" customHeight="1" x14ac:dyDescent="0.25">
      <c r="A38" s="139">
        <v>23</v>
      </c>
      <c r="B38" s="139" t="s">
        <v>108</v>
      </c>
      <c r="C38" s="142" t="s">
        <v>157</v>
      </c>
      <c r="D38" s="142" t="s">
        <v>158</v>
      </c>
      <c r="E38" s="143" t="s">
        <v>144</v>
      </c>
      <c r="F38" s="139">
        <v>5.5</v>
      </c>
      <c r="G38" s="144">
        <v>410.04</v>
      </c>
      <c r="H38" s="144">
        <f t="shared" si="1"/>
        <v>2255.2199999999998</v>
      </c>
      <c r="I38" s="113"/>
      <c r="J38" s="113"/>
      <c r="K38" s="113"/>
      <c r="L38" s="113"/>
      <c r="M38" s="113"/>
    </row>
    <row r="39" spans="1:13" s="138" customFormat="1" ht="63" customHeight="1" x14ac:dyDescent="0.25">
      <c r="A39" s="139">
        <v>24</v>
      </c>
      <c r="B39" s="139" t="s">
        <v>108</v>
      </c>
      <c r="C39" s="142" t="s">
        <v>159</v>
      </c>
      <c r="D39" s="142" t="s">
        <v>160</v>
      </c>
      <c r="E39" s="143" t="s">
        <v>139</v>
      </c>
      <c r="F39" s="139">
        <v>19</v>
      </c>
      <c r="G39" s="144">
        <v>68.819999999999993</v>
      </c>
      <c r="H39" s="144">
        <f t="shared" si="1"/>
        <v>1307.58</v>
      </c>
      <c r="I39" s="113"/>
      <c r="J39" s="113"/>
      <c r="K39" s="113"/>
      <c r="L39" s="113"/>
      <c r="M39" s="113"/>
    </row>
    <row r="40" spans="1:13" s="138" customFormat="1" ht="31.7" customHeight="1" x14ac:dyDescent="0.25">
      <c r="A40" s="139">
        <v>25</v>
      </c>
      <c r="B40" s="139" t="s">
        <v>108</v>
      </c>
      <c r="C40" s="142" t="s">
        <v>161</v>
      </c>
      <c r="D40" s="142" t="s">
        <v>162</v>
      </c>
      <c r="E40" s="143" t="s">
        <v>139</v>
      </c>
      <c r="F40" s="139">
        <v>2</v>
      </c>
      <c r="G40" s="144">
        <v>367.7</v>
      </c>
      <c r="H40" s="144">
        <f t="shared" si="1"/>
        <v>735.4</v>
      </c>
      <c r="I40" s="113"/>
      <c r="J40" s="113"/>
      <c r="K40" s="113"/>
      <c r="L40" s="113"/>
      <c r="M40" s="113"/>
    </row>
    <row r="41" spans="1:13" s="138" customFormat="1" ht="31.7" customHeight="1" x14ac:dyDescent="0.25">
      <c r="A41" s="139">
        <v>26</v>
      </c>
      <c r="B41" s="139" t="s">
        <v>108</v>
      </c>
      <c r="C41" s="142" t="s">
        <v>163</v>
      </c>
      <c r="D41" s="142" t="s">
        <v>164</v>
      </c>
      <c r="E41" s="143" t="s">
        <v>165</v>
      </c>
      <c r="F41" s="139">
        <v>0.1</v>
      </c>
      <c r="G41" s="144">
        <v>5459</v>
      </c>
      <c r="H41" s="144">
        <f t="shared" si="1"/>
        <v>545.9</v>
      </c>
      <c r="I41" s="113"/>
      <c r="J41" s="113"/>
      <c r="K41" s="113"/>
      <c r="L41" s="113"/>
      <c r="M41" s="113"/>
    </row>
    <row r="42" spans="1:13" x14ac:dyDescent="0.25">
      <c r="A42" s="215" t="s">
        <v>166</v>
      </c>
      <c r="B42" s="216"/>
      <c r="C42" s="217"/>
      <c r="D42" s="217"/>
      <c r="E42" s="216"/>
      <c r="F42" s="183"/>
      <c r="G42" s="137"/>
      <c r="H42" s="137">
        <f>SUM(H43:H57)</f>
        <v>16330.48</v>
      </c>
    </row>
    <row r="43" spans="1:13" ht="31.7" customHeight="1" x14ac:dyDescent="0.25">
      <c r="A43" s="139">
        <v>27</v>
      </c>
      <c r="B43" s="139" t="s">
        <v>108</v>
      </c>
      <c r="C43" s="142" t="s">
        <v>167</v>
      </c>
      <c r="D43" s="142" t="s">
        <v>168</v>
      </c>
      <c r="E43" s="143" t="s">
        <v>169</v>
      </c>
      <c r="F43" s="139">
        <v>1.5112243272096999</v>
      </c>
      <c r="G43" s="144">
        <v>8018.05</v>
      </c>
      <c r="H43" s="144">
        <f t="shared" ref="H43:H57" si="2">ROUND(F43*G43,2)</f>
        <v>12117.07</v>
      </c>
    </row>
    <row r="44" spans="1:13" ht="31.7" customHeight="1" x14ac:dyDescent="0.25">
      <c r="A44" s="139">
        <v>28</v>
      </c>
      <c r="B44" s="139" t="s">
        <v>108</v>
      </c>
      <c r="C44" s="142" t="s">
        <v>170</v>
      </c>
      <c r="D44" s="142" t="s">
        <v>171</v>
      </c>
      <c r="E44" s="143" t="s">
        <v>165</v>
      </c>
      <c r="F44" s="139">
        <v>22.233887224277002</v>
      </c>
      <c r="G44" s="144">
        <v>83</v>
      </c>
      <c r="H44" s="144">
        <f t="shared" si="2"/>
        <v>1845.41</v>
      </c>
    </row>
    <row r="45" spans="1:13" ht="31.7" customHeight="1" x14ac:dyDescent="0.25">
      <c r="A45" s="139">
        <v>29</v>
      </c>
      <c r="B45" s="139" t="s">
        <v>108</v>
      </c>
      <c r="C45" s="142" t="s">
        <v>172</v>
      </c>
      <c r="D45" s="142" t="s">
        <v>173</v>
      </c>
      <c r="E45" s="143" t="s">
        <v>174</v>
      </c>
      <c r="F45" s="139">
        <v>8.9843145380294007E-3</v>
      </c>
      <c r="G45" s="144">
        <v>65750</v>
      </c>
      <c r="H45" s="144">
        <f t="shared" si="2"/>
        <v>590.72</v>
      </c>
    </row>
    <row r="46" spans="1:13" ht="31.7" customHeight="1" x14ac:dyDescent="0.25">
      <c r="A46" s="139">
        <v>30</v>
      </c>
      <c r="B46" s="139" t="s">
        <v>108</v>
      </c>
      <c r="C46" s="142" t="s">
        <v>175</v>
      </c>
      <c r="D46" s="142" t="s">
        <v>176</v>
      </c>
      <c r="E46" s="143" t="s">
        <v>174</v>
      </c>
      <c r="F46" s="139">
        <v>8.0283095906082992E-3</v>
      </c>
      <c r="G46" s="144">
        <v>68050</v>
      </c>
      <c r="H46" s="144">
        <f t="shared" si="2"/>
        <v>546.33000000000004</v>
      </c>
    </row>
    <row r="47" spans="1:13" ht="31.7" customHeight="1" x14ac:dyDescent="0.25">
      <c r="A47" s="139">
        <v>31</v>
      </c>
      <c r="B47" s="139" t="s">
        <v>108</v>
      </c>
      <c r="C47" s="142" t="s">
        <v>177</v>
      </c>
      <c r="D47" s="142" t="s">
        <v>178</v>
      </c>
      <c r="E47" s="143" t="s">
        <v>169</v>
      </c>
      <c r="F47" s="139">
        <v>9.4450661670713004E-2</v>
      </c>
      <c r="G47" s="144">
        <v>5545.45</v>
      </c>
      <c r="H47" s="144">
        <f t="shared" si="2"/>
        <v>523.77</v>
      </c>
    </row>
    <row r="48" spans="1:13" ht="31.7" customHeight="1" x14ac:dyDescent="0.25">
      <c r="A48" s="139">
        <v>32</v>
      </c>
      <c r="B48" s="139" t="s">
        <v>108</v>
      </c>
      <c r="C48" s="142" t="s">
        <v>179</v>
      </c>
      <c r="D48" s="142" t="s">
        <v>180</v>
      </c>
      <c r="E48" s="143" t="s">
        <v>181</v>
      </c>
      <c r="F48" s="139">
        <v>403.70467618524998</v>
      </c>
      <c r="G48" s="144">
        <v>1</v>
      </c>
      <c r="H48" s="144">
        <f t="shared" si="2"/>
        <v>403.7</v>
      </c>
    </row>
    <row r="49" spans="1:10" x14ac:dyDescent="0.25">
      <c r="A49" s="139">
        <v>33</v>
      </c>
      <c r="B49" s="139" t="s">
        <v>108</v>
      </c>
      <c r="C49" s="142" t="s">
        <v>182</v>
      </c>
      <c r="D49" s="142" t="s">
        <v>183</v>
      </c>
      <c r="E49" s="143" t="s">
        <v>169</v>
      </c>
      <c r="F49" s="139">
        <v>9.4456722076140004E-2</v>
      </c>
      <c r="G49" s="144">
        <v>1819.3</v>
      </c>
      <c r="H49" s="144">
        <f t="shared" si="2"/>
        <v>171.85</v>
      </c>
    </row>
    <row r="50" spans="1:10" x14ac:dyDescent="0.25">
      <c r="A50" s="139">
        <v>34</v>
      </c>
      <c r="B50" s="139" t="s">
        <v>108</v>
      </c>
      <c r="C50" s="142" t="s">
        <v>184</v>
      </c>
      <c r="D50" s="142" t="s">
        <v>185</v>
      </c>
      <c r="E50" s="143" t="s">
        <v>165</v>
      </c>
      <c r="F50" s="139">
        <v>0.20779333854465001</v>
      </c>
      <c r="G50" s="144">
        <v>164</v>
      </c>
      <c r="H50" s="144">
        <f t="shared" si="2"/>
        <v>34.08</v>
      </c>
    </row>
    <row r="51" spans="1:10" ht="47.25" customHeight="1" x14ac:dyDescent="0.25">
      <c r="A51" s="139">
        <v>35</v>
      </c>
      <c r="B51" s="139" t="s">
        <v>108</v>
      </c>
      <c r="C51" s="142" t="s">
        <v>186</v>
      </c>
      <c r="D51" s="142" t="s">
        <v>187</v>
      </c>
      <c r="E51" s="143" t="s">
        <v>188</v>
      </c>
      <c r="F51" s="139">
        <v>0.28328274588381003</v>
      </c>
      <c r="G51" s="144">
        <v>91.29</v>
      </c>
      <c r="H51" s="144">
        <f t="shared" si="2"/>
        <v>25.86</v>
      </c>
    </row>
    <row r="52" spans="1:10" x14ac:dyDescent="0.25">
      <c r="A52" s="139">
        <v>36</v>
      </c>
      <c r="B52" s="139" t="s">
        <v>108</v>
      </c>
      <c r="C52" s="142" t="s">
        <v>189</v>
      </c>
      <c r="D52" s="142" t="s">
        <v>190</v>
      </c>
      <c r="E52" s="143" t="s">
        <v>188</v>
      </c>
      <c r="F52" s="139">
        <v>2.8336079041565001</v>
      </c>
      <c r="G52" s="144">
        <v>9.0399999999999991</v>
      </c>
      <c r="H52" s="144">
        <f t="shared" si="2"/>
        <v>25.62</v>
      </c>
    </row>
    <row r="53" spans="1:10" x14ac:dyDescent="0.25">
      <c r="A53" s="139">
        <v>37</v>
      </c>
      <c r="B53" s="139" t="s">
        <v>108</v>
      </c>
      <c r="C53" s="142" t="s">
        <v>191</v>
      </c>
      <c r="D53" s="142" t="s">
        <v>192</v>
      </c>
      <c r="E53" s="143" t="s">
        <v>188</v>
      </c>
      <c r="F53" s="139">
        <v>0.56997677274130998</v>
      </c>
      <c r="G53" s="144">
        <v>27.74</v>
      </c>
      <c r="H53" s="144">
        <f t="shared" si="2"/>
        <v>15.81</v>
      </c>
    </row>
    <row r="54" spans="1:10" x14ac:dyDescent="0.25">
      <c r="A54" s="139">
        <v>38</v>
      </c>
      <c r="B54" s="139" t="s">
        <v>108</v>
      </c>
      <c r="C54" s="142" t="s">
        <v>193</v>
      </c>
      <c r="D54" s="142" t="s">
        <v>194</v>
      </c>
      <c r="E54" s="143" t="s">
        <v>195</v>
      </c>
      <c r="F54" s="139">
        <v>1.5412281293654</v>
      </c>
      <c r="G54" s="144">
        <v>6.9</v>
      </c>
      <c r="H54" s="144">
        <f t="shared" si="2"/>
        <v>10.63</v>
      </c>
    </row>
    <row r="55" spans="1:10" x14ac:dyDescent="0.25">
      <c r="A55" s="139">
        <v>39</v>
      </c>
      <c r="B55" s="139" t="s">
        <v>108</v>
      </c>
      <c r="C55" s="142" t="s">
        <v>196</v>
      </c>
      <c r="D55" s="142" t="s">
        <v>197</v>
      </c>
      <c r="E55" s="143" t="s">
        <v>174</v>
      </c>
      <c r="F55" s="139">
        <v>9.6299053508026996E-4</v>
      </c>
      <c r="G55" s="144">
        <v>7826.9</v>
      </c>
      <c r="H55" s="144">
        <f t="shared" si="2"/>
        <v>7.54</v>
      </c>
    </row>
    <row r="56" spans="1:10" x14ac:dyDescent="0.25">
      <c r="A56" s="139">
        <v>40</v>
      </c>
      <c r="B56" s="139" t="s">
        <v>108</v>
      </c>
      <c r="C56" s="142" t="s">
        <v>198</v>
      </c>
      <c r="D56" s="142" t="s">
        <v>199</v>
      </c>
      <c r="E56" s="143" t="s">
        <v>174</v>
      </c>
      <c r="F56" s="139">
        <v>9.8335767460437998E-3</v>
      </c>
      <c r="G56" s="144">
        <v>729.98</v>
      </c>
      <c r="H56" s="144">
        <f t="shared" si="2"/>
        <v>7.18</v>
      </c>
    </row>
    <row r="57" spans="1:10" x14ac:dyDescent="0.25">
      <c r="A57" s="139">
        <v>41</v>
      </c>
      <c r="B57" s="139" t="s">
        <v>108</v>
      </c>
      <c r="C57" s="142" t="s">
        <v>200</v>
      </c>
      <c r="D57" s="142" t="s">
        <v>201</v>
      </c>
      <c r="E57" s="143" t="s">
        <v>188</v>
      </c>
      <c r="F57" s="139">
        <v>0.16976909047672001</v>
      </c>
      <c r="G57" s="144">
        <v>28.93</v>
      </c>
      <c r="H57" s="144">
        <f t="shared" si="2"/>
        <v>4.91</v>
      </c>
      <c r="J57" s="112"/>
    </row>
    <row r="60" spans="1:10" x14ac:dyDescent="0.25">
      <c r="B60" s="113" t="s">
        <v>75</v>
      </c>
    </row>
    <row r="61" spans="1:10" x14ac:dyDescent="0.25">
      <c r="B61" s="126" t="s">
        <v>76</v>
      </c>
    </row>
    <row r="63" spans="1:10" x14ac:dyDescent="0.25">
      <c r="B63" s="113" t="s">
        <v>77</v>
      </c>
    </row>
    <row r="64" spans="1:10" x14ac:dyDescent="0.25">
      <c r="B64" s="126" t="s">
        <v>78</v>
      </c>
    </row>
  </sheetData>
  <mergeCells count="15">
    <mergeCell ref="A21:E21"/>
    <mergeCell ref="A42:E42"/>
    <mergeCell ref="A12:E12"/>
    <mergeCell ref="A23:E23"/>
    <mergeCell ref="A4:H4"/>
    <mergeCell ref="A5:H5"/>
    <mergeCell ref="A7:H7"/>
    <mergeCell ref="A9:A10"/>
    <mergeCell ref="B9:B10"/>
    <mergeCell ref="C9:C10"/>
    <mergeCell ref="D9:D10"/>
    <mergeCell ref="E9:E10"/>
    <mergeCell ref="F9:F10"/>
    <mergeCell ref="G9:H9"/>
    <mergeCell ref="A28:E28"/>
  </mergeCells>
  <pageMargins left="0.70866141732283505" right="0.70866141732283505" top="0.74803149606299202" bottom="0.74803149606299202" header="0.31496062992126" footer="0.31496062992126"/>
  <pageSetup paperSize="9" scale="83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K50"/>
  <sheetViews>
    <sheetView view="pageBreakPreview" topLeftCell="A38" workbookViewId="0">
      <selection activeCell="D45" sqref="D45"/>
    </sheetView>
  </sheetViews>
  <sheetFormatPr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11.42578125" customWidth="1"/>
    <col min="7" max="10" width="9.140625" customWidth="1"/>
    <col min="11" max="11" width="13.5703125" customWidth="1"/>
    <col min="12" max="12" width="9.140625" customWidth="1"/>
  </cols>
  <sheetData>
    <row r="1" spans="2:5" x14ac:dyDescent="0.25">
      <c r="B1" s="4"/>
      <c r="C1" s="4"/>
      <c r="D1" s="4"/>
      <c r="E1" s="4"/>
    </row>
    <row r="2" spans="2:5" x14ac:dyDescent="0.25">
      <c r="B2" s="4"/>
      <c r="C2" s="4"/>
      <c r="D2" s="4"/>
      <c r="E2" s="45" t="s">
        <v>202</v>
      </c>
    </row>
    <row r="3" spans="2:5" x14ac:dyDescent="0.25">
      <c r="B3" s="4"/>
      <c r="C3" s="4"/>
      <c r="D3" s="4"/>
      <c r="E3" s="4"/>
    </row>
    <row r="4" spans="2:5" x14ac:dyDescent="0.25">
      <c r="B4" s="4"/>
      <c r="C4" s="4"/>
      <c r="D4" s="4"/>
      <c r="E4" s="4"/>
    </row>
    <row r="5" spans="2:5" x14ac:dyDescent="0.25">
      <c r="B5" s="197" t="s">
        <v>203</v>
      </c>
      <c r="C5" s="197"/>
      <c r="D5" s="197"/>
      <c r="E5" s="197"/>
    </row>
    <row r="6" spans="2:5" x14ac:dyDescent="0.25">
      <c r="B6" s="146"/>
      <c r="C6" s="4"/>
      <c r="D6" s="4"/>
      <c r="E6" s="4"/>
    </row>
    <row r="7" spans="2:5" ht="25.5" customHeight="1" x14ac:dyDescent="0.25">
      <c r="B7" s="218" t="s">
        <v>47</v>
      </c>
      <c r="C7" s="218"/>
      <c r="D7" s="218"/>
      <c r="E7" s="218"/>
    </row>
    <row r="8" spans="2:5" x14ac:dyDescent="0.25">
      <c r="B8" s="219" t="s">
        <v>204</v>
      </c>
      <c r="C8" s="219"/>
      <c r="D8" s="219"/>
      <c r="E8" s="219"/>
    </row>
    <row r="9" spans="2:5" x14ac:dyDescent="0.25">
      <c r="B9" s="146"/>
      <c r="C9" s="4"/>
      <c r="D9" s="4"/>
      <c r="E9" s="4"/>
    </row>
    <row r="10" spans="2:5" ht="51" customHeight="1" x14ac:dyDescent="0.25">
      <c r="B10" s="2" t="s">
        <v>205</v>
      </c>
      <c r="C10" s="2" t="s">
        <v>206</v>
      </c>
      <c r="D10" s="2" t="s">
        <v>207</v>
      </c>
      <c r="E10" s="2" t="s">
        <v>208</v>
      </c>
    </row>
    <row r="11" spans="2:5" x14ac:dyDescent="0.25">
      <c r="B11" s="105" t="s">
        <v>209</v>
      </c>
      <c r="C11" s="106">
        <f>'Прил.5 Расчет СМР и ОБ'!J14</f>
        <v>937056.44</v>
      </c>
      <c r="D11" s="107">
        <f t="shared" ref="D11:D18" si="0">C11/$C$24</f>
        <v>0.39393463467624124</v>
      </c>
      <c r="E11" s="107">
        <f t="shared" ref="E11:E18" si="1">C11/$C$40</f>
        <v>0.30788127743202343</v>
      </c>
    </row>
    <row r="12" spans="2:5" x14ac:dyDescent="0.25">
      <c r="B12" s="105" t="s">
        <v>210</v>
      </c>
      <c r="C12" s="106">
        <f>'Прил.5 Расчет СМР и ОБ'!J22</f>
        <v>12992.970000000001</v>
      </c>
      <c r="D12" s="107">
        <f t="shared" si="0"/>
        <v>5.4621906128827875E-3</v>
      </c>
      <c r="E12" s="107">
        <f t="shared" si="1"/>
        <v>4.2689981419219087E-3</v>
      </c>
    </row>
    <row r="13" spans="2:5" x14ac:dyDescent="0.25">
      <c r="B13" s="105" t="s">
        <v>211</v>
      </c>
      <c r="C13" s="106">
        <f>'Прил.5 Расчет СМР и ОБ'!J24</f>
        <v>467.17</v>
      </c>
      <c r="D13" s="107">
        <f t="shared" si="0"/>
        <v>1.9639632729240902E-4</v>
      </c>
      <c r="E13" s="107">
        <f t="shared" si="1"/>
        <v>1.534943790343284E-4</v>
      </c>
    </row>
    <row r="14" spans="2:5" x14ac:dyDescent="0.25">
      <c r="B14" s="105" t="s">
        <v>212</v>
      </c>
      <c r="C14" s="106">
        <f>C13+C12</f>
        <v>13460.140000000001</v>
      </c>
      <c r="D14" s="107">
        <f t="shared" si="0"/>
        <v>5.6585869401751965E-3</v>
      </c>
      <c r="E14" s="107">
        <f t="shared" si="1"/>
        <v>4.4224925209562366E-3</v>
      </c>
    </row>
    <row r="15" spans="2:5" x14ac:dyDescent="0.25">
      <c r="B15" s="105" t="s">
        <v>213</v>
      </c>
      <c r="C15" s="106">
        <f>'Прил.5 Расчет СМР и ОБ'!J16</f>
        <v>2723.88</v>
      </c>
      <c r="D15" s="107">
        <f t="shared" si="0"/>
        <v>1.1451078365161441E-3</v>
      </c>
      <c r="E15" s="107">
        <f t="shared" si="1"/>
        <v>8.9496386575342254E-4</v>
      </c>
    </row>
    <row r="16" spans="2:5" x14ac:dyDescent="0.25">
      <c r="B16" s="105" t="s">
        <v>214</v>
      </c>
      <c r="C16" s="106">
        <f>'Прил.5 Расчет СМР и ОБ'!J50</f>
        <v>117007.76</v>
      </c>
      <c r="D16" s="107">
        <f t="shared" si="0"/>
        <v>4.9189576232873775E-2</v>
      </c>
      <c r="E16" s="107">
        <f t="shared" si="1"/>
        <v>3.8444321046723309E-2</v>
      </c>
    </row>
    <row r="17" spans="2:6" x14ac:dyDescent="0.25">
      <c r="B17" s="105" t="s">
        <v>215</v>
      </c>
      <c r="C17" s="106">
        <f>'Прил.5 Расчет СМР и ОБ'!J63</f>
        <v>14289.29</v>
      </c>
      <c r="D17" s="107">
        <f t="shared" si="0"/>
        <v>6.0071581557380556E-3</v>
      </c>
      <c r="E17" s="107">
        <f t="shared" si="1"/>
        <v>4.6949198265972521E-3</v>
      </c>
    </row>
    <row r="18" spans="2:6" x14ac:dyDescent="0.25">
      <c r="B18" s="105" t="s">
        <v>216</v>
      </c>
      <c r="C18" s="106">
        <f>C17+C16</f>
        <v>131297.04999999999</v>
      </c>
      <c r="D18" s="107">
        <f t="shared" si="0"/>
        <v>5.5196734388611828E-2</v>
      </c>
      <c r="E18" s="107">
        <f t="shared" si="1"/>
        <v>4.3139240873320557E-2</v>
      </c>
    </row>
    <row r="19" spans="2:6" x14ac:dyDescent="0.25">
      <c r="B19" s="105" t="s">
        <v>217</v>
      </c>
      <c r="C19" s="106">
        <f>C18+C14+C11</f>
        <v>1081813.6299999999</v>
      </c>
      <c r="D19" s="107"/>
      <c r="E19" s="105"/>
    </row>
    <row r="20" spans="2:6" x14ac:dyDescent="0.25">
      <c r="B20" s="105" t="s">
        <v>218</v>
      </c>
      <c r="C20" s="106">
        <f>ROUND(C21*(C11+C15),2)</f>
        <v>441696.75</v>
      </c>
      <c r="D20" s="107">
        <f>C20/$C$24</f>
        <v>0.18568747881283762</v>
      </c>
      <c r="E20" s="107">
        <f>C20/$C$40</f>
        <v>0.14512483327853026</v>
      </c>
    </row>
    <row r="21" spans="2:6" x14ac:dyDescent="0.25">
      <c r="B21" s="105" t="s">
        <v>219</v>
      </c>
      <c r="C21" s="110">
        <v>0.47</v>
      </c>
      <c r="D21" s="107"/>
      <c r="E21" s="105"/>
    </row>
    <row r="22" spans="2:6" x14ac:dyDescent="0.25">
      <c r="B22" s="105" t="s">
        <v>220</v>
      </c>
      <c r="C22" s="106">
        <f>ROUND(C23*(C11+C15),2)</f>
        <v>855200.09</v>
      </c>
      <c r="D22" s="107">
        <f>C22/$C$24</f>
        <v>0.35952256518213421</v>
      </c>
      <c r="E22" s="107">
        <f>C22/$C$40</f>
        <v>0.28098637918670238</v>
      </c>
    </row>
    <row r="23" spans="2:6" x14ac:dyDescent="0.25">
      <c r="B23" s="105" t="s">
        <v>221</v>
      </c>
      <c r="C23" s="110">
        <v>0.91</v>
      </c>
      <c r="D23" s="107"/>
      <c r="E23" s="105"/>
    </row>
    <row r="24" spans="2:6" x14ac:dyDescent="0.25">
      <c r="B24" s="105" t="s">
        <v>222</v>
      </c>
      <c r="C24" s="106">
        <f>C19+C20+C22</f>
        <v>2378710.4699999997</v>
      </c>
      <c r="D24" s="107">
        <f>C24/$C$24</f>
        <v>1</v>
      </c>
      <c r="E24" s="107">
        <f>C24/$C$40</f>
        <v>0.78155422329153279</v>
      </c>
    </row>
    <row r="25" spans="2:6" ht="25.5" customHeight="1" x14ac:dyDescent="0.25">
      <c r="B25" s="105" t="s">
        <v>223</v>
      </c>
      <c r="C25" s="106">
        <f>'Прил.5 Расчет СМР и ОБ'!J43</f>
        <v>352569.83999999997</v>
      </c>
      <c r="D25" s="107"/>
      <c r="E25" s="107">
        <f>C25/$C$40</f>
        <v>0.11584110421694996</v>
      </c>
    </row>
    <row r="26" spans="2:6" ht="25.5" customHeight="1" x14ac:dyDescent="0.25">
      <c r="B26" s="105" t="s">
        <v>224</v>
      </c>
      <c r="C26" s="106">
        <f>'Прил.5 Расчет СМР и ОБ'!J44</f>
        <v>352569.52</v>
      </c>
      <c r="D26" s="107"/>
      <c r="E26" s="107">
        <f>C26/$C$40</f>
        <v>0.11584099907706237</v>
      </c>
    </row>
    <row r="27" spans="2:6" x14ac:dyDescent="0.25">
      <c r="B27" s="105" t="s">
        <v>225</v>
      </c>
      <c r="C27" s="109">
        <f>C24+C25</f>
        <v>2731280.3099999996</v>
      </c>
      <c r="D27" s="107"/>
      <c r="E27" s="107">
        <f>C27/$C$40</f>
        <v>0.89739532750848272</v>
      </c>
    </row>
    <row r="28" spans="2:6" ht="33" customHeight="1" x14ac:dyDescent="0.25">
      <c r="B28" s="105" t="s">
        <v>226</v>
      </c>
      <c r="C28" s="105"/>
      <c r="D28" s="105"/>
      <c r="E28" s="105"/>
      <c r="F28" s="108"/>
    </row>
    <row r="29" spans="2:6" ht="25.5" customHeight="1" x14ac:dyDescent="0.25">
      <c r="B29" s="105" t="s">
        <v>227</v>
      </c>
      <c r="C29" s="109">
        <f>ROUND(C24*3.9%,2)</f>
        <v>92769.71</v>
      </c>
      <c r="D29" s="105"/>
      <c r="E29" s="107">
        <f t="shared" ref="E29:E38" si="2">C29/$C$40</f>
        <v>3.0480615257068574E-2</v>
      </c>
    </row>
    <row r="30" spans="2:6" ht="38.25" customHeight="1" x14ac:dyDescent="0.25">
      <c r="B30" s="105" t="s">
        <v>228</v>
      </c>
      <c r="C30" s="190">
        <f>ROUND((C24+C29)*2.1%,2)</f>
        <v>51901.08</v>
      </c>
      <c r="D30" s="191"/>
      <c r="E30" s="107">
        <f t="shared" si="2"/>
        <v>1.705273036755571E-2</v>
      </c>
      <c r="F30" s="108"/>
    </row>
    <row r="31" spans="2:6" x14ac:dyDescent="0.25">
      <c r="B31" s="105" t="s">
        <v>229</v>
      </c>
      <c r="C31" s="190">
        <v>23300</v>
      </c>
      <c r="D31" s="191"/>
      <c r="E31" s="107">
        <f t="shared" si="2"/>
        <v>7.6554980660141951E-3</v>
      </c>
    </row>
    <row r="32" spans="2:6" ht="25.5" customHeight="1" x14ac:dyDescent="0.25">
      <c r="B32" s="105" t="s">
        <v>230</v>
      </c>
      <c r="C32" s="109">
        <f>ROUND($C$27*0,2)</f>
        <v>0</v>
      </c>
      <c r="D32" s="191"/>
      <c r="E32" s="107">
        <f t="shared" si="2"/>
        <v>0</v>
      </c>
    </row>
    <row r="33" spans="2:11" ht="25.5" customHeight="1" x14ac:dyDescent="0.25">
      <c r="B33" s="105" t="s">
        <v>231</v>
      </c>
      <c r="C33" s="109">
        <f>ROUND($C$27*0,2)</f>
        <v>0</v>
      </c>
      <c r="D33" s="105"/>
      <c r="E33" s="107">
        <f t="shared" si="2"/>
        <v>0</v>
      </c>
    </row>
    <row r="34" spans="2:11" ht="51" customHeight="1" x14ac:dyDescent="0.25">
      <c r="B34" s="105" t="s">
        <v>232</v>
      </c>
      <c r="C34" s="109">
        <f>ROUND($C$27*0,2)</f>
        <v>0</v>
      </c>
      <c r="D34" s="105"/>
      <c r="E34" s="107">
        <f t="shared" si="2"/>
        <v>0</v>
      </c>
      <c r="G34" s="145"/>
    </row>
    <row r="35" spans="2:11" ht="76.7" customHeight="1" x14ac:dyDescent="0.25">
      <c r="B35" s="105" t="s">
        <v>233</v>
      </c>
      <c r="C35" s="109">
        <v>0</v>
      </c>
      <c r="D35" s="105"/>
      <c r="E35" s="107">
        <f t="shared" si="2"/>
        <v>0</v>
      </c>
    </row>
    <row r="36" spans="2:11" ht="25.5" customHeight="1" x14ac:dyDescent="0.25">
      <c r="B36" s="105" t="s">
        <v>234</v>
      </c>
      <c r="C36" s="109">
        <f>ROUND((C27+C32+C33+C34+C35+C29+C31+C30)*1.72%,2)</f>
        <v>49867.12</v>
      </c>
      <c r="D36" s="105"/>
      <c r="E36" s="107">
        <f t="shared" si="2"/>
        <v>1.638444809947201E-2</v>
      </c>
      <c r="K36" s="108"/>
    </row>
    <row r="37" spans="2:11" x14ac:dyDescent="0.25">
      <c r="B37" s="105" t="s">
        <v>235</v>
      </c>
      <c r="C37" s="109">
        <f>ROUND((C27+C32+C33+C34+C35+C29+C31+C30)*0.2%,2)</f>
        <v>5798.5</v>
      </c>
      <c r="D37" s="105"/>
      <c r="E37" s="107">
        <f t="shared" si="2"/>
        <v>1.9051676195615155E-3</v>
      </c>
      <c r="K37" s="108"/>
    </row>
    <row r="38" spans="2:11" ht="38.25" customHeight="1" x14ac:dyDescent="0.25">
      <c r="B38" s="105" t="s">
        <v>236</v>
      </c>
      <c r="C38" s="106">
        <f>C27+C32+C33+C34+C35+C29+C31+C30+C36+C37</f>
        <v>2954916.7199999997</v>
      </c>
      <c r="D38" s="105"/>
      <c r="E38" s="107">
        <f t="shared" si="2"/>
        <v>0.97087378691815485</v>
      </c>
    </row>
    <row r="39" spans="2:11" ht="13.7" customHeight="1" x14ac:dyDescent="0.25">
      <c r="B39" s="105" t="s">
        <v>237</v>
      </c>
      <c r="C39" s="106">
        <f>ROUND(C38*3%,2)</f>
        <v>88647.5</v>
      </c>
      <c r="D39" s="105"/>
      <c r="E39" s="107">
        <f>C39/$C$38</f>
        <v>2.9999999458529582E-2</v>
      </c>
    </row>
    <row r="40" spans="2:11" x14ac:dyDescent="0.25">
      <c r="B40" s="105" t="s">
        <v>238</v>
      </c>
      <c r="C40" s="106">
        <f>C39+C38</f>
        <v>3043564.2199999997</v>
      </c>
      <c r="D40" s="105"/>
      <c r="E40" s="107">
        <f>C40/$C$40</f>
        <v>1</v>
      </c>
    </row>
    <row r="41" spans="2:11" x14ac:dyDescent="0.25">
      <c r="B41" s="105" t="s">
        <v>239</v>
      </c>
      <c r="C41" s="106">
        <f>C40/'Прил.5 Расчет СМР и ОБ'!E70</f>
        <v>3043564.2199999997</v>
      </c>
      <c r="D41" s="105"/>
      <c r="E41" s="105"/>
    </row>
    <row r="42" spans="2:11" x14ac:dyDescent="0.25">
      <c r="B42" s="111"/>
      <c r="C42" s="4"/>
      <c r="D42" s="4"/>
      <c r="E42" s="4"/>
    </row>
    <row r="43" spans="2:11" x14ac:dyDescent="0.25">
      <c r="B43" s="111" t="s">
        <v>240</v>
      </c>
      <c r="C43" s="4"/>
      <c r="D43" s="4"/>
      <c r="E43" s="4"/>
    </row>
    <row r="44" spans="2:11" x14ac:dyDescent="0.25">
      <c r="B44" s="111" t="s">
        <v>241</v>
      </c>
      <c r="C44" s="4"/>
      <c r="D44" s="4"/>
      <c r="E44" s="4"/>
    </row>
    <row r="45" spans="2:11" x14ac:dyDescent="0.25">
      <c r="B45" s="111"/>
      <c r="C45" s="4"/>
      <c r="D45" s="4"/>
      <c r="E45" s="4"/>
    </row>
    <row r="46" spans="2:11" x14ac:dyDescent="0.25">
      <c r="B46" s="111" t="s">
        <v>242</v>
      </c>
      <c r="C46" s="4"/>
      <c r="D46" s="4"/>
      <c r="E46" s="4"/>
    </row>
    <row r="47" spans="2:11" x14ac:dyDescent="0.25">
      <c r="B47" s="219" t="s">
        <v>243</v>
      </c>
      <c r="C47" s="219"/>
      <c r="D47" s="4"/>
      <c r="E47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76"/>
  <sheetViews>
    <sheetView tabSelected="1" view="pageBreakPreview" zoomScale="55" zoomScaleSheetLayoutView="55" workbookViewId="0">
      <selection activeCell="AH35" sqref="AH35"/>
    </sheetView>
  </sheetViews>
  <sheetFormatPr defaultColWidth="9.140625" defaultRowHeight="15" outlineLevelRow="1" x14ac:dyDescent="0.25"/>
  <cols>
    <col min="1" max="1" width="5.7109375" style="12" customWidth="1"/>
    <col min="2" max="2" width="22.5703125" style="12" customWidth="1"/>
    <col min="3" max="3" width="39.140625" style="12" customWidth="1"/>
    <col min="4" max="4" width="10.7109375" style="12" customWidth="1"/>
    <col min="5" max="5" width="12.7109375" style="12" customWidth="1"/>
    <col min="6" max="6" width="1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  <col min="11" max="11" width="10.85546875" style="12" customWidth="1"/>
    <col min="12" max="12" width="9.140625" style="12"/>
  </cols>
  <sheetData>
    <row r="1" spans="1:14" x14ac:dyDescent="0.25">
      <c r="M1" s="12"/>
      <c r="N1" s="12"/>
    </row>
    <row r="2" spans="1:14" ht="15.75" customHeight="1" x14ac:dyDescent="0.25">
      <c r="H2" s="220" t="s">
        <v>244</v>
      </c>
      <c r="I2" s="220"/>
      <c r="J2" s="220"/>
      <c r="M2" s="12"/>
      <c r="N2" s="12"/>
    </row>
    <row r="3" spans="1:14" x14ac:dyDescent="0.25">
      <c r="M3" s="12"/>
      <c r="N3" s="12"/>
    </row>
    <row r="4" spans="1:14" s="4" customFormat="1" ht="12.75" customHeight="1" x14ac:dyDescent="0.2">
      <c r="A4" s="197" t="s">
        <v>245</v>
      </c>
      <c r="B4" s="197"/>
      <c r="C4" s="197"/>
      <c r="D4" s="197"/>
      <c r="E4" s="197"/>
      <c r="F4" s="197"/>
      <c r="G4" s="197"/>
      <c r="H4" s="197"/>
      <c r="I4" s="197"/>
      <c r="J4" s="197"/>
    </row>
    <row r="5" spans="1:14" s="4" customFormat="1" ht="12.75" customHeight="1" x14ac:dyDescent="0.2">
      <c r="A5" s="185"/>
      <c r="B5" s="185"/>
      <c r="C5" s="28"/>
      <c r="D5" s="185"/>
      <c r="E5" s="185"/>
      <c r="F5" s="185"/>
      <c r="G5" s="185"/>
      <c r="H5" s="185"/>
      <c r="I5" s="185"/>
      <c r="J5" s="185"/>
    </row>
    <row r="6" spans="1:14" s="4" customFormat="1" ht="12.75" customHeight="1" x14ac:dyDescent="0.2">
      <c r="A6" s="147" t="s">
        <v>246</v>
      </c>
      <c r="B6" s="148"/>
      <c r="C6" s="148"/>
      <c r="D6" s="226" t="s">
        <v>247</v>
      </c>
      <c r="E6" s="226"/>
      <c r="F6" s="226"/>
      <c r="G6" s="226"/>
      <c r="H6" s="226"/>
      <c r="I6" s="226"/>
      <c r="J6" s="226"/>
    </row>
    <row r="7" spans="1:14" s="4" customFormat="1" ht="12.75" customHeight="1" x14ac:dyDescent="0.2">
      <c r="A7" s="200" t="s">
        <v>49</v>
      </c>
      <c r="B7" s="218"/>
      <c r="C7" s="218"/>
      <c r="D7" s="218"/>
      <c r="E7" s="218"/>
      <c r="F7" s="218"/>
      <c r="G7" s="218"/>
      <c r="H7" s="218"/>
      <c r="I7" s="42"/>
      <c r="J7" s="42"/>
    </row>
    <row r="8" spans="1:14" s="4" customFormat="1" ht="13.7" customHeight="1" x14ac:dyDescent="0.2">
      <c r="A8" s="200"/>
      <c r="B8" s="218"/>
      <c r="C8" s="218"/>
      <c r="D8" s="218"/>
      <c r="E8" s="218"/>
      <c r="F8" s="218"/>
      <c r="G8" s="218"/>
      <c r="H8" s="218"/>
    </row>
    <row r="9" spans="1:14" ht="27" customHeight="1" x14ac:dyDescent="0.25">
      <c r="A9" s="223" t="s">
        <v>13</v>
      </c>
      <c r="B9" s="223" t="s">
        <v>99</v>
      </c>
      <c r="C9" s="223" t="s">
        <v>205</v>
      </c>
      <c r="D9" s="223" t="s">
        <v>101</v>
      </c>
      <c r="E9" s="224" t="s">
        <v>248</v>
      </c>
      <c r="F9" s="221" t="s">
        <v>103</v>
      </c>
      <c r="G9" s="222"/>
      <c r="H9" s="224" t="s">
        <v>249</v>
      </c>
      <c r="I9" s="221" t="s">
        <v>250</v>
      </c>
      <c r="J9" s="222"/>
      <c r="M9" s="12"/>
      <c r="N9" s="12"/>
    </row>
    <row r="10" spans="1:14" ht="28.5" customHeight="1" x14ac:dyDescent="0.25">
      <c r="A10" s="223"/>
      <c r="B10" s="223"/>
      <c r="C10" s="223"/>
      <c r="D10" s="223"/>
      <c r="E10" s="225"/>
      <c r="F10" s="2" t="s">
        <v>251</v>
      </c>
      <c r="G10" s="2" t="s">
        <v>105</v>
      </c>
      <c r="H10" s="225"/>
      <c r="I10" s="2" t="s">
        <v>251</v>
      </c>
      <c r="J10" s="2" t="s">
        <v>105</v>
      </c>
      <c r="M10" s="12"/>
      <c r="N10" s="12"/>
    </row>
    <row r="11" spans="1:14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184">
        <v>9</v>
      </c>
      <c r="J11" s="184">
        <v>10</v>
      </c>
      <c r="M11" s="12"/>
      <c r="N11" s="12"/>
    </row>
    <row r="12" spans="1:14" x14ac:dyDescent="0.25">
      <c r="A12" s="2"/>
      <c r="B12" s="231" t="s">
        <v>252</v>
      </c>
      <c r="C12" s="232"/>
      <c r="D12" s="223"/>
      <c r="E12" s="233"/>
      <c r="F12" s="234"/>
      <c r="G12" s="234"/>
      <c r="H12" s="235"/>
      <c r="I12" s="149"/>
      <c r="J12" s="149"/>
    </row>
    <row r="13" spans="1:14" ht="25.5" customHeight="1" x14ac:dyDescent="0.25">
      <c r="A13" s="2">
        <v>1</v>
      </c>
      <c r="B13" s="150" t="s">
        <v>109</v>
      </c>
      <c r="C13" s="8" t="s">
        <v>253</v>
      </c>
      <c r="D13" s="2" t="s">
        <v>254</v>
      </c>
      <c r="E13" s="151">
        <v>2108.5939919821999</v>
      </c>
      <c r="F13" s="26">
        <v>9.6199999999999992</v>
      </c>
      <c r="G13" s="26">
        <f>F13*E13</f>
        <v>20284.674202868762</v>
      </c>
      <c r="H13" s="152">
        <f>G13/$G$14</f>
        <v>1</v>
      </c>
      <c r="I13" s="26">
        <f>ФОТр.тек.!E13</f>
        <v>444.39870291576</v>
      </c>
      <c r="J13" s="26">
        <f>ROUND(I13*E13,2)</f>
        <v>937056.44</v>
      </c>
    </row>
    <row r="14" spans="1:14" s="12" customFormat="1" ht="25.5" customHeight="1" x14ac:dyDescent="0.2">
      <c r="A14" s="2"/>
      <c r="B14" s="2"/>
      <c r="C14" s="159" t="s">
        <v>255</v>
      </c>
      <c r="D14" s="2" t="s">
        <v>254</v>
      </c>
      <c r="E14" s="151">
        <f>SUM(E13:E13)</f>
        <v>2108.5939919821999</v>
      </c>
      <c r="F14" s="26"/>
      <c r="G14" s="26">
        <f>SUM(G13:G13)</f>
        <v>20284.674202868762</v>
      </c>
      <c r="H14" s="187">
        <v>1</v>
      </c>
      <c r="I14" s="149"/>
      <c r="J14" s="26">
        <f>SUM(J13:J13)</f>
        <v>937056.44</v>
      </c>
    </row>
    <row r="15" spans="1:14" s="12" customFormat="1" ht="14.25" customHeight="1" x14ac:dyDescent="0.2">
      <c r="A15" s="2"/>
      <c r="B15" s="232" t="s">
        <v>126</v>
      </c>
      <c r="C15" s="232"/>
      <c r="D15" s="223"/>
      <c r="E15" s="233"/>
      <c r="F15" s="234"/>
      <c r="G15" s="234"/>
      <c r="H15" s="235"/>
      <c r="I15" s="149"/>
      <c r="J15" s="149"/>
    </row>
    <row r="16" spans="1:14" s="12" customFormat="1" ht="14.25" customHeight="1" x14ac:dyDescent="0.2">
      <c r="A16" s="2">
        <v>2</v>
      </c>
      <c r="B16" s="2">
        <v>2</v>
      </c>
      <c r="C16" s="8" t="s">
        <v>126</v>
      </c>
      <c r="D16" s="2" t="s">
        <v>254</v>
      </c>
      <c r="E16" s="151">
        <v>9.2482192630797009</v>
      </c>
      <c r="F16" s="26">
        <v>6.6499288404112002</v>
      </c>
      <c r="G16" s="26">
        <f>E16*F16</f>
        <v>61.500000000000121</v>
      </c>
      <c r="H16" s="187">
        <v>1</v>
      </c>
      <c r="I16" s="26">
        <f>ROUND(F16*Прил.10!D11,2)</f>
        <v>294.52999999999997</v>
      </c>
      <c r="J16" s="26">
        <f>ROUND(I16*E16,2)</f>
        <v>2723.88</v>
      </c>
    </row>
    <row r="17" spans="1:10" s="12" customFormat="1" ht="14.25" customHeight="1" x14ac:dyDescent="0.2">
      <c r="A17" s="2"/>
      <c r="B17" s="231" t="s">
        <v>127</v>
      </c>
      <c r="C17" s="232"/>
      <c r="D17" s="223"/>
      <c r="E17" s="233"/>
      <c r="F17" s="234"/>
      <c r="G17" s="234"/>
      <c r="H17" s="235"/>
      <c r="I17" s="149"/>
      <c r="J17" s="149"/>
    </row>
    <row r="18" spans="1:10" s="12" customFormat="1" ht="14.25" customHeight="1" x14ac:dyDescent="0.2">
      <c r="A18" s="2"/>
      <c r="B18" s="232" t="s">
        <v>256</v>
      </c>
      <c r="C18" s="232"/>
      <c r="D18" s="223"/>
      <c r="E18" s="233"/>
      <c r="F18" s="234"/>
      <c r="G18" s="234"/>
      <c r="H18" s="235"/>
      <c r="I18" s="149"/>
      <c r="J18" s="149"/>
    </row>
    <row r="19" spans="1:10" s="12" customFormat="1" ht="25.5" customHeight="1" x14ac:dyDescent="0.2">
      <c r="A19" s="2">
        <v>3</v>
      </c>
      <c r="B19" s="150" t="s">
        <v>128</v>
      </c>
      <c r="C19" s="8" t="s">
        <v>129</v>
      </c>
      <c r="D19" s="2" t="s">
        <v>130</v>
      </c>
      <c r="E19" s="151">
        <v>4.6280698947912997</v>
      </c>
      <c r="F19" s="153">
        <v>115.4</v>
      </c>
      <c r="G19" s="26">
        <f>ROUND(E19*F19,2)</f>
        <v>534.08000000000004</v>
      </c>
      <c r="H19" s="152">
        <f>G19/$G$25</f>
        <v>0.53446481466655993</v>
      </c>
      <c r="I19" s="26">
        <f>ROUND(F19*Прил.10!$D$12,2)</f>
        <v>1554.44</v>
      </c>
      <c r="J19" s="26">
        <f>ROUND(I19*E19,2)</f>
        <v>7194.06</v>
      </c>
    </row>
    <row r="20" spans="1:10" s="12" customFormat="1" ht="25.5" customHeight="1" x14ac:dyDescent="0.2">
      <c r="A20" s="2">
        <v>4</v>
      </c>
      <c r="B20" s="150" t="s">
        <v>131</v>
      </c>
      <c r="C20" s="8" t="s">
        <v>132</v>
      </c>
      <c r="D20" s="2" t="s">
        <v>130</v>
      </c>
      <c r="E20" s="151">
        <v>4.6281095699617998</v>
      </c>
      <c r="F20" s="153">
        <v>65.709999999999994</v>
      </c>
      <c r="G20" s="26">
        <f>ROUND(E20*F20,2)</f>
        <v>304.11</v>
      </c>
      <c r="H20" s="152">
        <f>G20/$G$25</f>
        <v>0.30432911696421427</v>
      </c>
      <c r="I20" s="26">
        <f>ROUND(F20*Прил.10!$D$12,2)</f>
        <v>885.11</v>
      </c>
      <c r="J20" s="26">
        <f>ROUND(I20*E20,2)</f>
        <v>4096.3900000000003</v>
      </c>
    </row>
    <row r="21" spans="1:10" s="12" customFormat="1" ht="25.5" customHeight="1" x14ac:dyDescent="0.2">
      <c r="A21" s="2">
        <v>5</v>
      </c>
      <c r="B21" s="150" t="s">
        <v>133</v>
      </c>
      <c r="C21" s="8" t="s">
        <v>134</v>
      </c>
      <c r="D21" s="2" t="s">
        <v>130</v>
      </c>
      <c r="E21" s="151">
        <v>38.536058951906</v>
      </c>
      <c r="F21" s="153">
        <v>3.28</v>
      </c>
      <c r="G21" s="26">
        <f>ROUND(E21*F21,2)</f>
        <v>126.4</v>
      </c>
      <c r="H21" s="152">
        <f>G21/$G$25</f>
        <v>0.12649107357297254</v>
      </c>
      <c r="I21" s="26">
        <f>ROUND(F21*Прил.10!$D$12,2)</f>
        <v>44.18</v>
      </c>
      <c r="J21" s="26">
        <f>ROUND(I21*E21,2)</f>
        <v>1702.52</v>
      </c>
    </row>
    <row r="22" spans="1:10" s="12" customFormat="1" ht="14.25" customHeight="1" x14ac:dyDescent="0.2">
      <c r="A22" s="2"/>
      <c r="B22" s="2"/>
      <c r="C22" s="8" t="s">
        <v>257</v>
      </c>
      <c r="D22" s="2"/>
      <c r="E22" s="151"/>
      <c r="F22" s="26"/>
      <c r="G22" s="26">
        <f>SUM(G19:G21)</f>
        <v>964.59</v>
      </c>
      <c r="H22" s="187">
        <f>G22/G25</f>
        <v>0.96528500520374672</v>
      </c>
      <c r="I22" s="154"/>
      <c r="J22" s="26">
        <f>SUM(J19:J21)</f>
        <v>12992.970000000001</v>
      </c>
    </row>
    <row r="23" spans="1:10" s="12" customFormat="1" ht="25.5" hidden="1" customHeight="1" outlineLevel="1" x14ac:dyDescent="0.2">
      <c r="A23" s="2">
        <v>6</v>
      </c>
      <c r="B23" s="150" t="s">
        <v>135</v>
      </c>
      <c r="C23" s="8" t="s">
        <v>136</v>
      </c>
      <c r="D23" s="2" t="s">
        <v>130</v>
      </c>
      <c r="E23" s="151">
        <v>38.545353804321998</v>
      </c>
      <c r="F23" s="153">
        <v>0.9</v>
      </c>
      <c r="G23" s="26">
        <f>ROUND(E23*F23,2)</f>
        <v>34.69</v>
      </c>
      <c r="H23" s="152">
        <f>G23/$G$25</f>
        <v>3.4714994796253298E-2</v>
      </c>
      <c r="I23" s="26">
        <f>ROUND(F23*Прил.10!$D$12,2)</f>
        <v>12.12</v>
      </c>
      <c r="J23" s="26">
        <f>ROUND(I23*E23,2)</f>
        <v>467.17</v>
      </c>
    </row>
    <row r="24" spans="1:10" s="12" customFormat="1" ht="14.25" customHeight="1" collapsed="1" x14ac:dyDescent="0.2">
      <c r="A24" s="2"/>
      <c r="B24" s="2"/>
      <c r="C24" s="8" t="s">
        <v>258</v>
      </c>
      <c r="D24" s="2"/>
      <c r="E24" s="186"/>
      <c r="F24" s="26"/>
      <c r="G24" s="154">
        <f>SUM(G23:G23)</f>
        <v>34.69</v>
      </c>
      <c r="H24" s="152">
        <f>G24/G25</f>
        <v>3.4714994796253298E-2</v>
      </c>
      <c r="I24" s="26"/>
      <c r="J24" s="26">
        <f>SUM(J23:J23)</f>
        <v>467.17</v>
      </c>
    </row>
    <row r="25" spans="1:10" s="12" customFormat="1" ht="25.5" customHeight="1" x14ac:dyDescent="0.2">
      <c r="A25" s="2"/>
      <c r="B25" s="2"/>
      <c r="C25" s="159" t="s">
        <v>259</v>
      </c>
      <c r="D25" s="2"/>
      <c r="E25" s="186"/>
      <c r="F25" s="26"/>
      <c r="G25" s="26">
        <f>G24+G22</f>
        <v>999.28</v>
      </c>
      <c r="H25" s="155">
        <v>1</v>
      </c>
      <c r="I25" s="156"/>
      <c r="J25" s="157">
        <f>J24+J22</f>
        <v>13460.140000000001</v>
      </c>
    </row>
    <row r="26" spans="1:10" s="12" customFormat="1" ht="14.25" customHeight="1" x14ac:dyDescent="0.2">
      <c r="A26" s="2"/>
      <c r="B26" s="231" t="s">
        <v>43</v>
      </c>
      <c r="C26" s="231"/>
      <c r="D26" s="236"/>
      <c r="E26" s="237"/>
      <c r="F26" s="238"/>
      <c r="G26" s="238"/>
      <c r="H26" s="239"/>
      <c r="I26" s="149"/>
      <c r="J26" s="149"/>
    </row>
    <row r="27" spans="1:10" x14ac:dyDescent="0.25">
      <c r="A27" s="2"/>
      <c r="B27" s="232" t="s">
        <v>260</v>
      </c>
      <c r="C27" s="232"/>
      <c r="D27" s="223"/>
      <c r="E27" s="233"/>
      <c r="F27" s="234"/>
      <c r="G27" s="234"/>
      <c r="H27" s="235"/>
      <c r="I27" s="149"/>
      <c r="J27" s="149"/>
    </row>
    <row r="28" spans="1:10" s="12" customFormat="1" ht="25.5" customHeight="1" x14ac:dyDescent="0.2">
      <c r="A28" s="2">
        <v>7</v>
      </c>
      <c r="B28" s="2" t="s">
        <v>137</v>
      </c>
      <c r="C28" s="8" t="s">
        <v>138</v>
      </c>
      <c r="D28" s="2" t="s">
        <v>139</v>
      </c>
      <c r="E28" s="158">
        <v>12</v>
      </c>
      <c r="F28" s="153">
        <v>1105.2</v>
      </c>
      <c r="G28" s="26">
        <f t="shared" ref="G28:G35" si="0">ROUND(E28*F28,2)</f>
        <v>13262.4</v>
      </c>
      <c r="H28" s="152">
        <f t="shared" ref="H28:H42" si="1">G28/$G$43</f>
        <v>0.23547873164916611</v>
      </c>
      <c r="I28" s="26">
        <f>ROUND(F28*Прил.10!$D$14,2)</f>
        <v>6918.55</v>
      </c>
      <c r="J28" s="26">
        <f t="shared" ref="J28:J35" si="2">ROUND(I28*E28,2)</f>
        <v>83022.600000000006</v>
      </c>
    </row>
    <row r="29" spans="1:10" s="12" customFormat="1" ht="38.25" customHeight="1" x14ac:dyDescent="0.2">
      <c r="A29" s="2">
        <v>8</v>
      </c>
      <c r="B29" s="2" t="s">
        <v>140</v>
      </c>
      <c r="C29" s="8" t="s">
        <v>141</v>
      </c>
      <c r="D29" s="2" t="s">
        <v>139</v>
      </c>
      <c r="E29" s="158">
        <v>74</v>
      </c>
      <c r="F29" s="153">
        <v>116.52</v>
      </c>
      <c r="G29" s="26">
        <f t="shared" si="0"/>
        <v>8622.48</v>
      </c>
      <c r="H29" s="152">
        <f t="shared" si="1"/>
        <v>0.15309526586969943</v>
      </c>
      <c r="I29" s="26">
        <f>ROUND(F29*Прил.10!$D$14,2)</f>
        <v>729.42</v>
      </c>
      <c r="J29" s="26">
        <f t="shared" si="2"/>
        <v>53977.08</v>
      </c>
    </row>
    <row r="30" spans="1:10" s="12" customFormat="1" ht="63.75" customHeight="1" x14ac:dyDescent="0.2">
      <c r="A30" s="2">
        <v>9</v>
      </c>
      <c r="B30" s="2" t="s">
        <v>142</v>
      </c>
      <c r="C30" s="8" t="s">
        <v>143</v>
      </c>
      <c r="D30" s="2" t="s">
        <v>144</v>
      </c>
      <c r="E30" s="158">
        <v>4</v>
      </c>
      <c r="F30" s="153">
        <v>2188.6</v>
      </c>
      <c r="G30" s="26">
        <f t="shared" si="0"/>
        <v>8754.4</v>
      </c>
      <c r="H30" s="152">
        <f t="shared" si="1"/>
        <v>0.15543755341035256</v>
      </c>
      <c r="I30" s="26">
        <f>ROUND(F30*Прил.10!$D$14,2)</f>
        <v>13700.64</v>
      </c>
      <c r="J30" s="26">
        <f t="shared" si="2"/>
        <v>54802.559999999998</v>
      </c>
    </row>
    <row r="31" spans="1:10" s="12" customFormat="1" ht="14.25" customHeight="1" x14ac:dyDescent="0.2">
      <c r="A31" s="2">
        <v>10</v>
      </c>
      <c r="B31" s="2" t="s">
        <v>145</v>
      </c>
      <c r="C31" s="8" t="s">
        <v>146</v>
      </c>
      <c r="D31" s="2" t="s">
        <v>144</v>
      </c>
      <c r="E31" s="158">
        <v>1.3</v>
      </c>
      <c r="F31" s="153">
        <v>3463.94</v>
      </c>
      <c r="G31" s="26">
        <f t="shared" si="0"/>
        <v>4503.12</v>
      </c>
      <c r="H31" s="152">
        <f t="shared" si="1"/>
        <v>7.9954532065387329E-2</v>
      </c>
      <c r="I31" s="26">
        <f>ROUND(F31*Прил.10!$D$14,2)</f>
        <v>21684.26</v>
      </c>
      <c r="J31" s="26">
        <f t="shared" si="2"/>
        <v>28189.54</v>
      </c>
    </row>
    <row r="32" spans="1:10" s="12" customFormat="1" ht="38.25" customHeight="1" x14ac:dyDescent="0.2">
      <c r="A32" s="2">
        <v>11</v>
      </c>
      <c r="B32" s="2" t="s">
        <v>147</v>
      </c>
      <c r="C32" s="8" t="s">
        <v>148</v>
      </c>
      <c r="D32" s="2" t="s">
        <v>139</v>
      </c>
      <c r="E32" s="158">
        <v>21</v>
      </c>
      <c r="F32" s="153">
        <v>187</v>
      </c>
      <c r="G32" s="26">
        <f t="shared" si="0"/>
        <v>3927</v>
      </c>
      <c r="H32" s="152">
        <f t="shared" si="1"/>
        <v>6.9725312099339132E-2</v>
      </c>
      <c r="I32" s="26">
        <f>ROUND(F32*Прил.10!$D$14,2)</f>
        <v>1170.6199999999999</v>
      </c>
      <c r="J32" s="26">
        <f t="shared" si="2"/>
        <v>24583.02</v>
      </c>
    </row>
    <row r="33" spans="1:10" s="12" customFormat="1" ht="14.25" customHeight="1" x14ac:dyDescent="0.2">
      <c r="A33" s="2">
        <v>12</v>
      </c>
      <c r="B33" s="2" t="s">
        <v>149</v>
      </c>
      <c r="C33" s="8" t="s">
        <v>150</v>
      </c>
      <c r="D33" s="2" t="s">
        <v>139</v>
      </c>
      <c r="E33" s="158">
        <v>90</v>
      </c>
      <c r="F33" s="153">
        <v>38.380000000000003</v>
      </c>
      <c r="G33" s="26">
        <f t="shared" si="0"/>
        <v>3454.2</v>
      </c>
      <c r="H33" s="152">
        <f t="shared" si="1"/>
        <v>6.1330576280503493E-2</v>
      </c>
      <c r="I33" s="26">
        <f>ROUND(F33*Прил.10!$D$14,2)</f>
        <v>240.26</v>
      </c>
      <c r="J33" s="26">
        <f t="shared" si="2"/>
        <v>21623.4</v>
      </c>
    </row>
    <row r="34" spans="1:10" s="12" customFormat="1" ht="25.5" customHeight="1" x14ac:dyDescent="0.2">
      <c r="A34" s="2">
        <v>13</v>
      </c>
      <c r="B34" s="2" t="s">
        <v>151</v>
      </c>
      <c r="C34" s="8" t="s">
        <v>152</v>
      </c>
      <c r="D34" s="2" t="s">
        <v>139</v>
      </c>
      <c r="E34" s="158">
        <v>14</v>
      </c>
      <c r="F34" s="153">
        <v>243.85</v>
      </c>
      <c r="G34" s="26">
        <f t="shared" si="0"/>
        <v>3413.9</v>
      </c>
      <c r="H34" s="152">
        <f t="shared" si="1"/>
        <v>6.0615035135200883E-2</v>
      </c>
      <c r="I34" s="26">
        <f>ROUND(F34*Прил.10!$D$14,2)</f>
        <v>1526.5</v>
      </c>
      <c r="J34" s="26">
        <f t="shared" si="2"/>
        <v>21371</v>
      </c>
    </row>
    <row r="35" spans="1:10" s="12" customFormat="1" ht="140.25" customHeight="1" x14ac:dyDescent="0.2">
      <c r="A35" s="2">
        <v>14</v>
      </c>
      <c r="B35" s="2" t="s">
        <v>153</v>
      </c>
      <c r="C35" s="8" t="s">
        <v>154</v>
      </c>
      <c r="D35" s="2" t="s">
        <v>139</v>
      </c>
      <c r="E35" s="158">
        <v>4</v>
      </c>
      <c r="F35" s="153">
        <v>726.24</v>
      </c>
      <c r="G35" s="26">
        <f t="shared" si="0"/>
        <v>2904.96</v>
      </c>
      <c r="H35" s="152">
        <f t="shared" si="1"/>
        <v>5.1578620482835805E-2</v>
      </c>
      <c r="I35" s="26">
        <f>ROUND(F35*Прил.10!$D$14,2)</f>
        <v>4546.26</v>
      </c>
      <c r="J35" s="26">
        <f t="shared" si="2"/>
        <v>18185.04</v>
      </c>
    </row>
    <row r="36" spans="1:10" x14ac:dyDescent="0.25">
      <c r="A36" s="2"/>
      <c r="B36" s="2"/>
      <c r="C36" s="8" t="s">
        <v>261</v>
      </c>
      <c r="D36" s="2"/>
      <c r="E36" s="151"/>
      <c r="F36" s="153"/>
      <c r="G36" s="26">
        <f>SUM(G28:G35)</f>
        <v>48842.46</v>
      </c>
      <c r="H36" s="152">
        <f t="shared" si="1"/>
        <v>0.86721562699248478</v>
      </c>
      <c r="I36" s="154"/>
      <c r="J36" s="26">
        <f>SUM(J28:J35)</f>
        <v>305754.23999999999</v>
      </c>
    </row>
    <row r="37" spans="1:10" s="12" customFormat="1" ht="25.5" customHeight="1" x14ac:dyDescent="0.2">
      <c r="A37" s="2">
        <v>15</v>
      </c>
      <c r="B37" s="2" t="s">
        <v>155</v>
      </c>
      <c r="C37" s="8" t="s">
        <v>156</v>
      </c>
      <c r="D37" s="2" t="s">
        <v>139</v>
      </c>
      <c r="E37" s="158">
        <v>15</v>
      </c>
      <c r="F37" s="153">
        <v>175.63</v>
      </c>
      <c r="G37" s="26">
        <f>ROUND(E37*F37,2)</f>
        <v>2634.45</v>
      </c>
      <c r="H37" s="152">
        <f t="shared" si="1"/>
        <v>4.6775617127604779E-2</v>
      </c>
      <c r="I37" s="26">
        <f>ROUND(F37*Прил.10!$D$14,2)</f>
        <v>1099.44</v>
      </c>
      <c r="J37" s="26">
        <f>ROUND(I37*E37,2)</f>
        <v>16491.599999999999</v>
      </c>
    </row>
    <row r="38" spans="1:10" s="12" customFormat="1" ht="25.5" customHeight="1" x14ac:dyDescent="0.2">
      <c r="A38" s="2">
        <v>16</v>
      </c>
      <c r="B38" s="2" t="s">
        <v>157</v>
      </c>
      <c r="C38" s="8" t="s">
        <v>158</v>
      </c>
      <c r="D38" s="2" t="s">
        <v>144</v>
      </c>
      <c r="E38" s="158">
        <v>5.5</v>
      </c>
      <c r="F38" s="153">
        <v>410.04</v>
      </c>
      <c r="G38" s="26">
        <f>ROUND(E38*F38,2)</f>
        <v>2255.2199999999998</v>
      </c>
      <c r="H38" s="152">
        <f t="shared" si="1"/>
        <v>4.0042250662763325E-2</v>
      </c>
      <c r="I38" s="26">
        <f>ROUND(F38*Прил.10!$D$14,2)</f>
        <v>2566.85</v>
      </c>
      <c r="J38" s="26">
        <f>ROUND(I38*E38,2)</f>
        <v>14117.68</v>
      </c>
    </row>
    <row r="39" spans="1:10" s="12" customFormat="1" ht="51" customHeight="1" x14ac:dyDescent="0.2">
      <c r="A39" s="2">
        <v>17</v>
      </c>
      <c r="B39" s="2" t="s">
        <v>159</v>
      </c>
      <c r="C39" s="8" t="s">
        <v>160</v>
      </c>
      <c r="D39" s="2" t="s">
        <v>139</v>
      </c>
      <c r="E39" s="158">
        <v>19</v>
      </c>
      <c r="F39" s="153">
        <v>68.819999999999993</v>
      </c>
      <c r="G39" s="26">
        <f>ROUND(E39*F39,2)</f>
        <v>1307.58</v>
      </c>
      <c r="H39" s="152">
        <f t="shared" si="1"/>
        <v>2.3216558083741751E-2</v>
      </c>
      <c r="I39" s="26">
        <f>ROUND(F39*Прил.10!$D$14,2)</f>
        <v>430.81</v>
      </c>
      <c r="J39" s="26">
        <f>ROUND(I39*E39,2)</f>
        <v>8185.39</v>
      </c>
    </row>
    <row r="40" spans="1:10" s="12" customFormat="1" ht="25.5" customHeight="1" x14ac:dyDescent="0.2">
      <c r="A40" s="2">
        <v>18</v>
      </c>
      <c r="B40" s="2" t="s">
        <v>161</v>
      </c>
      <c r="C40" s="8" t="s">
        <v>162</v>
      </c>
      <c r="D40" s="2" t="s">
        <v>139</v>
      </c>
      <c r="E40" s="158">
        <v>2</v>
      </c>
      <c r="F40" s="153">
        <v>367.7</v>
      </c>
      <c r="G40" s="26">
        <f>ROUND(E40*F40,2)</f>
        <v>735.4</v>
      </c>
      <c r="H40" s="152">
        <f t="shared" si="1"/>
        <v>1.3057294249517189E-2</v>
      </c>
      <c r="I40" s="26">
        <f>ROUND(F40*Прил.10!$D$14,2)</f>
        <v>2301.8000000000002</v>
      </c>
      <c r="J40" s="26">
        <f>ROUND(I40*E40,2)</f>
        <v>4603.6000000000004</v>
      </c>
    </row>
    <row r="41" spans="1:10" s="12" customFormat="1" ht="38.25" customHeight="1" x14ac:dyDescent="0.2">
      <c r="A41" s="2">
        <v>19</v>
      </c>
      <c r="B41" s="2" t="s">
        <v>163</v>
      </c>
      <c r="C41" s="8" t="s">
        <v>164</v>
      </c>
      <c r="D41" s="2" t="s">
        <v>165</v>
      </c>
      <c r="E41" s="158">
        <v>0.1</v>
      </c>
      <c r="F41" s="153">
        <v>5459</v>
      </c>
      <c r="G41" s="26">
        <f>ROUND(E41*F41,2)</f>
        <v>545.9</v>
      </c>
      <c r="H41" s="152">
        <f t="shared" si="1"/>
        <v>9.6926528838882694E-3</v>
      </c>
      <c r="I41" s="26">
        <f>ROUND(F41*Прил.10!$D$14,2)</f>
        <v>34173.339999999997</v>
      </c>
      <c r="J41" s="26">
        <f>ROUND(I41*E41,2)</f>
        <v>3417.33</v>
      </c>
    </row>
    <row r="42" spans="1:10" x14ac:dyDescent="0.25">
      <c r="A42" s="2"/>
      <c r="B42" s="2"/>
      <c r="C42" s="8" t="s">
        <v>262</v>
      </c>
      <c r="D42" s="2"/>
      <c r="E42" s="151"/>
      <c r="F42" s="153"/>
      <c r="G42" s="26">
        <f>SUM(G37:G41)</f>
        <v>7478.5499999999993</v>
      </c>
      <c r="H42" s="152">
        <f t="shared" si="1"/>
        <v>0.13278437300751531</v>
      </c>
      <c r="I42" s="154"/>
      <c r="J42" s="26">
        <f>SUM(J37:J41)</f>
        <v>46815.6</v>
      </c>
    </row>
    <row r="43" spans="1:10" x14ac:dyDescent="0.25">
      <c r="A43" s="2"/>
      <c r="B43" s="2"/>
      <c r="C43" s="159" t="s">
        <v>263</v>
      </c>
      <c r="D43" s="2"/>
      <c r="E43" s="186"/>
      <c r="F43" s="153"/>
      <c r="G43" s="26">
        <f>G36+G42</f>
        <v>56321.009999999995</v>
      </c>
      <c r="H43" s="187">
        <f>H36+H42</f>
        <v>1</v>
      </c>
      <c r="I43" s="154"/>
      <c r="J43" s="26">
        <f>J36+J42</f>
        <v>352569.83999999997</v>
      </c>
    </row>
    <row r="44" spans="1:10" ht="25.5" customHeight="1" x14ac:dyDescent="0.25">
      <c r="A44" s="2"/>
      <c r="B44" s="2"/>
      <c r="C44" s="8" t="s">
        <v>264</v>
      </c>
      <c r="D44" s="2"/>
      <c r="E44" s="158"/>
      <c r="F44" s="153"/>
      <c r="G44" s="26">
        <f>'Прил.6 Расчет ОБ'!G25</f>
        <v>56321.01</v>
      </c>
      <c r="H44" s="187"/>
      <c r="I44" s="154"/>
      <c r="J44" s="26">
        <f>ROUND(G44*Прил.10!D14,2)</f>
        <v>352569.52</v>
      </c>
    </row>
    <row r="45" spans="1:10" s="12" customFormat="1" ht="14.25" customHeight="1" x14ac:dyDescent="0.2">
      <c r="A45" s="2"/>
      <c r="B45" s="231" t="s">
        <v>166</v>
      </c>
      <c r="C45" s="231"/>
      <c r="D45" s="236"/>
      <c r="E45" s="237"/>
      <c r="F45" s="238"/>
      <c r="G45" s="238"/>
      <c r="H45" s="239"/>
      <c r="I45" s="149"/>
      <c r="J45" s="149"/>
    </row>
    <row r="46" spans="1:10" s="12" customFormat="1" ht="14.25" customHeight="1" x14ac:dyDescent="0.2">
      <c r="A46" s="184"/>
      <c r="B46" s="227" t="s">
        <v>265</v>
      </c>
      <c r="C46" s="227"/>
      <c r="D46" s="224"/>
      <c r="E46" s="228"/>
      <c r="F46" s="229"/>
      <c r="G46" s="229"/>
      <c r="H46" s="230"/>
      <c r="I46" s="160"/>
      <c r="J46" s="160"/>
    </row>
    <row r="47" spans="1:10" s="12" customFormat="1" ht="25.5" customHeight="1" x14ac:dyDescent="0.2">
      <c r="A47" s="2">
        <v>20</v>
      </c>
      <c r="B47" s="2" t="s">
        <v>167</v>
      </c>
      <c r="C47" s="8" t="s">
        <v>168</v>
      </c>
      <c r="D47" s="2" t="s">
        <v>169</v>
      </c>
      <c r="E47" s="158">
        <v>1.5112243272096999</v>
      </c>
      <c r="F47" s="153">
        <v>8018.05</v>
      </c>
      <c r="G47" s="26">
        <f>ROUND(E47*F47,2)</f>
        <v>12117.07</v>
      </c>
      <c r="H47" s="152">
        <f t="shared" ref="H47:H64" si="3">G47/$G$64</f>
        <v>0.74199104986503761</v>
      </c>
      <c r="I47" s="26">
        <f>ROUND(F47*Прил.10!$D$13,2)</f>
        <v>64465.120000000003</v>
      </c>
      <c r="J47" s="26">
        <f>ROUND(I47*E47,2)</f>
        <v>97421.26</v>
      </c>
    </row>
    <row r="48" spans="1:10" s="12" customFormat="1" ht="25.5" customHeight="1" x14ac:dyDescent="0.2">
      <c r="A48" s="2">
        <v>21</v>
      </c>
      <c r="B48" s="2" t="s">
        <v>170</v>
      </c>
      <c r="C48" s="8" t="s">
        <v>171</v>
      </c>
      <c r="D48" s="2" t="s">
        <v>165</v>
      </c>
      <c r="E48" s="158">
        <v>22.233887224277002</v>
      </c>
      <c r="F48" s="153">
        <v>83</v>
      </c>
      <c r="G48" s="26">
        <f>ROUND(E48*F48,2)</f>
        <v>1845.41</v>
      </c>
      <c r="H48" s="152">
        <f t="shared" si="3"/>
        <v>0.11300402682591082</v>
      </c>
      <c r="I48" s="26">
        <f>ROUND(F48*Прил.10!$D$13,2)</f>
        <v>667.32</v>
      </c>
      <c r="J48" s="26">
        <f>ROUND(I48*E48,2)</f>
        <v>14837.12</v>
      </c>
    </row>
    <row r="49" spans="1:10" s="12" customFormat="1" ht="25.5" customHeight="1" x14ac:dyDescent="0.2">
      <c r="A49" s="2">
        <v>22</v>
      </c>
      <c r="B49" s="2" t="s">
        <v>172</v>
      </c>
      <c r="C49" s="8" t="s">
        <v>173</v>
      </c>
      <c r="D49" s="2" t="s">
        <v>174</v>
      </c>
      <c r="E49" s="158">
        <v>8.9843145380294007E-3</v>
      </c>
      <c r="F49" s="153">
        <v>65750</v>
      </c>
      <c r="G49" s="26">
        <f>ROUND(E49*F49,2)</f>
        <v>590.72</v>
      </c>
      <c r="H49" s="152">
        <f t="shared" si="3"/>
        <v>3.6172849787636373E-2</v>
      </c>
      <c r="I49" s="26">
        <f>ROUND(F49*Прил.10!$D$13,2)</f>
        <v>528630</v>
      </c>
      <c r="J49" s="26">
        <f>ROUND(I49*E49,2)</f>
        <v>4749.38</v>
      </c>
    </row>
    <row r="50" spans="1:10" s="12" customFormat="1" ht="14.25" customHeight="1" x14ac:dyDescent="0.2">
      <c r="A50" s="161"/>
      <c r="B50" s="162"/>
      <c r="C50" s="163" t="s">
        <v>266</v>
      </c>
      <c r="D50" s="161"/>
      <c r="E50" s="164"/>
      <c r="F50" s="157"/>
      <c r="G50" s="157">
        <f>SUM(G47:G49)</f>
        <v>14553.199999999999</v>
      </c>
      <c r="H50" s="152">
        <f t="shared" si="3"/>
        <v>0.89116792647858478</v>
      </c>
      <c r="I50" s="26"/>
      <c r="J50" s="157">
        <f>SUM(J47:J49)</f>
        <v>117007.76</v>
      </c>
    </row>
    <row r="51" spans="1:10" s="12" customFormat="1" ht="25.5" hidden="1" customHeight="1" outlineLevel="1" x14ac:dyDescent="0.2">
      <c r="A51" s="2">
        <v>23</v>
      </c>
      <c r="B51" s="2" t="s">
        <v>175</v>
      </c>
      <c r="C51" s="8" t="s">
        <v>176</v>
      </c>
      <c r="D51" s="2" t="s">
        <v>174</v>
      </c>
      <c r="E51" s="158">
        <v>8.0283095906082992E-3</v>
      </c>
      <c r="F51" s="153">
        <v>68050</v>
      </c>
      <c r="G51" s="26">
        <f t="shared" ref="G51:G62" si="4">ROUND(E51*F51,2)</f>
        <v>546.33000000000004</v>
      </c>
      <c r="H51" s="152">
        <f t="shared" si="3"/>
        <v>3.3454619827463741E-2</v>
      </c>
      <c r="I51" s="26">
        <f>ROUND(F51*Прил.10!$D$13,2)</f>
        <v>547122</v>
      </c>
      <c r="J51" s="26">
        <f t="shared" ref="J51:J62" si="5">ROUND(I51*E51,2)</f>
        <v>4392.46</v>
      </c>
    </row>
    <row r="52" spans="1:10" s="12" customFormat="1" ht="25.5" hidden="1" customHeight="1" outlineLevel="1" x14ac:dyDescent="0.2">
      <c r="A52" s="2">
        <v>24</v>
      </c>
      <c r="B52" s="2" t="s">
        <v>177</v>
      </c>
      <c r="C52" s="8" t="s">
        <v>178</v>
      </c>
      <c r="D52" s="2" t="s">
        <v>169</v>
      </c>
      <c r="E52" s="158">
        <v>9.4450661670713004E-2</v>
      </c>
      <c r="F52" s="153">
        <v>5545.45</v>
      </c>
      <c r="G52" s="26">
        <f t="shared" si="4"/>
        <v>523.77</v>
      </c>
      <c r="H52" s="152">
        <f t="shared" si="3"/>
        <v>3.2073154004046422E-2</v>
      </c>
      <c r="I52" s="26">
        <f>ROUND(F52*Прил.10!$D$13,2)</f>
        <v>44585.42</v>
      </c>
      <c r="J52" s="26">
        <f t="shared" si="5"/>
        <v>4211.12</v>
      </c>
    </row>
    <row r="53" spans="1:10" s="12" customFormat="1" ht="25.5" hidden="1" customHeight="1" outlineLevel="1" x14ac:dyDescent="0.2">
      <c r="A53" s="2">
        <v>25</v>
      </c>
      <c r="B53" s="2" t="s">
        <v>179</v>
      </c>
      <c r="C53" s="8" t="s">
        <v>180</v>
      </c>
      <c r="D53" s="2" t="s">
        <v>181</v>
      </c>
      <c r="E53" s="158">
        <v>403.70467618524998</v>
      </c>
      <c r="F53" s="153">
        <v>1</v>
      </c>
      <c r="G53" s="26">
        <f t="shared" si="4"/>
        <v>403.7</v>
      </c>
      <c r="H53" s="152">
        <f t="shared" si="3"/>
        <v>2.4720645075956126E-2</v>
      </c>
      <c r="I53" s="26">
        <f>ROUND(F53*Прил.10!$D$13,2)</f>
        <v>8.0399999999999991</v>
      </c>
      <c r="J53" s="26">
        <f t="shared" si="5"/>
        <v>3245.79</v>
      </c>
    </row>
    <row r="54" spans="1:10" s="12" customFormat="1" ht="14.25" hidden="1" customHeight="1" outlineLevel="1" x14ac:dyDescent="0.2">
      <c r="A54" s="2">
        <v>26</v>
      </c>
      <c r="B54" s="2" t="s">
        <v>182</v>
      </c>
      <c r="C54" s="8" t="s">
        <v>183</v>
      </c>
      <c r="D54" s="2" t="s">
        <v>169</v>
      </c>
      <c r="E54" s="158">
        <v>9.4456722076140004E-2</v>
      </c>
      <c r="F54" s="153">
        <v>1819.3</v>
      </c>
      <c r="G54" s="26">
        <f t="shared" si="4"/>
        <v>171.85</v>
      </c>
      <c r="H54" s="152">
        <f t="shared" si="3"/>
        <v>1.0523266921731634E-2</v>
      </c>
      <c r="I54" s="26">
        <f>ROUND(F54*Прил.10!$D$13,2)</f>
        <v>14627.17</v>
      </c>
      <c r="J54" s="26">
        <f t="shared" si="5"/>
        <v>1381.63</v>
      </c>
    </row>
    <row r="55" spans="1:10" s="12" customFormat="1" ht="14.25" hidden="1" customHeight="1" outlineLevel="1" x14ac:dyDescent="0.2">
      <c r="A55" s="2">
        <v>27</v>
      </c>
      <c r="B55" s="2" t="s">
        <v>184</v>
      </c>
      <c r="C55" s="8" t="s">
        <v>185</v>
      </c>
      <c r="D55" s="2" t="s">
        <v>165</v>
      </c>
      <c r="E55" s="158">
        <v>0.20779333854465001</v>
      </c>
      <c r="F55" s="153">
        <v>164</v>
      </c>
      <c r="G55" s="26">
        <f t="shared" si="4"/>
        <v>34.08</v>
      </c>
      <c r="H55" s="152">
        <f t="shared" si="3"/>
        <v>2.0868951800559446E-3</v>
      </c>
      <c r="I55" s="26">
        <f>ROUND(F55*Прил.10!$D$13,2)</f>
        <v>1318.56</v>
      </c>
      <c r="J55" s="26">
        <f t="shared" si="5"/>
        <v>273.99</v>
      </c>
    </row>
    <row r="56" spans="1:10" s="12" customFormat="1" ht="38.25" hidden="1" customHeight="1" outlineLevel="1" x14ac:dyDescent="0.2">
      <c r="A56" s="2">
        <v>28</v>
      </c>
      <c r="B56" s="2" t="s">
        <v>186</v>
      </c>
      <c r="C56" s="8" t="s">
        <v>187</v>
      </c>
      <c r="D56" s="2" t="s">
        <v>188</v>
      </c>
      <c r="E56" s="158">
        <v>0.28328274588381003</v>
      </c>
      <c r="F56" s="153">
        <v>91.29</v>
      </c>
      <c r="G56" s="26">
        <f t="shared" si="4"/>
        <v>25.86</v>
      </c>
      <c r="H56" s="152">
        <f t="shared" si="3"/>
        <v>1.5835419412044227E-3</v>
      </c>
      <c r="I56" s="26">
        <f>ROUND(F56*Прил.10!$D$13,2)</f>
        <v>733.97</v>
      </c>
      <c r="J56" s="26">
        <f t="shared" si="5"/>
        <v>207.92</v>
      </c>
    </row>
    <row r="57" spans="1:10" s="12" customFormat="1" ht="14.25" hidden="1" customHeight="1" outlineLevel="1" x14ac:dyDescent="0.2">
      <c r="A57" s="2">
        <v>29</v>
      </c>
      <c r="B57" s="2" t="s">
        <v>189</v>
      </c>
      <c r="C57" s="8" t="s">
        <v>190</v>
      </c>
      <c r="D57" s="2" t="s">
        <v>188</v>
      </c>
      <c r="E57" s="158">
        <v>2.8336079041565001</v>
      </c>
      <c r="F57" s="153">
        <v>9.0399999999999991</v>
      </c>
      <c r="G57" s="26">
        <f t="shared" si="4"/>
        <v>25.62</v>
      </c>
      <c r="H57" s="152">
        <f t="shared" si="3"/>
        <v>1.5688454962744514E-3</v>
      </c>
      <c r="I57" s="26">
        <f>ROUND(F57*Прил.10!$D$13,2)</f>
        <v>72.680000000000007</v>
      </c>
      <c r="J57" s="26">
        <f t="shared" si="5"/>
        <v>205.95</v>
      </c>
    </row>
    <row r="58" spans="1:10" s="12" customFormat="1" ht="14.25" hidden="1" customHeight="1" outlineLevel="1" x14ac:dyDescent="0.2">
      <c r="A58" s="2">
        <v>30</v>
      </c>
      <c r="B58" s="2" t="s">
        <v>191</v>
      </c>
      <c r="C58" s="8" t="s">
        <v>192</v>
      </c>
      <c r="D58" s="2" t="s">
        <v>188</v>
      </c>
      <c r="E58" s="158">
        <v>0.56997677274130998</v>
      </c>
      <c r="F58" s="153">
        <v>27.74</v>
      </c>
      <c r="G58" s="26">
        <f t="shared" si="4"/>
        <v>15.81</v>
      </c>
      <c r="H58" s="152">
        <f t="shared" si="3"/>
        <v>9.6812830976186867E-4</v>
      </c>
      <c r="I58" s="26">
        <f>ROUND(F58*Прил.10!$D$13,2)</f>
        <v>223.03</v>
      </c>
      <c r="J58" s="26">
        <f t="shared" si="5"/>
        <v>127.12</v>
      </c>
    </row>
    <row r="59" spans="1:10" s="12" customFormat="1" ht="14.25" hidden="1" customHeight="1" outlineLevel="1" x14ac:dyDescent="0.2">
      <c r="A59" s="2">
        <v>31</v>
      </c>
      <c r="B59" s="2" t="s">
        <v>193</v>
      </c>
      <c r="C59" s="8" t="s">
        <v>194</v>
      </c>
      <c r="D59" s="2" t="s">
        <v>195</v>
      </c>
      <c r="E59" s="158">
        <v>1.5412281293654</v>
      </c>
      <c r="F59" s="153">
        <v>6.9</v>
      </c>
      <c r="G59" s="26">
        <f t="shared" si="4"/>
        <v>10.63</v>
      </c>
      <c r="H59" s="152">
        <f t="shared" si="3"/>
        <v>6.509300400233184E-4</v>
      </c>
      <c r="I59" s="26">
        <f>ROUND(F59*Прил.10!$D$13,2)</f>
        <v>55.48</v>
      </c>
      <c r="J59" s="26">
        <f t="shared" si="5"/>
        <v>85.51</v>
      </c>
    </row>
    <row r="60" spans="1:10" s="12" customFormat="1" ht="14.25" hidden="1" customHeight="1" outlineLevel="1" x14ac:dyDescent="0.2">
      <c r="A60" s="2">
        <v>32</v>
      </c>
      <c r="B60" s="2" t="s">
        <v>196</v>
      </c>
      <c r="C60" s="8" t="s">
        <v>197</v>
      </c>
      <c r="D60" s="2" t="s">
        <v>174</v>
      </c>
      <c r="E60" s="158">
        <v>9.6299053508026996E-4</v>
      </c>
      <c r="F60" s="153">
        <v>7826.9</v>
      </c>
      <c r="G60" s="26">
        <f t="shared" si="4"/>
        <v>7.54</v>
      </c>
      <c r="H60" s="152">
        <f t="shared" si="3"/>
        <v>4.6171331154993607E-4</v>
      </c>
      <c r="I60" s="26">
        <f>ROUND(F60*Прил.10!$D$13,2)</f>
        <v>62928.28</v>
      </c>
      <c r="J60" s="26">
        <f t="shared" si="5"/>
        <v>60.6</v>
      </c>
    </row>
    <row r="61" spans="1:10" s="12" customFormat="1" ht="14.25" hidden="1" customHeight="1" outlineLevel="1" x14ac:dyDescent="0.2">
      <c r="A61" s="2">
        <v>33</v>
      </c>
      <c r="B61" s="2" t="s">
        <v>198</v>
      </c>
      <c r="C61" s="8" t="s">
        <v>199</v>
      </c>
      <c r="D61" s="2" t="s">
        <v>174</v>
      </c>
      <c r="E61" s="158">
        <v>9.8335767460437998E-3</v>
      </c>
      <c r="F61" s="153">
        <v>729.98</v>
      </c>
      <c r="G61" s="26">
        <f t="shared" si="4"/>
        <v>7.18</v>
      </c>
      <c r="H61" s="152">
        <f t="shared" si="3"/>
        <v>4.3966864415497892E-4</v>
      </c>
      <c r="I61" s="26">
        <f>ROUND(F61*Прил.10!$D$13,2)</f>
        <v>5869.04</v>
      </c>
      <c r="J61" s="26">
        <f t="shared" si="5"/>
        <v>57.71</v>
      </c>
    </row>
    <row r="62" spans="1:10" s="12" customFormat="1" ht="14.25" hidden="1" customHeight="1" outlineLevel="1" x14ac:dyDescent="0.2">
      <c r="A62" s="2">
        <v>34</v>
      </c>
      <c r="B62" s="2" t="s">
        <v>200</v>
      </c>
      <c r="C62" s="8" t="s">
        <v>201</v>
      </c>
      <c r="D62" s="2" t="s">
        <v>188</v>
      </c>
      <c r="E62" s="158">
        <v>0.16976909047672001</v>
      </c>
      <c r="F62" s="153">
        <v>28.93</v>
      </c>
      <c r="G62" s="26">
        <f t="shared" si="4"/>
        <v>4.91</v>
      </c>
      <c r="H62" s="152">
        <f t="shared" si="3"/>
        <v>3.0066476919233241E-4</v>
      </c>
      <c r="I62" s="26">
        <f>ROUND(F62*Прил.10!$D$13,2)</f>
        <v>232.6</v>
      </c>
      <c r="J62" s="26">
        <f t="shared" si="5"/>
        <v>39.49</v>
      </c>
    </row>
    <row r="63" spans="1:10" s="12" customFormat="1" ht="14.25" customHeight="1" collapsed="1" x14ac:dyDescent="0.2">
      <c r="A63" s="2"/>
      <c r="B63" s="2"/>
      <c r="C63" s="8" t="s">
        <v>267</v>
      </c>
      <c r="D63" s="2"/>
      <c r="E63" s="186"/>
      <c r="F63" s="153"/>
      <c r="G63" s="26">
        <f>SUM(G51:G62)</f>
        <v>1777.2799999999997</v>
      </c>
      <c r="H63" s="152">
        <f t="shared" si="3"/>
        <v>0.10883207352141516</v>
      </c>
      <c r="I63" s="26"/>
      <c r="J63" s="26">
        <f>SUM(J51:J62)</f>
        <v>14289.29</v>
      </c>
    </row>
    <row r="64" spans="1:10" s="12" customFormat="1" ht="14.25" customHeight="1" x14ac:dyDescent="0.2">
      <c r="A64" s="2"/>
      <c r="B64" s="2"/>
      <c r="C64" s="159" t="s">
        <v>268</v>
      </c>
      <c r="D64" s="2"/>
      <c r="E64" s="186"/>
      <c r="F64" s="153"/>
      <c r="G64" s="26">
        <f>G50+G63</f>
        <v>16330.48</v>
      </c>
      <c r="H64" s="187">
        <f t="shared" si="3"/>
        <v>1</v>
      </c>
      <c r="I64" s="26"/>
      <c r="J64" s="26">
        <f>J50+J63</f>
        <v>131297.04999999999</v>
      </c>
    </row>
    <row r="65" spans="1:10" s="12" customFormat="1" ht="14.25" customHeight="1" x14ac:dyDescent="0.2">
      <c r="A65" s="2"/>
      <c r="B65" s="2"/>
      <c r="C65" s="8" t="s">
        <v>269</v>
      </c>
      <c r="D65" s="2"/>
      <c r="E65" s="186"/>
      <c r="F65" s="153"/>
      <c r="G65" s="26">
        <f>G14+G25+G64</f>
        <v>37614.434202868761</v>
      </c>
      <c r="H65" s="187"/>
      <c r="I65" s="26"/>
      <c r="J65" s="26">
        <f>J14+J25+J64</f>
        <v>1081813.6299999999</v>
      </c>
    </row>
    <row r="66" spans="1:10" s="12" customFormat="1" ht="14.25" customHeight="1" x14ac:dyDescent="0.2">
      <c r="A66" s="2"/>
      <c r="B66" s="2"/>
      <c r="C66" s="8" t="s">
        <v>270</v>
      </c>
      <c r="D66" s="165">
        <f>ROUND(G66/(G$16+$G$14),2)</f>
        <v>0.48</v>
      </c>
      <c r="E66" s="186"/>
      <c r="F66" s="153"/>
      <c r="G66" s="26">
        <v>9805.5400000000009</v>
      </c>
      <c r="H66" s="187"/>
      <c r="I66" s="26"/>
      <c r="J66" s="26">
        <f>ROUND(D66*(J14+J16),2)</f>
        <v>451094.55</v>
      </c>
    </row>
    <row r="67" spans="1:10" s="12" customFormat="1" ht="14.25" customHeight="1" x14ac:dyDescent="0.2">
      <c r="A67" s="2"/>
      <c r="B67" s="2"/>
      <c r="C67" s="8" t="s">
        <v>271</v>
      </c>
      <c r="D67" s="165">
        <f>ROUND(G67/(G$14+G$16),2)</f>
        <v>0.25</v>
      </c>
      <c r="E67" s="186"/>
      <c r="F67" s="153"/>
      <c r="G67" s="26">
        <v>5035.4399999999996</v>
      </c>
      <c r="H67" s="187"/>
      <c r="I67" s="26"/>
      <c r="J67" s="26">
        <f>ROUND(D67*(J14+J16),2)</f>
        <v>234945.08</v>
      </c>
    </row>
    <row r="68" spans="1:10" s="12" customFormat="1" ht="14.25" customHeight="1" x14ac:dyDescent="0.2">
      <c r="A68" s="2"/>
      <c r="B68" s="2"/>
      <c r="C68" s="8" t="s">
        <v>272</v>
      </c>
      <c r="D68" s="2"/>
      <c r="E68" s="186"/>
      <c r="F68" s="153"/>
      <c r="G68" s="26">
        <f>G14+G25+G64+G66+G67</f>
        <v>52455.414202868764</v>
      </c>
      <c r="H68" s="187"/>
      <c r="I68" s="26"/>
      <c r="J68" s="26">
        <f>J14+J25+J64+J66+J67</f>
        <v>1767853.26</v>
      </c>
    </row>
    <row r="69" spans="1:10" s="12" customFormat="1" ht="14.25" customHeight="1" x14ac:dyDescent="0.2">
      <c r="A69" s="2"/>
      <c r="B69" s="2"/>
      <c r="C69" s="8" t="s">
        <v>273</v>
      </c>
      <c r="D69" s="2"/>
      <c r="E69" s="186"/>
      <c r="F69" s="153"/>
      <c r="G69" s="26">
        <f>G68+G43</f>
        <v>108776.42420286876</v>
      </c>
      <c r="H69" s="187"/>
      <c r="I69" s="26"/>
      <c r="J69" s="26">
        <f>J68+J43</f>
        <v>2120423.1</v>
      </c>
    </row>
    <row r="70" spans="1:10" s="12" customFormat="1" ht="34.5" customHeight="1" x14ac:dyDescent="0.2">
      <c r="A70" s="2"/>
      <c r="B70" s="2"/>
      <c r="C70" s="8" t="s">
        <v>239</v>
      </c>
      <c r="D70" s="2" t="s">
        <v>274</v>
      </c>
      <c r="E70" s="188">
        <v>1</v>
      </c>
      <c r="F70" s="153"/>
      <c r="G70" s="26">
        <f>G69/E70</f>
        <v>108776.42420286876</v>
      </c>
      <c r="H70" s="187"/>
      <c r="I70" s="26"/>
      <c r="J70" s="26">
        <f>J69/E70</f>
        <v>2120423.1</v>
      </c>
    </row>
    <row r="72" spans="1:10" s="12" customFormat="1" ht="14.25" customHeight="1" x14ac:dyDescent="0.2">
      <c r="A72" s="4" t="s">
        <v>275</v>
      </c>
    </row>
    <row r="73" spans="1:10" s="12" customFormat="1" ht="14.25" customHeight="1" x14ac:dyDescent="0.2">
      <c r="A73" s="166" t="s">
        <v>76</v>
      </c>
    </row>
    <row r="74" spans="1:10" s="12" customFormat="1" ht="14.25" customHeight="1" x14ac:dyDescent="0.2">
      <c r="A74" s="4"/>
    </row>
    <row r="75" spans="1:10" s="12" customFormat="1" ht="14.25" customHeight="1" x14ac:dyDescent="0.2">
      <c r="A75" s="4" t="s">
        <v>276</v>
      </c>
    </row>
    <row r="76" spans="1:10" s="12" customFormat="1" ht="14.25" customHeight="1" x14ac:dyDescent="0.2">
      <c r="A76" s="166" t="s">
        <v>78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46:H46"/>
    <mergeCell ref="B12:H12"/>
    <mergeCell ref="B15:H15"/>
    <mergeCell ref="B17:H17"/>
    <mergeCell ref="B18:H18"/>
    <mergeCell ref="B27:H27"/>
    <mergeCell ref="B26:H26"/>
    <mergeCell ref="B45:H45"/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D6:J6"/>
  </mergeCells>
  <pageMargins left="0.70866141732283505" right="0.70866141732283505" top="0.74803149606299202" bottom="0.74803149606299202" header="0.31496062992126" footer="0.31496062992126"/>
  <pageSetup paperSize="9" scale="80" fitToHeight="0" orientation="landscape" cellComments="atEnd" r:id="rId1"/>
  <rowBreaks count="1" manualBreakCount="1">
    <brk id="44" max="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2"/>
  <sheetViews>
    <sheetView view="pageBreakPreview" topLeftCell="A19" workbookViewId="0">
      <selection activeCell="F29" sqref="F29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240" t="s">
        <v>277</v>
      </c>
      <c r="B1" s="240"/>
      <c r="C1" s="240"/>
      <c r="D1" s="240"/>
      <c r="E1" s="240"/>
      <c r="F1" s="240"/>
      <c r="G1" s="240"/>
    </row>
    <row r="2" spans="1:7" ht="21.75" customHeight="1" x14ac:dyDescent="0.25">
      <c r="A2" s="45"/>
      <c r="B2" s="45"/>
      <c r="C2" s="45"/>
      <c r="D2" s="45"/>
      <c r="E2" s="45"/>
      <c r="F2" s="45"/>
      <c r="G2" s="45"/>
    </row>
    <row r="3" spans="1:7" x14ac:dyDescent="0.25">
      <c r="A3" s="197" t="s">
        <v>278</v>
      </c>
      <c r="B3" s="197"/>
      <c r="C3" s="197"/>
      <c r="D3" s="197"/>
      <c r="E3" s="197"/>
      <c r="F3" s="197"/>
      <c r="G3" s="197"/>
    </row>
    <row r="4" spans="1:7" ht="25.5" customHeight="1" x14ac:dyDescent="0.25">
      <c r="A4" s="200" t="s">
        <v>47</v>
      </c>
      <c r="B4" s="200"/>
      <c r="C4" s="200"/>
      <c r="D4" s="200"/>
      <c r="E4" s="200"/>
      <c r="F4" s="200"/>
      <c r="G4" s="200"/>
    </row>
    <row r="5" spans="1:7" x14ac:dyDescent="0.25">
      <c r="A5" s="4"/>
      <c r="B5" s="4"/>
      <c r="C5" s="4"/>
      <c r="D5" s="4"/>
      <c r="E5" s="4"/>
      <c r="F5" s="4"/>
      <c r="G5" s="4"/>
    </row>
    <row r="6" spans="1:7" ht="30.2" customHeight="1" x14ac:dyDescent="0.25">
      <c r="A6" s="245" t="s">
        <v>13</v>
      </c>
      <c r="B6" s="245" t="s">
        <v>99</v>
      </c>
      <c r="C6" s="245" t="s">
        <v>205</v>
      </c>
      <c r="D6" s="245" t="s">
        <v>101</v>
      </c>
      <c r="E6" s="224" t="s">
        <v>248</v>
      </c>
      <c r="F6" s="245" t="s">
        <v>103</v>
      </c>
      <c r="G6" s="245"/>
    </row>
    <row r="7" spans="1:7" x14ac:dyDescent="0.25">
      <c r="A7" s="245"/>
      <c r="B7" s="245"/>
      <c r="C7" s="245"/>
      <c r="D7" s="245"/>
      <c r="E7" s="225"/>
      <c r="F7" s="2" t="s">
        <v>251</v>
      </c>
      <c r="G7" s="2" t="s">
        <v>105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105"/>
      <c r="B9" s="241" t="s">
        <v>279</v>
      </c>
      <c r="C9" s="242"/>
      <c r="D9" s="242"/>
      <c r="E9" s="242"/>
      <c r="F9" s="242"/>
      <c r="G9" s="243"/>
    </row>
    <row r="10" spans="1:7" ht="27" customHeight="1" x14ac:dyDescent="0.25">
      <c r="A10" s="2"/>
      <c r="B10" s="159"/>
      <c r="C10" s="8" t="s">
        <v>280</v>
      </c>
      <c r="D10" s="159"/>
      <c r="E10" s="167"/>
      <c r="F10" s="153"/>
      <c r="G10" s="26">
        <v>0</v>
      </c>
    </row>
    <row r="11" spans="1:7" x14ac:dyDescent="0.25">
      <c r="A11" s="2"/>
      <c r="B11" s="232" t="s">
        <v>281</v>
      </c>
      <c r="C11" s="232"/>
      <c r="D11" s="232"/>
      <c r="E11" s="244"/>
      <c r="F11" s="234"/>
      <c r="G11" s="234"/>
    </row>
    <row r="12" spans="1:7" s="113" customFormat="1" ht="25.5" customHeight="1" x14ac:dyDescent="0.25">
      <c r="A12" s="2">
        <v>1</v>
      </c>
      <c r="B12" s="8" t="str">
        <f>'Прил.5 Расчет СМР и ОБ'!B28</f>
        <v>62.4.02.02-0041</v>
      </c>
      <c r="C12" s="8" t="str">
        <f>'Прил.5 Расчет СМР и ОБ'!C28</f>
        <v>Источник резервного питания, марка: "РИП 12" исп. 06</v>
      </c>
      <c r="D12" s="2" t="str">
        <f>'Прил.5 Расчет СМР и ОБ'!D28</f>
        <v>шт</v>
      </c>
      <c r="E12" s="158">
        <f>'Прил.5 Расчет СМР и ОБ'!E28</f>
        <v>12</v>
      </c>
      <c r="F12" s="153">
        <f>'Прил.5 Расчет СМР и ОБ'!F28</f>
        <v>1105.2</v>
      </c>
      <c r="G12" s="26">
        <f t="shared" ref="G12:G24" si="0">ROUND(E12*F12,2)</f>
        <v>13262.4</v>
      </c>
    </row>
    <row r="13" spans="1:7" s="113" customFormat="1" ht="38.25" customHeight="1" x14ac:dyDescent="0.25">
      <c r="A13" s="2">
        <v>2</v>
      </c>
      <c r="B13" s="8" t="str">
        <f>'Прил.5 Расчет СМР и ОБ'!B29</f>
        <v>61.2.02.01-1004</v>
      </c>
      <c r="C13" s="8" t="str">
        <f>'Прил.5 Расчет СМР и ОБ'!C29</f>
        <v>Извещатель пожарный дымовой ДИП-34А (ИП 212-34А) оптико-электронный адресно-аналоговый в комплекте с базой (розеткой)</v>
      </c>
      <c r="D13" s="2" t="str">
        <f>'Прил.5 Расчет СМР и ОБ'!D29</f>
        <v>шт</v>
      </c>
      <c r="E13" s="158">
        <f>'Прил.5 Расчет СМР и ОБ'!E29</f>
        <v>74</v>
      </c>
      <c r="F13" s="153">
        <f>'Прил.5 Расчет СМР и ОБ'!F29</f>
        <v>116.52</v>
      </c>
      <c r="G13" s="26">
        <f t="shared" si="0"/>
        <v>8622.48</v>
      </c>
    </row>
    <row r="14" spans="1:7" s="113" customFormat="1" ht="63.75" customHeight="1" x14ac:dyDescent="0.25">
      <c r="A14" s="2">
        <v>3</v>
      </c>
      <c r="B14" s="8" t="str">
        <f>'Прил.5 Расчет СМР и ОБ'!B30</f>
        <v>61.2.02.02-0001</v>
      </c>
      <c r="C14" s="8" t="str">
        <f>'Прил.5 Расчет СМР и ОБ'!C30</f>
        <v>Извещатель адресный пожарный тепловой интеллектуальный ИП101-24А-A1R максимально-дифференциальный «Leonardo-Т», без базы (прим. марка "С2000-ИП")</v>
      </c>
      <c r="D14" s="2" t="str">
        <f>'Прил.5 Расчет СМР и ОБ'!D30</f>
        <v>10 шт</v>
      </c>
      <c r="E14" s="158">
        <f>'Прил.5 Расчет СМР и ОБ'!E30</f>
        <v>4</v>
      </c>
      <c r="F14" s="153">
        <f>'Прил.5 Расчет СМР и ОБ'!F30</f>
        <v>2188.6</v>
      </c>
      <c r="G14" s="26">
        <f t="shared" si="0"/>
        <v>8754.4</v>
      </c>
    </row>
    <row r="15" spans="1:7" s="113" customFormat="1" ht="15.75" customHeight="1" x14ac:dyDescent="0.25">
      <c r="A15" s="2">
        <v>4</v>
      </c>
      <c r="B15" s="8" t="str">
        <f>'Прил.5 Расчет СМР и ОБ'!B31</f>
        <v>61.2.02.01-0095</v>
      </c>
      <c r="C15" s="8" t="str">
        <f>'Прил.5 Расчет СМР и ОБ'!C31</f>
        <v>Извещатель пожарный дымовой: ИПДЛ</v>
      </c>
      <c r="D15" s="2" t="str">
        <f>'Прил.5 Расчет СМР и ОБ'!D31</f>
        <v>10 шт</v>
      </c>
      <c r="E15" s="158">
        <f>'Прил.5 Расчет СМР и ОБ'!E31</f>
        <v>1.3</v>
      </c>
      <c r="F15" s="153">
        <f>'Прил.5 Расчет СМР и ОБ'!F31</f>
        <v>3463.94</v>
      </c>
      <c r="G15" s="26">
        <f t="shared" si="0"/>
        <v>4503.12</v>
      </c>
    </row>
    <row r="16" spans="1:7" s="113" customFormat="1" ht="38.25" customHeight="1" x14ac:dyDescent="0.25">
      <c r="A16" s="2">
        <v>5</v>
      </c>
      <c r="B16" s="8" t="str">
        <f>'Прил.5 Расчет СМР и ОБ'!B32</f>
        <v>61.2.04.05-0018</v>
      </c>
      <c r="C16" s="8" t="str">
        <f>'Прил.5 Расчет СМР и ОБ'!C32</f>
        <v>Оповещатель охранно-пожарный звуковой, тип СВИРЕЛЬ-2 исп.00 6-15В/600мА</v>
      </c>
      <c r="D16" s="2" t="str">
        <f>'Прил.5 Расчет СМР и ОБ'!D32</f>
        <v>шт</v>
      </c>
      <c r="E16" s="158">
        <f>'Прил.5 Расчет СМР и ОБ'!E32</f>
        <v>21</v>
      </c>
      <c r="F16" s="153">
        <f>'Прил.5 Расчет СМР и ОБ'!F32</f>
        <v>187</v>
      </c>
      <c r="G16" s="26">
        <f t="shared" si="0"/>
        <v>3927</v>
      </c>
    </row>
    <row r="17" spans="1:7" s="113" customFormat="1" ht="15.75" customHeight="1" x14ac:dyDescent="0.25">
      <c r="A17" s="2">
        <v>6</v>
      </c>
      <c r="B17" s="8" t="str">
        <f>'Прил.5 Расчет СМР и ОБ'!B33</f>
        <v>61.2.04.07-0008</v>
      </c>
      <c r="C17" s="8" t="str">
        <f>'Прил.5 Расчет СМР и ОБ'!C33</f>
        <v>Оповещатель световой МОЛНИЯ-12(24)</v>
      </c>
      <c r="D17" s="2" t="str">
        <f>'Прил.5 Расчет СМР и ОБ'!D33</f>
        <v>шт</v>
      </c>
      <c r="E17" s="158">
        <f>'Прил.5 Расчет СМР и ОБ'!E33</f>
        <v>90</v>
      </c>
      <c r="F17" s="153">
        <f>'Прил.5 Расчет СМР и ОБ'!F33</f>
        <v>38.380000000000003</v>
      </c>
      <c r="G17" s="26">
        <f t="shared" si="0"/>
        <v>3454.2</v>
      </c>
    </row>
    <row r="18" spans="1:7" s="113" customFormat="1" ht="25.5" customHeight="1" x14ac:dyDescent="0.25">
      <c r="A18" s="2">
        <v>7</v>
      </c>
      <c r="B18" s="8" t="str">
        <f>'Прил.5 Расчет СМР и ОБ'!B34</f>
        <v>61.2.07.02-0034</v>
      </c>
      <c r="C18" s="8" t="str">
        <f>'Прил.5 Расчет СМР и ОБ'!C34</f>
        <v>Блок контрольно-пусковой, марка "С2000-КПБ"</v>
      </c>
      <c r="D18" s="2" t="str">
        <f>'Прил.5 Расчет СМР и ОБ'!D34</f>
        <v>шт</v>
      </c>
      <c r="E18" s="158">
        <f>'Прил.5 Расчет СМР и ОБ'!E34</f>
        <v>14</v>
      </c>
      <c r="F18" s="153">
        <f>'Прил.5 Расчет СМР и ОБ'!F34</f>
        <v>243.85</v>
      </c>
      <c r="G18" s="26">
        <f t="shared" si="0"/>
        <v>3413.9</v>
      </c>
    </row>
    <row r="19" spans="1:7" s="113" customFormat="1" ht="140.25" customHeight="1" x14ac:dyDescent="0.25">
      <c r="A19" s="2">
        <v>8</v>
      </c>
      <c r="B19" s="8" t="str">
        <f>'Прил.5 Расчет СМР и ОБ'!B35</f>
        <v>61.2.07.02-0042</v>
      </c>
      <c r="C19" s="8" t="str">
        <f>'Прил.5 Расчет СМР и ОБ'!C35</f>
        <v>Блок контроля и индикации для работы в составе интегрированной системе охраны совместно с пультом контроля и управления, ручного управления 60 разделами системы и отображения с помощью встроенных индикаторов и звуковой сигнализации, количество кнопок для управления разделами 60, напряжение питания от 10.2 до 28 В, потребляемый ток, в дежурном режиме 200 мА</v>
      </c>
      <c r="D19" s="2" t="str">
        <f>'Прил.5 Расчет СМР и ОБ'!D35</f>
        <v>шт</v>
      </c>
      <c r="E19" s="158">
        <f>'Прил.5 Расчет СМР и ОБ'!E35</f>
        <v>4</v>
      </c>
      <c r="F19" s="153">
        <f>'Прил.5 Расчет СМР и ОБ'!F35</f>
        <v>726.24</v>
      </c>
      <c r="G19" s="26">
        <f t="shared" si="0"/>
        <v>2904.96</v>
      </c>
    </row>
    <row r="20" spans="1:7" s="113" customFormat="1" ht="25.5" customHeight="1" x14ac:dyDescent="0.25">
      <c r="A20" s="2">
        <v>9</v>
      </c>
      <c r="B20" s="8" t="str">
        <f>'Прил.5 Расчет СМР и ОБ'!B37</f>
        <v>61.2.07.04-0002</v>
      </c>
      <c r="C20" s="8" t="str">
        <f>'Прил.5 Расчет СМР и ОБ'!C37</f>
        <v>Контроллер двухпроводной линии связи, марка "С2000-КДЛ"</v>
      </c>
      <c r="D20" s="2" t="str">
        <f>'Прил.5 Расчет СМР и ОБ'!D37</f>
        <v>шт</v>
      </c>
      <c r="E20" s="158">
        <f>'Прил.5 Расчет СМР и ОБ'!E37</f>
        <v>15</v>
      </c>
      <c r="F20" s="153">
        <f>'Прил.5 Расчет СМР и ОБ'!F37</f>
        <v>175.63</v>
      </c>
      <c r="G20" s="26">
        <f t="shared" si="0"/>
        <v>2634.45</v>
      </c>
    </row>
    <row r="21" spans="1:7" s="113" customFormat="1" ht="25.5" customHeight="1" x14ac:dyDescent="0.25">
      <c r="A21" s="2">
        <v>10</v>
      </c>
      <c r="B21" s="8" t="str">
        <f>'Прил.5 Расчет СМР и ОБ'!B38</f>
        <v>61.2.02.03-0025</v>
      </c>
      <c r="C21" s="8" t="str">
        <f>'Прил.5 Расчет СМР и ОБ'!C38</f>
        <v>Извещатель пожарный ручной: ИПР-513-3 исп. 02</v>
      </c>
      <c r="D21" s="2" t="str">
        <f>'Прил.5 Расчет СМР и ОБ'!D38</f>
        <v>10 шт</v>
      </c>
      <c r="E21" s="158">
        <f>'Прил.5 Расчет СМР и ОБ'!E38</f>
        <v>5.5</v>
      </c>
      <c r="F21" s="153">
        <f>'Прил.5 Расчет СМР и ОБ'!F38</f>
        <v>410.04</v>
      </c>
      <c r="G21" s="26">
        <f t="shared" si="0"/>
        <v>2255.2199999999998</v>
      </c>
    </row>
    <row r="22" spans="1:7" s="113" customFormat="1" ht="51" customHeight="1" x14ac:dyDescent="0.25">
      <c r="A22" s="2">
        <v>11</v>
      </c>
      <c r="B22" s="8" t="str">
        <f>'Прил.5 Расчет СМР и ОБ'!B39</f>
        <v>61.2.07.02-0051</v>
      </c>
      <c r="C22" s="8" t="str">
        <f>'Прил.5 Расчет СМР и ОБ'!C39</f>
        <v>Блоки разветвительно-изолирующие типа БРИЗ, для участка двухпроводной линии с коротким замыканием, размер не более 56х38х20 мм</v>
      </c>
      <c r="D22" s="2" t="str">
        <f>'Прил.5 Расчет СМР и ОБ'!D39</f>
        <v>шт</v>
      </c>
      <c r="E22" s="158">
        <f>'Прил.5 Расчет СМР и ОБ'!E39</f>
        <v>19</v>
      </c>
      <c r="F22" s="153">
        <f>'Прил.5 Расчет СМР и ОБ'!F39</f>
        <v>68.819999999999993</v>
      </c>
      <c r="G22" s="26">
        <f t="shared" si="0"/>
        <v>1307.58</v>
      </c>
    </row>
    <row r="23" spans="1:7" s="113" customFormat="1" ht="25.5" customHeight="1" x14ac:dyDescent="0.25">
      <c r="A23" s="2">
        <v>12</v>
      </c>
      <c r="B23" s="8" t="str">
        <f>'Прил.5 Расчет СМР и ОБ'!B40</f>
        <v>61.2.04.10-0005</v>
      </c>
      <c r="C23" s="8" t="str">
        <f>'Прил.5 Расчет СМР и ОБ'!C40</f>
        <v>Пульт контроля и управления охранно-пожарный, марка "С2000"</v>
      </c>
      <c r="D23" s="2" t="str">
        <f>'Прил.5 Расчет СМР и ОБ'!D40</f>
        <v>шт</v>
      </c>
      <c r="E23" s="158">
        <f>'Прил.5 Расчет СМР и ОБ'!E40</f>
        <v>2</v>
      </c>
      <c r="F23" s="153">
        <f>'Прил.5 Расчет СМР и ОБ'!F40</f>
        <v>367.7</v>
      </c>
      <c r="G23" s="26">
        <f t="shared" si="0"/>
        <v>735.4</v>
      </c>
    </row>
    <row r="24" spans="1:7" s="113" customFormat="1" ht="38.25" customHeight="1" x14ac:dyDescent="0.25">
      <c r="A24" s="2">
        <v>13</v>
      </c>
      <c r="B24" s="8" t="str">
        <f>'Прил.5 Расчет СМР и ОБ'!B41</f>
        <v>61.2.07.06-0005</v>
      </c>
      <c r="C24" s="8" t="str">
        <f>'Прил.5 Расчет СМР и ОБ'!C41</f>
        <v>Расширитель адресный ("адресная метка"), марка "С2000-АР2" (прим. "С2000-АР8")</v>
      </c>
      <c r="D24" s="2" t="str">
        <f>'Прил.5 Расчет СМР и ОБ'!D41</f>
        <v>100 шт</v>
      </c>
      <c r="E24" s="158">
        <f>'Прил.5 Расчет СМР и ОБ'!E41</f>
        <v>0.1</v>
      </c>
      <c r="F24" s="153">
        <f>'Прил.5 Расчет СМР и ОБ'!F41</f>
        <v>5459</v>
      </c>
      <c r="G24" s="26">
        <f t="shared" si="0"/>
        <v>545.9</v>
      </c>
    </row>
    <row r="25" spans="1:7" ht="25.5" customHeight="1" x14ac:dyDescent="0.25">
      <c r="A25" s="2"/>
      <c r="B25" s="8"/>
      <c r="C25" s="8" t="s">
        <v>282</v>
      </c>
      <c r="D25" s="8"/>
      <c r="E25" s="40"/>
      <c r="F25" s="153"/>
      <c r="G25" s="26">
        <f>SUM(G12:G24)</f>
        <v>56321.01</v>
      </c>
    </row>
    <row r="26" spans="1:7" ht="19.5" customHeight="1" x14ac:dyDescent="0.25">
      <c r="A26" s="2"/>
      <c r="B26" s="8"/>
      <c r="C26" s="8" t="s">
        <v>283</v>
      </c>
      <c r="D26" s="8"/>
      <c r="E26" s="40"/>
      <c r="F26" s="153"/>
      <c r="G26" s="26">
        <f>G10+G25</f>
        <v>56321.01</v>
      </c>
    </row>
    <row r="27" spans="1:7" x14ac:dyDescent="0.25">
      <c r="A27" s="24"/>
      <c r="B27" s="168"/>
      <c r="C27" s="24"/>
      <c r="D27" s="24"/>
      <c r="E27" s="24"/>
      <c r="F27" s="24"/>
      <c r="G27" s="24"/>
    </row>
    <row r="28" spans="1:7" x14ac:dyDescent="0.25">
      <c r="A28" s="4" t="s">
        <v>275</v>
      </c>
      <c r="B28" s="12"/>
      <c r="C28" s="12"/>
      <c r="D28" s="24"/>
      <c r="E28" s="24"/>
      <c r="F28" s="24"/>
      <c r="G28" s="24"/>
    </row>
    <row r="29" spans="1:7" x14ac:dyDescent="0.25">
      <c r="A29" s="166" t="s">
        <v>76</v>
      </c>
      <c r="B29" s="12"/>
      <c r="C29" s="12"/>
      <c r="D29" s="24"/>
      <c r="E29" s="24"/>
      <c r="F29" s="24"/>
      <c r="G29" s="24"/>
    </row>
    <row r="30" spans="1:7" x14ac:dyDescent="0.25">
      <c r="A30" s="4"/>
      <c r="B30" s="12"/>
      <c r="C30" s="12"/>
      <c r="D30" s="24"/>
      <c r="E30" s="24"/>
      <c r="F30" s="24"/>
      <c r="G30" s="24"/>
    </row>
    <row r="31" spans="1:7" x14ac:dyDescent="0.25">
      <c r="A31" s="4" t="s">
        <v>276</v>
      </c>
      <c r="B31" s="12"/>
      <c r="C31" s="12"/>
      <c r="D31" s="24"/>
      <c r="E31" s="24"/>
      <c r="F31" s="24"/>
      <c r="G31" s="24"/>
    </row>
    <row r="32" spans="1:7" x14ac:dyDescent="0.25">
      <c r="A32" s="166" t="s">
        <v>78</v>
      </c>
      <c r="B32" s="12"/>
      <c r="C32" s="12"/>
      <c r="D32" s="24"/>
      <c r="E32" s="24"/>
      <c r="F32" s="24"/>
      <c r="G32" s="24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7"/>
  <sheetViews>
    <sheetView view="pageBreakPreview" workbookViewId="0">
      <selection activeCell="D15" sqref="D14:D15"/>
    </sheetView>
  </sheetViews>
  <sheetFormatPr defaultRowHeight="15" x14ac:dyDescent="0.25"/>
  <cols>
    <col min="1" max="1" width="27.7109375" customWidth="1"/>
    <col min="2" max="2" width="16.42578125" customWidth="1"/>
    <col min="3" max="3" width="37.140625" customWidth="1"/>
    <col min="4" max="4" width="49" customWidth="1"/>
    <col min="5" max="5" width="9.140625" customWidth="1"/>
  </cols>
  <sheetData>
    <row r="1" spans="1:4" ht="15.75" customHeight="1" x14ac:dyDescent="0.25">
      <c r="A1" s="113"/>
      <c r="B1" s="113"/>
      <c r="C1" s="113"/>
      <c r="D1" s="113" t="s">
        <v>284</v>
      </c>
    </row>
    <row r="2" spans="1:4" ht="15.75" customHeight="1" x14ac:dyDescent="0.25">
      <c r="A2" s="113"/>
      <c r="B2" s="113"/>
      <c r="C2" s="113"/>
      <c r="D2" s="113"/>
    </row>
    <row r="3" spans="1:4" ht="15.75" customHeight="1" x14ac:dyDescent="0.25">
      <c r="A3" s="113"/>
      <c r="B3" s="138" t="s">
        <v>285</v>
      </c>
      <c r="C3" s="113"/>
      <c r="D3" s="113"/>
    </row>
    <row r="4" spans="1:4" ht="15.75" customHeight="1" x14ac:dyDescent="0.25">
      <c r="A4" s="113"/>
      <c r="B4" s="113"/>
      <c r="C4" s="113"/>
      <c r="D4" s="113"/>
    </row>
    <row r="5" spans="1:4" ht="31.7" customHeight="1" x14ac:dyDescent="0.25">
      <c r="A5" s="246" t="s">
        <v>286</v>
      </c>
      <c r="B5" s="246"/>
      <c r="C5" s="246"/>
      <c r="D5" s="192" t="str">
        <f>'Прил.5 Расчет СМР и ОБ'!D6:J6</f>
        <v xml:space="preserve">Постоянная часть ПС система пожарной и охранной сигнализации ЗПС 110 кВ </v>
      </c>
    </row>
    <row r="6" spans="1:4" ht="15.75" customHeight="1" x14ac:dyDescent="0.25">
      <c r="A6" s="113" t="s">
        <v>49</v>
      </c>
      <c r="B6" s="113"/>
      <c r="C6" s="113"/>
      <c r="D6" s="113"/>
    </row>
    <row r="7" spans="1:4" ht="15.75" customHeight="1" x14ac:dyDescent="0.25">
      <c r="A7" s="113"/>
      <c r="B7" s="113"/>
      <c r="C7" s="113"/>
      <c r="D7" s="113"/>
    </row>
    <row r="8" spans="1:4" x14ac:dyDescent="0.25">
      <c r="A8" s="210" t="s">
        <v>5</v>
      </c>
      <c r="B8" s="210" t="s">
        <v>6</v>
      </c>
      <c r="C8" s="210" t="s">
        <v>287</v>
      </c>
      <c r="D8" s="210" t="s">
        <v>288</v>
      </c>
    </row>
    <row r="9" spans="1:4" x14ac:dyDescent="0.25">
      <c r="A9" s="210"/>
      <c r="B9" s="210"/>
      <c r="C9" s="210"/>
      <c r="D9" s="210"/>
    </row>
    <row r="10" spans="1:4" ht="15.75" customHeight="1" x14ac:dyDescent="0.25">
      <c r="A10" s="116">
        <v>1</v>
      </c>
      <c r="B10" s="116">
        <v>2</v>
      </c>
      <c r="C10" s="116">
        <v>3</v>
      </c>
      <c r="D10" s="116">
        <v>4</v>
      </c>
    </row>
    <row r="11" spans="1:4" ht="63" customHeight="1" x14ac:dyDescent="0.25">
      <c r="A11" s="116" t="s">
        <v>289</v>
      </c>
      <c r="B11" s="116" t="s">
        <v>290</v>
      </c>
      <c r="C11" s="193" t="str">
        <f>D5</f>
        <v xml:space="preserve">Постоянная часть ПС система пожарной и охранной сигнализации ЗПС 110 кВ </v>
      </c>
      <c r="D11" s="176">
        <f>'Прил.4 РМ'!C41/1000</f>
        <v>3043.5642199999998</v>
      </c>
    </row>
    <row r="13" spans="1:4" x14ac:dyDescent="0.25">
      <c r="A13" s="4" t="s">
        <v>291</v>
      </c>
      <c r="B13" s="12"/>
      <c r="C13" s="12"/>
      <c r="D13" s="24"/>
    </row>
    <row r="14" spans="1:4" x14ac:dyDescent="0.25">
      <c r="A14" s="166" t="s">
        <v>76</v>
      </c>
      <c r="B14" s="12"/>
      <c r="C14" s="12"/>
      <c r="D14" s="24"/>
    </row>
    <row r="15" spans="1:4" x14ac:dyDescent="0.25">
      <c r="A15" s="4"/>
      <c r="B15" s="12"/>
      <c r="C15" s="12"/>
      <c r="D15" s="24"/>
    </row>
    <row r="16" spans="1:4" x14ac:dyDescent="0.25">
      <c r="A16" s="4" t="s">
        <v>77</v>
      </c>
      <c r="B16" s="12"/>
      <c r="C16" s="12"/>
      <c r="D16" s="24"/>
    </row>
    <row r="17" spans="1:4" x14ac:dyDescent="0.25">
      <c r="A17" s="166" t="s">
        <v>78</v>
      </c>
      <c r="B17" s="12"/>
      <c r="C17" s="12"/>
      <c r="D17" s="24"/>
    </row>
  </sheetData>
  <mergeCells count="5">
    <mergeCell ref="A5:C5"/>
    <mergeCell ref="A8:A9"/>
    <mergeCell ref="B8:B9"/>
    <mergeCell ref="C8:C9"/>
    <mergeCell ref="D8:D9"/>
  </mergeCells>
  <pageMargins left="0.7" right="0.7" top="0.75" bottom="0.75" header="0.3" footer="0.3"/>
  <pageSetup paperSize="9" scale="67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4:E31"/>
  <sheetViews>
    <sheetView view="pageBreakPreview" topLeftCell="A4" zoomScale="60" zoomScaleNormal="85" workbookViewId="0">
      <selection activeCell="D27" sqref="D27"/>
    </sheetView>
  </sheetViews>
  <sheetFormatPr defaultRowHeight="15" x14ac:dyDescent="0.25"/>
  <cols>
    <col min="1" max="1" width="9.140625" customWidth="1"/>
    <col min="2" max="2" width="40.7109375" customWidth="1"/>
    <col min="3" max="3" width="37" customWidth="1"/>
    <col min="4" max="4" width="32" customWidth="1"/>
    <col min="5" max="5" width="9.140625" customWidth="1"/>
  </cols>
  <sheetData>
    <row r="4" spans="2:5" ht="15.75" customHeight="1" x14ac:dyDescent="0.25">
      <c r="B4" s="204" t="s">
        <v>292</v>
      </c>
      <c r="C4" s="204"/>
      <c r="D4" s="204"/>
    </row>
    <row r="5" spans="2:5" ht="18.75" customHeight="1" x14ac:dyDescent="0.25">
      <c r="B5" s="169"/>
    </row>
    <row r="6" spans="2:5" ht="15.75" customHeight="1" x14ac:dyDescent="0.25">
      <c r="B6" s="205" t="s">
        <v>293</v>
      </c>
      <c r="C6" s="205"/>
      <c r="D6" s="205"/>
    </row>
    <row r="7" spans="2:5" x14ac:dyDescent="0.25">
      <c r="B7" s="247"/>
      <c r="C7" s="247"/>
      <c r="D7" s="247"/>
      <c r="E7" s="247"/>
    </row>
    <row r="8" spans="2:5" x14ac:dyDescent="0.25">
      <c r="B8" s="170"/>
      <c r="C8" s="170"/>
      <c r="D8" s="170"/>
      <c r="E8" s="170"/>
    </row>
    <row r="9" spans="2:5" ht="47.25" customHeight="1" x14ac:dyDescent="0.25">
      <c r="B9" s="116" t="s">
        <v>294</v>
      </c>
      <c r="C9" s="116" t="s">
        <v>295</v>
      </c>
      <c r="D9" s="116" t="s">
        <v>296</v>
      </c>
    </row>
    <row r="10" spans="2:5" ht="15.75" customHeight="1" x14ac:dyDescent="0.25">
      <c r="B10" s="116">
        <v>1</v>
      </c>
      <c r="C10" s="116">
        <v>2</v>
      </c>
      <c r="D10" s="116">
        <v>3</v>
      </c>
    </row>
    <row r="11" spans="2:5" ht="45" customHeight="1" x14ac:dyDescent="0.25">
      <c r="B11" s="116" t="s">
        <v>297</v>
      </c>
      <c r="C11" s="116" t="s">
        <v>298</v>
      </c>
      <c r="D11" s="116">
        <v>44.29</v>
      </c>
    </row>
    <row r="12" spans="2:5" ht="29.25" customHeight="1" x14ac:dyDescent="0.25">
      <c r="B12" s="116" t="s">
        <v>299</v>
      </c>
      <c r="C12" s="116" t="s">
        <v>298</v>
      </c>
      <c r="D12" s="116">
        <v>13.47</v>
      </c>
    </row>
    <row r="13" spans="2:5" ht="29.25" customHeight="1" x14ac:dyDescent="0.25">
      <c r="B13" s="116" t="s">
        <v>300</v>
      </c>
      <c r="C13" s="116" t="s">
        <v>298</v>
      </c>
      <c r="D13" s="116">
        <v>8.0399999999999991</v>
      </c>
    </row>
    <row r="14" spans="2:5" ht="30.75" customHeight="1" x14ac:dyDescent="0.25">
      <c r="B14" s="116" t="s">
        <v>301</v>
      </c>
      <c r="C14" s="119" t="s">
        <v>302</v>
      </c>
      <c r="D14" s="116">
        <v>6.26</v>
      </c>
    </row>
    <row r="15" spans="2:5" ht="89.45" customHeight="1" x14ac:dyDescent="0.25">
      <c r="B15" s="116" t="s">
        <v>303</v>
      </c>
      <c r="C15" s="116" t="s">
        <v>304</v>
      </c>
      <c r="D15" s="171">
        <v>3.9E-2</v>
      </c>
    </row>
    <row r="16" spans="2:5" ht="78.75" customHeight="1" x14ac:dyDescent="0.25">
      <c r="B16" s="116" t="s">
        <v>305</v>
      </c>
      <c r="C16" s="116" t="s">
        <v>306</v>
      </c>
      <c r="D16" s="171">
        <v>2.1000000000000001E-2</v>
      </c>
    </row>
    <row r="17" spans="2:4" ht="34.5" customHeight="1" x14ac:dyDescent="0.25">
      <c r="B17" s="116"/>
      <c r="C17" s="116"/>
      <c r="D17" s="116"/>
    </row>
    <row r="18" spans="2:4" ht="31.7" customHeight="1" x14ac:dyDescent="0.25">
      <c r="B18" s="116" t="s">
        <v>307</v>
      </c>
      <c r="C18" s="116" t="s">
        <v>308</v>
      </c>
      <c r="D18" s="171">
        <v>2.1399999999999999E-2</v>
      </c>
    </row>
    <row r="19" spans="2:4" ht="31.7" customHeight="1" x14ac:dyDescent="0.25">
      <c r="B19" s="116" t="s">
        <v>235</v>
      </c>
      <c r="C19" s="116" t="s">
        <v>309</v>
      </c>
      <c r="D19" s="171">
        <v>2E-3</v>
      </c>
    </row>
    <row r="20" spans="2:4" ht="24" customHeight="1" x14ac:dyDescent="0.25">
      <c r="B20" s="116" t="s">
        <v>237</v>
      </c>
      <c r="C20" s="116" t="s">
        <v>310</v>
      </c>
      <c r="D20" s="171">
        <v>0.03</v>
      </c>
    </row>
    <row r="21" spans="2:4" ht="18.75" customHeight="1" x14ac:dyDescent="0.25">
      <c r="B21" s="172"/>
    </row>
    <row r="22" spans="2:4" ht="18.75" customHeight="1" x14ac:dyDescent="0.25">
      <c r="B22" s="172"/>
    </row>
    <row r="23" spans="2:4" ht="18.75" customHeight="1" x14ac:dyDescent="0.25">
      <c r="B23" s="172"/>
    </row>
    <row r="24" spans="2:4" ht="18.75" customHeight="1" x14ac:dyDescent="0.25">
      <c r="B24" s="172"/>
    </row>
    <row r="27" spans="2:4" x14ac:dyDescent="0.25">
      <c r="B27" s="4" t="s">
        <v>311</v>
      </c>
      <c r="C27" s="12"/>
    </row>
    <row r="28" spans="2:4" x14ac:dyDescent="0.25">
      <c r="B28" s="166" t="s">
        <v>76</v>
      </c>
      <c r="C28" s="12"/>
    </row>
    <row r="29" spans="2:4" x14ac:dyDescent="0.25">
      <c r="B29" s="4"/>
      <c r="C29" s="12"/>
    </row>
    <row r="30" spans="2:4" x14ac:dyDescent="0.25">
      <c r="B30" s="4" t="s">
        <v>276</v>
      </c>
      <c r="C30" s="12"/>
    </row>
    <row r="31" spans="2:4" x14ac:dyDescent="0.25">
      <c r="B31" s="166" t="s">
        <v>78</v>
      </c>
      <c r="C31" s="12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G13"/>
  <sheetViews>
    <sheetView view="pageBreakPreview" workbookViewId="0">
      <selection activeCell="J11" sqref="J11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7.45" customHeight="1" x14ac:dyDescent="0.25">
      <c r="A2" s="205" t="s">
        <v>312</v>
      </c>
      <c r="B2" s="205"/>
      <c r="C2" s="205"/>
      <c r="D2" s="205"/>
      <c r="E2" s="205"/>
      <c r="F2" s="205"/>
    </row>
    <row r="4" spans="1:7" ht="18" customHeight="1" x14ac:dyDescent="0.25">
      <c r="A4" s="173" t="s">
        <v>313</v>
      </c>
      <c r="B4" s="113"/>
      <c r="C4" s="113"/>
      <c r="D4" s="113"/>
      <c r="E4" s="113"/>
      <c r="F4" s="113"/>
      <c r="G4" s="113"/>
    </row>
    <row r="5" spans="1:7" ht="15.75" customHeight="1" x14ac:dyDescent="0.25">
      <c r="A5" s="174" t="s">
        <v>13</v>
      </c>
      <c r="B5" s="174" t="s">
        <v>314</v>
      </c>
      <c r="C5" s="174" t="s">
        <v>315</v>
      </c>
      <c r="D5" s="174" t="s">
        <v>316</v>
      </c>
      <c r="E5" s="174" t="s">
        <v>317</v>
      </c>
      <c r="F5" s="174" t="s">
        <v>318</v>
      </c>
      <c r="G5" s="113"/>
    </row>
    <row r="6" spans="1:7" ht="15.75" customHeight="1" x14ac:dyDescent="0.25">
      <c r="A6" s="174">
        <v>1</v>
      </c>
      <c r="B6" s="174">
        <v>2</v>
      </c>
      <c r="C6" s="174">
        <v>3</v>
      </c>
      <c r="D6" s="174">
        <v>4</v>
      </c>
      <c r="E6" s="174">
        <v>5</v>
      </c>
      <c r="F6" s="174">
        <v>6</v>
      </c>
      <c r="G6" s="113"/>
    </row>
    <row r="7" spans="1:7" ht="110.25" customHeight="1" x14ac:dyDescent="0.25">
      <c r="A7" s="175" t="s">
        <v>319</v>
      </c>
      <c r="B7" s="118" t="s">
        <v>320</v>
      </c>
      <c r="C7" s="116" t="s">
        <v>321</v>
      </c>
      <c r="D7" s="116" t="s">
        <v>322</v>
      </c>
      <c r="E7" s="176">
        <v>47872.94</v>
      </c>
      <c r="F7" s="118" t="s">
        <v>323</v>
      </c>
      <c r="G7" s="113"/>
    </row>
    <row r="8" spans="1:7" ht="31.7" customHeight="1" x14ac:dyDescent="0.25">
      <c r="A8" s="175" t="s">
        <v>324</v>
      </c>
      <c r="B8" s="118" t="s">
        <v>325</v>
      </c>
      <c r="C8" s="116" t="s">
        <v>326</v>
      </c>
      <c r="D8" s="116" t="s">
        <v>327</v>
      </c>
      <c r="E8" s="176">
        <f>1973/12</f>
        <v>164.41666666667001</v>
      </c>
      <c r="F8" s="118" t="s">
        <v>328</v>
      </c>
      <c r="G8" s="177"/>
    </row>
    <row r="9" spans="1:7" ht="15.75" customHeight="1" x14ac:dyDescent="0.25">
      <c r="A9" s="175" t="s">
        <v>329</v>
      </c>
      <c r="B9" s="118" t="s">
        <v>330</v>
      </c>
      <c r="C9" s="116" t="s">
        <v>331</v>
      </c>
      <c r="D9" s="116" t="s">
        <v>322</v>
      </c>
      <c r="E9" s="176">
        <v>1</v>
      </c>
      <c r="F9" s="118"/>
      <c r="G9" s="177"/>
    </row>
    <row r="10" spans="1:7" ht="15.75" customHeight="1" x14ac:dyDescent="0.25">
      <c r="A10" s="175" t="s">
        <v>332</v>
      </c>
      <c r="B10" s="118" t="s">
        <v>333</v>
      </c>
      <c r="C10" s="116"/>
      <c r="D10" s="116"/>
      <c r="E10" s="178">
        <v>4</v>
      </c>
      <c r="F10" s="118" t="s">
        <v>334</v>
      </c>
      <c r="G10" s="177"/>
    </row>
    <row r="11" spans="1:7" ht="78.75" customHeight="1" x14ac:dyDescent="0.25">
      <c r="A11" s="175" t="s">
        <v>335</v>
      </c>
      <c r="B11" s="118" t="s">
        <v>336</v>
      </c>
      <c r="C11" s="116" t="s">
        <v>337</v>
      </c>
      <c r="D11" s="116" t="s">
        <v>322</v>
      </c>
      <c r="E11" s="179">
        <v>1.34</v>
      </c>
      <c r="F11" s="118" t="s">
        <v>338</v>
      </c>
      <c r="G11" s="113"/>
    </row>
    <row r="12" spans="1:7" ht="78.75" customHeight="1" x14ac:dyDescent="0.25">
      <c r="A12" s="175" t="s">
        <v>339</v>
      </c>
      <c r="B12" s="117" t="s">
        <v>340</v>
      </c>
      <c r="C12" s="116" t="s">
        <v>341</v>
      </c>
      <c r="D12" s="116" t="s">
        <v>322</v>
      </c>
      <c r="E12" s="180">
        <v>1.139</v>
      </c>
      <c r="F12" s="181" t="s">
        <v>342</v>
      </c>
      <c r="G12" s="177"/>
    </row>
    <row r="13" spans="1:7" ht="63" customHeight="1" x14ac:dyDescent="0.25">
      <c r="A13" s="175" t="s">
        <v>343</v>
      </c>
      <c r="B13" s="132" t="s">
        <v>344</v>
      </c>
      <c r="C13" s="116" t="s">
        <v>345</v>
      </c>
      <c r="D13" s="116" t="s">
        <v>346</v>
      </c>
      <c r="E13" s="182">
        <v>444.39870291576</v>
      </c>
      <c r="F13" s="118" t="s">
        <v>347</v>
      </c>
      <c r="G13" s="113"/>
    </row>
  </sheetData>
  <mergeCells count="1">
    <mergeCell ref="A2:F2"/>
  </mergeCells>
  <pageMargins left="0.7" right="0.7" top="0.75" bottom="0.75" header="0.3" footer="0.3"/>
  <pageSetup paperSize="9" scale="56" orientation="portrait" cellComments="atEnd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27" customFormat="1" ht="29.45" customHeight="1" x14ac:dyDescent="0.2">
      <c r="A1" s="248" t="s">
        <v>348</v>
      </c>
      <c r="B1" s="248"/>
      <c r="C1" s="248"/>
      <c r="D1" s="248"/>
      <c r="E1" s="248"/>
      <c r="F1" s="248"/>
      <c r="G1" s="248"/>
      <c r="H1" s="248"/>
      <c r="I1" s="248"/>
    </row>
    <row r="2" spans="1:13" s="27" customFormat="1" ht="13.7" customHeight="1" x14ac:dyDescent="0.2">
      <c r="A2" s="28"/>
      <c r="B2" s="28"/>
      <c r="C2" s="28"/>
      <c r="D2" s="28"/>
      <c r="E2" s="28"/>
      <c r="F2" s="28"/>
      <c r="G2" s="28"/>
      <c r="H2" s="28"/>
      <c r="I2" s="28"/>
    </row>
    <row r="3" spans="1:13" s="27" customFormat="1" ht="34.5" customHeight="1" x14ac:dyDescent="0.2">
      <c r="A3" s="200" t="e">
        <f>#REF!</f>
        <v>#REF!</v>
      </c>
      <c r="B3" s="200"/>
      <c r="C3" s="200"/>
      <c r="D3" s="200"/>
      <c r="E3" s="200"/>
      <c r="F3" s="200"/>
      <c r="G3" s="200"/>
      <c r="H3" s="200"/>
      <c r="I3" s="200"/>
    </row>
    <row r="4" spans="1:13" s="4" customFormat="1" ht="15.75" customHeight="1" x14ac:dyDescent="0.2">
      <c r="A4" s="249"/>
      <c r="B4" s="249"/>
      <c r="C4" s="249"/>
      <c r="D4" s="249"/>
      <c r="E4" s="249"/>
      <c r="F4" s="249"/>
      <c r="G4" s="249"/>
      <c r="H4" s="249"/>
      <c r="I4" s="249"/>
    </row>
    <row r="5" spans="1:13" s="29" customFormat="1" ht="36.75" customHeight="1" x14ac:dyDescent="0.35">
      <c r="A5" s="250" t="s">
        <v>13</v>
      </c>
      <c r="B5" s="250" t="s">
        <v>349</v>
      </c>
      <c r="C5" s="250" t="s">
        <v>350</v>
      </c>
      <c r="D5" s="250" t="s">
        <v>351</v>
      </c>
      <c r="E5" s="245" t="s">
        <v>352</v>
      </c>
      <c r="F5" s="245"/>
      <c r="G5" s="245"/>
      <c r="H5" s="245"/>
      <c r="I5" s="245"/>
    </row>
    <row r="6" spans="1:13" s="24" customFormat="1" ht="31.7" customHeight="1" x14ac:dyDescent="0.2">
      <c r="A6" s="250"/>
      <c r="B6" s="250"/>
      <c r="C6" s="250"/>
      <c r="D6" s="250"/>
      <c r="E6" s="30" t="s">
        <v>87</v>
      </c>
      <c r="F6" s="30" t="s">
        <v>88</v>
      </c>
      <c r="G6" s="30" t="s">
        <v>43</v>
      </c>
      <c r="H6" s="30" t="s">
        <v>353</v>
      </c>
      <c r="I6" s="30" t="s">
        <v>354</v>
      </c>
    </row>
    <row r="7" spans="1:13" s="24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4" customFormat="1" ht="13.15" customHeight="1" x14ac:dyDescent="0.2">
      <c r="A8" s="31">
        <v>1</v>
      </c>
      <c r="B8" s="32"/>
      <c r="C8" s="8" t="s">
        <v>225</v>
      </c>
      <c r="D8" s="33"/>
      <c r="E8" s="26">
        <f>'4.3 Отдел 2. Тех.характеристики'!H4/1000</f>
        <v>3.98509</v>
      </c>
      <c r="F8" s="26">
        <f>'4.3 Отдел 2. Тех.характеристики'!I4/1000</f>
        <v>3.1536300000000002</v>
      </c>
      <c r="G8" s="26">
        <f>'4.3 Отдел 2. Тех.характеристики'!J4/1000</f>
        <v>94.532139999999998</v>
      </c>
      <c r="H8" s="26"/>
      <c r="I8" s="26">
        <f>E8+F8+G8</f>
        <v>101.67086</v>
      </c>
      <c r="K8" s="34"/>
      <c r="L8" s="34"/>
      <c r="M8" s="34"/>
    </row>
    <row r="9" spans="1:13" s="24" customFormat="1" ht="38.25" customHeight="1" x14ac:dyDescent="0.2">
      <c r="A9" s="31">
        <v>2</v>
      </c>
      <c r="B9" s="8" t="s">
        <v>355</v>
      </c>
      <c r="C9" s="8" t="s">
        <v>356</v>
      </c>
      <c r="D9" s="104">
        <v>3.9E-2</v>
      </c>
      <c r="E9" s="26">
        <f>E8*D9</f>
        <v>0.15541851000000001</v>
      </c>
      <c r="F9" s="26">
        <f>F8*D9</f>
        <v>0.12299156999999999</v>
      </c>
      <c r="G9" s="26"/>
      <c r="H9" s="26"/>
      <c r="I9" s="26">
        <f>E9+F9</f>
        <v>0.27841008</v>
      </c>
    </row>
    <row r="10" spans="1:13" s="24" customFormat="1" ht="13.15" customHeight="1" x14ac:dyDescent="0.2">
      <c r="A10" s="31"/>
      <c r="B10" s="8"/>
      <c r="C10" s="8"/>
      <c r="D10" s="16"/>
      <c r="E10" s="26"/>
      <c r="F10" s="26"/>
      <c r="G10" s="26"/>
      <c r="H10" s="26"/>
      <c r="I10" s="26"/>
    </row>
    <row r="11" spans="1:13" s="24" customFormat="1" ht="51" customHeight="1" x14ac:dyDescent="0.2">
      <c r="A11" s="31">
        <v>3</v>
      </c>
      <c r="B11" s="8" t="s">
        <v>357</v>
      </c>
      <c r="C11" s="8" t="s">
        <v>305</v>
      </c>
      <c r="D11" s="104">
        <v>2.1000000000000001E-2</v>
      </c>
      <c r="E11" s="26">
        <f>(E8+E9)*D11</f>
        <v>8.6950678710000007E-2</v>
      </c>
      <c r="F11" s="26"/>
      <c r="G11" s="26"/>
      <c r="H11" s="26" t="s">
        <v>108</v>
      </c>
      <c r="I11" s="26">
        <f>E11</f>
        <v>8.6950678710000007E-2</v>
      </c>
    </row>
    <row r="12" spans="1:13" s="24" customFormat="1" ht="45" customHeight="1" x14ac:dyDescent="0.2">
      <c r="A12" s="31">
        <v>4</v>
      </c>
      <c r="B12" s="8" t="s">
        <v>358</v>
      </c>
      <c r="C12" s="8" t="s">
        <v>359</v>
      </c>
      <c r="D12" s="16">
        <v>5.6000000000000001E-2</v>
      </c>
      <c r="E12" s="26"/>
      <c r="F12" s="26"/>
      <c r="G12" s="26"/>
      <c r="H12" s="26">
        <f>(G8+F8)*D12</f>
        <v>5.4704031200000003</v>
      </c>
      <c r="I12" s="26">
        <f>H12</f>
        <v>5.4704031200000003</v>
      </c>
      <c r="J12" s="35" t="s">
        <v>360</v>
      </c>
    </row>
    <row r="13" spans="1:13" s="24" customFormat="1" ht="13.15" customHeight="1" x14ac:dyDescent="0.2">
      <c r="A13" s="31"/>
      <c r="B13" s="8"/>
      <c r="C13" s="8"/>
      <c r="D13" s="16"/>
      <c r="E13" s="26"/>
      <c r="F13" s="26"/>
      <c r="G13" s="26"/>
      <c r="H13" s="26"/>
      <c r="I13" s="26"/>
    </row>
    <row r="14" spans="1:13" s="24" customFormat="1" ht="39.6" customHeight="1" x14ac:dyDescent="0.2">
      <c r="A14" s="31">
        <v>5</v>
      </c>
      <c r="B14" s="8" t="s">
        <v>308</v>
      </c>
      <c r="C14" s="8" t="s">
        <v>361</v>
      </c>
      <c r="D14" s="104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6"/>
      <c r="F14" s="26"/>
      <c r="G14" s="26"/>
      <c r="H14" s="26">
        <f>(I8+I9+I11+I12)*D14*1</f>
        <v>2.3006417510044002</v>
      </c>
      <c r="I14" s="26">
        <f>H14</f>
        <v>2.3006417510044002</v>
      </c>
      <c r="J14" s="36">
        <f>(I8+I9+I11+I12)/1000</f>
        <v>0.10750662387871</v>
      </c>
    </row>
    <row r="15" spans="1:13" s="24" customFormat="1" ht="13.15" customHeight="1" x14ac:dyDescent="0.2">
      <c r="A15" s="31"/>
      <c r="B15" s="8"/>
      <c r="C15" s="8"/>
      <c r="D15" s="16"/>
      <c r="E15" s="26"/>
      <c r="F15" s="26"/>
      <c r="G15" s="26"/>
      <c r="H15" s="26"/>
      <c r="I15" s="26"/>
    </row>
    <row r="16" spans="1:13" s="24" customFormat="1" ht="39.6" customHeight="1" x14ac:dyDescent="0.2">
      <c r="A16" s="31">
        <v>6</v>
      </c>
      <c r="B16" s="8" t="s">
        <v>362</v>
      </c>
      <c r="C16" s="8" t="s">
        <v>363</v>
      </c>
      <c r="D16" s="16">
        <v>0</v>
      </c>
      <c r="E16" s="26"/>
      <c r="F16" s="26"/>
      <c r="G16" s="26"/>
      <c r="H16" s="26">
        <f>(E8+F8)*D16</f>
        <v>0</v>
      </c>
      <c r="I16" s="26">
        <f>H16</f>
        <v>0</v>
      </c>
      <c r="J16" s="35" t="s">
        <v>364</v>
      </c>
    </row>
    <row r="17" spans="1:10" s="24" customFormat="1" ht="81.75" customHeight="1" x14ac:dyDescent="0.2">
      <c r="A17" s="31">
        <v>7</v>
      </c>
      <c r="B17" s="8" t="s">
        <v>362</v>
      </c>
      <c r="C17" s="8" t="s">
        <v>365</v>
      </c>
      <c r="D17" s="16">
        <v>0</v>
      </c>
      <c r="E17" s="26"/>
      <c r="F17" s="26"/>
      <c r="G17" s="26"/>
      <c r="H17" s="26">
        <f>(E9+F9)*D17</f>
        <v>0</v>
      </c>
      <c r="I17" s="26">
        <f>H17</f>
        <v>0</v>
      </c>
      <c r="J17" s="35"/>
    </row>
    <row r="18" spans="1:10" s="24" customFormat="1" ht="13.15" customHeight="1" x14ac:dyDescent="0.2">
      <c r="A18" s="31"/>
      <c r="B18" s="8"/>
      <c r="C18" s="8"/>
      <c r="D18" s="16"/>
      <c r="E18" s="26"/>
      <c r="F18" s="26"/>
      <c r="G18" s="26"/>
      <c r="H18" s="26"/>
      <c r="I18" s="26"/>
    </row>
    <row r="19" spans="1:10" s="38" customFormat="1" ht="13.15" customHeight="1" x14ac:dyDescent="0.2">
      <c r="A19" s="31">
        <v>8</v>
      </c>
      <c r="B19" s="8"/>
      <c r="C19" s="8" t="s">
        <v>366</v>
      </c>
      <c r="D19" s="37"/>
      <c r="E19" s="26">
        <f>SUM(E8:E18)</f>
        <v>4.2274591887100001</v>
      </c>
      <c r="F19" s="26"/>
      <c r="G19" s="26">
        <f>SUM(G8:G18)</f>
        <v>94.532139999999998</v>
      </c>
      <c r="H19" s="26">
        <f>SUM(H8:H18)</f>
        <v>7.7710448710044</v>
      </c>
      <c r="I19" s="26">
        <f>SUM(I8:I18)</f>
        <v>109.80726562971</v>
      </c>
    </row>
    <row r="20" spans="1:10" s="24" customFormat="1" ht="51" customHeight="1" x14ac:dyDescent="0.2">
      <c r="A20" s="31">
        <v>9</v>
      </c>
      <c r="B20" s="8" t="s">
        <v>367</v>
      </c>
      <c r="C20" s="8" t="s">
        <v>237</v>
      </c>
      <c r="D20" s="39">
        <v>0.03</v>
      </c>
      <c r="E20" s="26">
        <f>E19*3%</f>
        <v>0.12682377566129999</v>
      </c>
      <c r="F20" s="26"/>
      <c r="G20" s="26">
        <f>G19*3%</f>
        <v>2.8359641999999998</v>
      </c>
      <c r="H20" s="26">
        <f>H19*3%</f>
        <v>0.23313134613013001</v>
      </c>
      <c r="I20" s="26">
        <f>I19*3%</f>
        <v>3.2942179688914002</v>
      </c>
    </row>
    <row r="21" spans="1:10" s="27" customFormat="1" ht="13.15" customHeight="1" x14ac:dyDescent="0.2">
      <c r="A21" s="31">
        <v>10</v>
      </c>
      <c r="B21" s="8"/>
      <c r="C21" s="8" t="s">
        <v>368</v>
      </c>
      <c r="D21" s="40"/>
      <c r="E21" s="26"/>
      <c r="F21" s="26"/>
      <c r="G21" s="26"/>
      <c r="H21" s="26"/>
      <c r="I21" s="26">
        <f>I19+I20</f>
        <v>113.10148359861</v>
      </c>
    </row>
    <row r="22" spans="1:10" s="27" customFormat="1" ht="13.15" customHeight="1" x14ac:dyDescent="0.2">
      <c r="A22" s="41"/>
      <c r="B22" s="42"/>
      <c r="C22" s="42"/>
      <c r="D22" s="43"/>
      <c r="E22" s="44"/>
      <c r="F22" s="44"/>
      <c r="G22" s="44"/>
      <c r="H22" s="44"/>
      <c r="I22" s="44"/>
    </row>
    <row r="23" spans="1:10" x14ac:dyDescent="0.25">
      <c r="A23" s="4" t="s">
        <v>369</v>
      </c>
      <c r="B23" s="45"/>
      <c r="C23" s="4"/>
      <c r="D23" s="24"/>
      <c r="E23" s="24"/>
      <c r="F23" s="24"/>
      <c r="G23" s="24"/>
      <c r="H23" s="24"/>
      <c r="I23" s="24"/>
    </row>
    <row r="24" spans="1:10" x14ac:dyDescent="0.25">
      <c r="A24" s="25" t="s">
        <v>370</v>
      </c>
      <c r="B24" s="45"/>
      <c r="C24" s="4"/>
      <c r="D24" s="24"/>
      <c r="E24" s="24"/>
      <c r="F24" s="24"/>
      <c r="G24" s="24"/>
      <c r="H24" s="24"/>
      <c r="I24" s="24"/>
    </row>
    <row r="25" spans="1:10" x14ac:dyDescent="0.25">
      <c r="A25" s="4"/>
      <c r="B25" s="45"/>
      <c r="C25" s="4"/>
      <c r="D25" s="24"/>
      <c r="E25" s="24"/>
      <c r="F25" s="24"/>
      <c r="G25" s="24"/>
      <c r="H25" s="24"/>
      <c r="I25" s="24"/>
    </row>
    <row r="26" spans="1:10" x14ac:dyDescent="0.25">
      <c r="A26" s="4" t="s">
        <v>371</v>
      </c>
      <c r="B26" s="45"/>
      <c r="C26" s="4"/>
      <c r="D26" s="24"/>
      <c r="E26" s="24"/>
      <c r="F26" s="24"/>
      <c r="G26" s="24"/>
      <c r="H26" s="24"/>
      <c r="I26" s="24"/>
    </row>
    <row r="27" spans="1:10" x14ac:dyDescent="0.25">
      <c r="A27" s="25" t="s">
        <v>372</v>
      </c>
      <c r="B27" s="45"/>
      <c r="C27" s="4"/>
      <c r="D27" s="24"/>
      <c r="E27" s="24"/>
      <c r="F27" s="24"/>
      <c r="G27" s="24"/>
      <c r="H27" s="24"/>
      <c r="I27" s="24"/>
    </row>
    <row r="28" spans="1:10" x14ac:dyDescent="0.25">
      <c r="B28" s="46"/>
    </row>
    <row r="29" spans="1:10" x14ac:dyDescent="0.25">
      <c r="B29" s="46"/>
    </row>
    <row r="30" spans="1:10" x14ac:dyDescent="0.25">
      <c r="B30" s="46"/>
    </row>
    <row r="31" spans="1:10" x14ac:dyDescent="0.25">
      <c r="B31" s="46"/>
    </row>
    <row r="32" spans="1:10" x14ac:dyDescent="0.25">
      <c r="B32" s="46"/>
    </row>
    <row r="33" spans="2:2" x14ac:dyDescent="0.25">
      <c r="B33" s="46"/>
    </row>
    <row r="34" spans="2:2" x14ac:dyDescent="0.25">
      <c r="B34" s="46"/>
    </row>
    <row r="35" spans="2:2" x14ac:dyDescent="0.25">
      <c r="B35" s="46"/>
    </row>
    <row r="36" spans="2:2" x14ac:dyDescent="0.25">
      <c r="B36" s="46"/>
    </row>
    <row r="37" spans="2:2" x14ac:dyDescent="0.25">
      <c r="B37" s="46"/>
    </row>
    <row r="38" spans="2:2" x14ac:dyDescent="0.25">
      <c r="B38" s="46"/>
    </row>
    <row r="39" spans="2:2" x14ac:dyDescent="0.25">
      <c r="B39" s="46"/>
    </row>
    <row r="40" spans="2:2" x14ac:dyDescent="0.25">
      <c r="B40" s="46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255" t="s">
        <v>373</v>
      </c>
      <c r="O2" s="255"/>
    </row>
    <row r="3" spans="1:16" x14ac:dyDescent="0.25">
      <c r="A3" s="256" t="s">
        <v>374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</row>
    <row r="5" spans="1:16" ht="37.5" customHeight="1" x14ac:dyDescent="0.25">
      <c r="A5" s="257" t="s">
        <v>375</v>
      </c>
      <c r="B5" s="260" t="s">
        <v>376</v>
      </c>
      <c r="C5" s="263" t="s">
        <v>377</v>
      </c>
      <c r="D5" s="266" t="s">
        <v>378</v>
      </c>
      <c r="E5" s="267"/>
      <c r="F5" s="267"/>
      <c r="G5" s="267"/>
      <c r="H5" s="267"/>
      <c r="I5" s="266" t="s">
        <v>379</v>
      </c>
      <c r="J5" s="267"/>
      <c r="K5" s="267"/>
      <c r="L5" s="267"/>
      <c r="M5" s="267"/>
      <c r="N5" s="267"/>
      <c r="O5" s="47" t="s">
        <v>380</v>
      </c>
    </row>
    <row r="6" spans="1:16" s="50" customFormat="1" ht="150" customHeight="1" x14ac:dyDescent="0.25">
      <c r="A6" s="258"/>
      <c r="B6" s="261"/>
      <c r="C6" s="264"/>
      <c r="D6" s="263" t="s">
        <v>381</v>
      </c>
      <c r="E6" s="268" t="s">
        <v>382</v>
      </c>
      <c r="F6" s="269"/>
      <c r="G6" s="270"/>
      <c r="H6" s="48" t="s">
        <v>383</v>
      </c>
      <c r="I6" s="271" t="s">
        <v>384</v>
      </c>
      <c r="J6" s="271" t="s">
        <v>381</v>
      </c>
      <c r="K6" s="272" t="s">
        <v>382</v>
      </c>
      <c r="L6" s="272"/>
      <c r="M6" s="272"/>
      <c r="N6" s="48" t="s">
        <v>383</v>
      </c>
      <c r="O6" s="49" t="s">
        <v>385</v>
      </c>
    </row>
    <row r="7" spans="1:16" s="50" customFormat="1" ht="30.75" customHeight="1" x14ac:dyDescent="0.25">
      <c r="A7" s="259"/>
      <c r="B7" s="262"/>
      <c r="C7" s="265"/>
      <c r="D7" s="265"/>
      <c r="E7" s="47" t="s">
        <v>87</v>
      </c>
      <c r="F7" s="47" t="s">
        <v>88</v>
      </c>
      <c r="G7" s="47" t="s">
        <v>43</v>
      </c>
      <c r="H7" s="51" t="s">
        <v>386</v>
      </c>
      <c r="I7" s="271"/>
      <c r="J7" s="271"/>
      <c r="K7" s="47" t="s">
        <v>87</v>
      </c>
      <c r="L7" s="47" t="s">
        <v>88</v>
      </c>
      <c r="M7" s="47" t="s">
        <v>43</v>
      </c>
      <c r="N7" s="51" t="s">
        <v>386</v>
      </c>
      <c r="O7" s="47" t="s">
        <v>387</v>
      </c>
    </row>
    <row r="8" spans="1:16" s="50" customFormat="1" x14ac:dyDescent="0.25">
      <c r="A8" s="52">
        <v>1</v>
      </c>
      <c r="B8" s="52">
        <v>2</v>
      </c>
      <c r="C8" s="52">
        <v>3</v>
      </c>
      <c r="D8" s="52">
        <v>4</v>
      </c>
      <c r="E8" s="52">
        <v>5</v>
      </c>
      <c r="F8" s="52">
        <v>6</v>
      </c>
      <c r="G8" s="52">
        <v>7</v>
      </c>
      <c r="H8" s="52">
        <v>8</v>
      </c>
      <c r="I8" s="52">
        <v>9</v>
      </c>
      <c r="J8" s="52">
        <v>10</v>
      </c>
      <c r="K8" s="52">
        <v>11</v>
      </c>
      <c r="L8" s="52">
        <v>12</v>
      </c>
      <c r="M8" s="52">
        <v>13</v>
      </c>
      <c r="N8" s="52">
        <v>14</v>
      </c>
      <c r="O8" s="52">
        <v>15</v>
      </c>
    </row>
    <row r="9" spans="1:16" s="50" customFormat="1" ht="102.75" customHeight="1" x14ac:dyDescent="0.25">
      <c r="A9" s="52">
        <v>1</v>
      </c>
      <c r="B9" s="257" t="s">
        <v>388</v>
      </c>
      <c r="C9" s="53" t="s">
        <v>389</v>
      </c>
      <c r="D9" s="54">
        <f t="shared" ref="D9:D15" si="0">SUM(E9:G9)</f>
        <v>583.41863000000001</v>
      </c>
      <c r="E9" s="54">
        <f>340656.93/1000</f>
        <v>340.65692999999999</v>
      </c>
      <c r="F9" s="54">
        <f>242761.7/1000</f>
        <v>242.76169999999999</v>
      </c>
      <c r="G9" s="54">
        <v>0</v>
      </c>
      <c r="H9" s="54">
        <f>(713.49*0.8)/1000</f>
        <v>0.57079199999999997</v>
      </c>
      <c r="I9" s="54">
        <v>11656.266250000001</v>
      </c>
      <c r="J9" s="54">
        <f t="shared" ref="J9:J15" si="1">K9+L9+M9</f>
        <v>3553.0194566999999</v>
      </c>
      <c r="K9" s="54">
        <f>E9*H22</f>
        <v>2074.6007036999999</v>
      </c>
      <c r="L9" s="54">
        <f>F9*H22</f>
        <v>1478.4187529999999</v>
      </c>
      <c r="M9" s="54">
        <f>G9*H24</f>
        <v>0</v>
      </c>
      <c r="N9" s="54">
        <f>H9*H25</f>
        <v>6.48990504</v>
      </c>
      <c r="O9" s="55">
        <f t="shared" ref="O9:O15" si="2">N9/(L9+M9)</f>
        <v>4.389761038157E-3</v>
      </c>
    </row>
    <row r="10" spans="1:16" s="50" customFormat="1" ht="54.75" customHeight="1" x14ac:dyDescent="0.25">
      <c r="A10" s="51">
        <v>2</v>
      </c>
      <c r="B10" s="259"/>
      <c r="C10" s="56" t="s">
        <v>390</v>
      </c>
      <c r="D10" s="54">
        <f t="shared" si="0"/>
        <v>2228.558</v>
      </c>
      <c r="E10" s="54">
        <f>430700/1000</f>
        <v>430.7</v>
      </c>
      <c r="F10" s="54">
        <f>1797858/1000</f>
        <v>1797.8579999999999</v>
      </c>
      <c r="G10" s="54">
        <v>0</v>
      </c>
      <c r="H10" s="54">
        <f>1685/1000</f>
        <v>1.6850000000000001</v>
      </c>
      <c r="I10" s="54">
        <f>15834377.63/1000</f>
        <v>15834.377630000001</v>
      </c>
      <c r="J10" s="54">
        <f t="shared" si="1"/>
        <v>14351.91352</v>
      </c>
      <c r="K10" s="54">
        <f>E10*I22</f>
        <v>2773.7080000000001</v>
      </c>
      <c r="L10" s="54">
        <f>F10*I22</f>
        <v>11578.20552</v>
      </c>
      <c r="M10" s="54">
        <f>G10*I24</f>
        <v>0</v>
      </c>
      <c r="N10" s="54">
        <f>H10*I25</f>
        <v>14.1877</v>
      </c>
      <c r="O10" s="55">
        <f t="shared" si="2"/>
        <v>1.2253798721652001E-3</v>
      </c>
      <c r="P10" s="57"/>
    </row>
    <row r="11" spans="1:16" s="50" customFormat="1" ht="24.6" customHeight="1" x14ac:dyDescent="0.25">
      <c r="A11" s="52">
        <v>3</v>
      </c>
      <c r="B11" s="257" t="s">
        <v>391</v>
      </c>
      <c r="C11" s="56" t="s">
        <v>392</v>
      </c>
      <c r="D11" s="54">
        <f t="shared" si="0"/>
        <v>22378.080000000002</v>
      </c>
      <c r="E11" s="54">
        <v>15858.44</v>
      </c>
      <c r="F11" s="54">
        <v>6519.64</v>
      </c>
      <c r="G11" s="54">
        <v>0</v>
      </c>
      <c r="H11" s="54">
        <v>9.7100000000000009</v>
      </c>
      <c r="I11" s="54">
        <v>170961.79</v>
      </c>
      <c r="J11" s="54">
        <f t="shared" si="1"/>
        <v>129121.52159999999</v>
      </c>
      <c r="K11" s="54">
        <f>E11*J22</f>
        <v>91503.198799999998</v>
      </c>
      <c r="L11" s="54">
        <f>F11*J22</f>
        <v>37618.322800000002</v>
      </c>
      <c r="M11" s="54">
        <f>G11*J24</f>
        <v>0</v>
      </c>
      <c r="N11" s="54">
        <f>H11*J25</f>
        <v>154.48609999999999</v>
      </c>
      <c r="O11" s="55">
        <f t="shared" si="2"/>
        <v>4.1066716562919003E-3</v>
      </c>
    </row>
    <row r="12" spans="1:16" s="50" customFormat="1" ht="31.9" customHeight="1" x14ac:dyDescent="0.25">
      <c r="A12" s="51">
        <v>4</v>
      </c>
      <c r="B12" s="259"/>
      <c r="C12" s="56" t="s">
        <v>393</v>
      </c>
      <c r="D12" s="54">
        <f t="shared" si="0"/>
        <v>93405.18</v>
      </c>
      <c r="E12" s="54">
        <v>53163.12</v>
      </c>
      <c r="F12" s="54">
        <v>40153.81</v>
      </c>
      <c r="G12" s="54">
        <v>88.25</v>
      </c>
      <c r="H12" s="54">
        <v>33.76</v>
      </c>
      <c r="I12" s="54">
        <v>725870.83</v>
      </c>
      <c r="J12" s="54">
        <f t="shared" si="1"/>
        <v>538845.47</v>
      </c>
      <c r="K12" s="54">
        <v>306751.18</v>
      </c>
      <c r="L12" s="54">
        <v>231687.44</v>
      </c>
      <c r="M12" s="54">
        <v>406.85</v>
      </c>
      <c r="N12" s="54">
        <v>537.07000000000005</v>
      </c>
      <c r="O12" s="55">
        <f t="shared" si="2"/>
        <v>2.3140164284093001E-3</v>
      </c>
    </row>
    <row r="13" spans="1:16" s="50" customFormat="1" ht="60" customHeight="1" x14ac:dyDescent="0.25">
      <c r="A13" s="52">
        <v>5</v>
      </c>
      <c r="B13" s="257" t="s">
        <v>394</v>
      </c>
      <c r="C13" s="53" t="s">
        <v>395</v>
      </c>
      <c r="D13" s="54">
        <f t="shared" si="0"/>
        <v>52119.83</v>
      </c>
      <c r="E13" s="54">
        <v>15198.48</v>
      </c>
      <c r="F13" s="54">
        <v>31977.3</v>
      </c>
      <c r="G13" s="54">
        <v>4944.05</v>
      </c>
      <c r="H13" s="54">
        <v>16.13</v>
      </c>
      <c r="I13" s="54">
        <v>2024759.04</v>
      </c>
      <c r="J13" s="54">
        <f t="shared" si="1"/>
        <v>267889.86339999997</v>
      </c>
      <c r="K13" s="54">
        <f>E13*L22</f>
        <v>79488.050399999993</v>
      </c>
      <c r="L13" s="54">
        <f>F13*L22</f>
        <v>167241.27900000001</v>
      </c>
      <c r="M13" s="54">
        <f>G13*L24</f>
        <v>21160.534</v>
      </c>
      <c r="N13" s="54">
        <f>H13*L25</f>
        <v>231.46549999999999</v>
      </c>
      <c r="O13" s="55">
        <f t="shared" si="2"/>
        <v>1.2285736337367E-3</v>
      </c>
    </row>
    <row r="14" spans="1:16" s="50" customFormat="1" ht="39.6" customHeight="1" x14ac:dyDescent="0.25">
      <c r="A14" s="51">
        <v>6</v>
      </c>
      <c r="B14" s="259"/>
      <c r="C14" s="56" t="s">
        <v>396</v>
      </c>
      <c r="D14" s="54">
        <f t="shared" si="0"/>
        <v>89613.6</v>
      </c>
      <c r="E14" s="54">
        <v>44598.73</v>
      </c>
      <c r="F14" s="54">
        <v>40017</v>
      </c>
      <c r="G14" s="54">
        <v>4997.87</v>
      </c>
      <c r="H14" s="54">
        <f>7.69+81.8</f>
        <v>89.49</v>
      </c>
      <c r="I14" s="54">
        <v>738823.57</v>
      </c>
      <c r="J14" s="54">
        <f t="shared" si="1"/>
        <v>511472.85759999999</v>
      </c>
      <c r="K14" s="54">
        <f>E14*M22</f>
        <v>257334.6721</v>
      </c>
      <c r="L14" s="54">
        <f>F14*M22</f>
        <v>230898.09</v>
      </c>
      <c r="M14" s="54">
        <f>G14*M24</f>
        <v>23240.095499999999</v>
      </c>
      <c r="N14" s="54">
        <f>H14*M25</f>
        <v>1423.7859000000001</v>
      </c>
      <c r="O14" s="55">
        <f t="shared" si="2"/>
        <v>5.6024083795152002E-3</v>
      </c>
    </row>
    <row r="15" spans="1:16" s="50" customFormat="1" ht="46.15" customHeight="1" x14ac:dyDescent="0.25">
      <c r="A15" s="52">
        <v>7</v>
      </c>
      <c r="B15" s="58" t="s">
        <v>397</v>
      </c>
      <c r="C15" s="56" t="s">
        <v>398</v>
      </c>
      <c r="D15" s="54">
        <f t="shared" si="0"/>
        <v>981651.63</v>
      </c>
      <c r="E15" s="54">
        <v>448398.51</v>
      </c>
      <c r="F15" s="54">
        <v>486091.33</v>
      </c>
      <c r="G15" s="54">
        <v>47161.79</v>
      </c>
      <c r="H15" s="54">
        <v>143.03</v>
      </c>
      <c r="I15" s="54">
        <v>16001185.93</v>
      </c>
      <c r="J15" s="54">
        <f t="shared" si="1"/>
        <v>6269109.2307000002</v>
      </c>
      <c r="K15" s="54">
        <f>123094.59*N22+325303.92*N23</f>
        <v>2908258.6863000002</v>
      </c>
      <c r="L15" s="54">
        <f>110226.08*N22+375865.25*N23</f>
        <v>3158998.0832000002</v>
      </c>
      <c r="M15" s="54">
        <f>G15*N24</f>
        <v>201852.46119999999</v>
      </c>
      <c r="N15" s="54">
        <f>H15*N25</f>
        <v>1185.7186999999999</v>
      </c>
      <c r="O15" s="55">
        <f t="shared" si="2"/>
        <v>3.5280316227560002E-4</v>
      </c>
    </row>
    <row r="16" spans="1:16" s="50" customFormat="1" ht="24" customHeight="1" x14ac:dyDescent="0.25">
      <c r="A16" s="59"/>
      <c r="B16" s="59"/>
      <c r="C16" s="60" t="s">
        <v>399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2">
        <f>(O9+O10+O11+O12+O13+O14+O15)/7</f>
        <v>2.7456591672216E-3</v>
      </c>
    </row>
    <row r="17" spans="1:15" s="50" customFormat="1" ht="18.75" customHeight="1" x14ac:dyDescent="0.25">
      <c r="A17" s="63"/>
      <c r="B17" s="63"/>
      <c r="C17" s="64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ht="21.2" customHeight="1" x14ac:dyDescent="0.25">
      <c r="C18" s="67" t="s">
        <v>400</v>
      </c>
    </row>
    <row r="19" spans="1:15" ht="30.75" customHeight="1" x14ac:dyDescent="0.25">
      <c r="L19" s="68"/>
    </row>
    <row r="20" spans="1:15" ht="15" customHeight="1" outlineLevel="1" x14ac:dyDescent="0.25">
      <c r="G20" s="254" t="s">
        <v>401</v>
      </c>
      <c r="H20" s="254"/>
      <c r="I20" s="254"/>
      <c r="J20" s="254"/>
      <c r="K20" s="254"/>
      <c r="L20" s="254"/>
      <c r="M20" s="254"/>
      <c r="N20" s="254"/>
    </row>
    <row r="21" spans="1:15" ht="15.75" customHeight="1" outlineLevel="1" x14ac:dyDescent="0.25">
      <c r="G21" s="69"/>
      <c r="H21" s="69" t="s">
        <v>402</v>
      </c>
      <c r="I21" s="69" t="s">
        <v>403</v>
      </c>
      <c r="J21" s="69" t="s">
        <v>404</v>
      </c>
      <c r="K21" s="70" t="s">
        <v>405</v>
      </c>
      <c r="L21" s="69" t="s">
        <v>406</v>
      </c>
      <c r="M21" s="69" t="s">
        <v>407</v>
      </c>
      <c r="N21" s="69" t="s">
        <v>408</v>
      </c>
      <c r="O21" s="63"/>
    </row>
    <row r="22" spans="1:15" ht="15.75" customHeight="1" outlineLevel="1" x14ac:dyDescent="0.25">
      <c r="G22" s="252" t="s">
        <v>409</v>
      </c>
      <c r="H22" s="251">
        <v>6.09</v>
      </c>
      <c r="I22" s="253">
        <v>6.44</v>
      </c>
      <c r="J22" s="251">
        <v>5.77</v>
      </c>
      <c r="K22" s="253">
        <v>5.77</v>
      </c>
      <c r="L22" s="251">
        <v>5.23</v>
      </c>
      <c r="M22" s="251">
        <v>5.77</v>
      </c>
      <c r="N22" s="71">
        <v>6.29</v>
      </c>
      <c r="O22" t="s">
        <v>410</v>
      </c>
    </row>
    <row r="23" spans="1:15" ht="15.75" customHeight="1" outlineLevel="1" x14ac:dyDescent="0.25">
      <c r="G23" s="252"/>
      <c r="H23" s="251"/>
      <c r="I23" s="253"/>
      <c r="J23" s="251"/>
      <c r="K23" s="253"/>
      <c r="L23" s="251"/>
      <c r="M23" s="251"/>
      <c r="N23" s="71">
        <v>6.56</v>
      </c>
      <c r="O23" t="s">
        <v>411</v>
      </c>
    </row>
    <row r="24" spans="1:15" ht="15.75" customHeight="1" outlineLevel="1" x14ac:dyDescent="0.25">
      <c r="G24" s="72" t="s">
        <v>412</v>
      </c>
      <c r="H24" s="71">
        <v>4.46</v>
      </c>
      <c r="I24" s="70">
        <v>4.28</v>
      </c>
      <c r="J24" s="71">
        <v>4.6500000000000004</v>
      </c>
      <c r="K24" s="70">
        <v>4.6100000000000003</v>
      </c>
      <c r="L24" s="71">
        <v>4.28</v>
      </c>
      <c r="M24" s="71">
        <v>4.6500000000000004</v>
      </c>
      <c r="N24" s="71">
        <v>4.28</v>
      </c>
      <c r="O24" s="63"/>
    </row>
    <row r="25" spans="1:15" ht="15.75" customHeight="1" outlineLevel="1" x14ac:dyDescent="0.25">
      <c r="G25" s="72" t="s">
        <v>386</v>
      </c>
      <c r="H25" s="71">
        <v>11.37</v>
      </c>
      <c r="I25" s="71">
        <v>8.42</v>
      </c>
      <c r="J25" s="71">
        <v>15.91</v>
      </c>
      <c r="K25" s="70">
        <v>15.91</v>
      </c>
      <c r="L25" s="71">
        <v>14.35</v>
      </c>
      <c r="M25" s="71">
        <v>15.91</v>
      </c>
      <c r="N25" s="71">
        <v>8.2899999999999991</v>
      </c>
      <c r="O25" s="63"/>
    </row>
    <row r="26" spans="1:15" ht="31.7" customHeight="1" outlineLevel="1" x14ac:dyDescent="0.25">
      <c r="G26" s="72" t="s">
        <v>413</v>
      </c>
      <c r="H26" s="71">
        <v>3.83</v>
      </c>
      <c r="I26" s="70">
        <v>3.95</v>
      </c>
      <c r="J26" s="71">
        <v>4.1500000000000004</v>
      </c>
      <c r="K26" s="70">
        <v>3.83</v>
      </c>
      <c r="L26" s="70">
        <v>3.95</v>
      </c>
      <c r="M26" s="71">
        <v>4.09</v>
      </c>
      <c r="N26" s="71">
        <v>3.95</v>
      </c>
      <c r="O26" s="63"/>
    </row>
    <row r="27" spans="1:15" ht="31.7" customHeight="1" outlineLevel="1" x14ac:dyDescent="0.25">
      <c r="G27" s="72" t="s">
        <v>414</v>
      </c>
      <c r="H27" s="71">
        <v>3.91</v>
      </c>
      <c r="I27" s="70">
        <v>3.99</v>
      </c>
      <c r="J27" s="71">
        <v>4.2300000000000004</v>
      </c>
      <c r="K27" s="70">
        <v>3.91</v>
      </c>
      <c r="L27" s="70">
        <v>3.99</v>
      </c>
      <c r="M27" s="71">
        <v>4.17</v>
      </c>
      <c r="N27" s="71">
        <v>3.99</v>
      </c>
      <c r="O27" s="63"/>
    </row>
    <row r="28" spans="1:15" ht="15.75" customHeight="1" outlineLevel="1" x14ac:dyDescent="0.25">
      <c r="G28" s="72" t="s">
        <v>353</v>
      </c>
      <c r="H28" s="71">
        <v>8.7899999999999991</v>
      </c>
      <c r="I28" s="71">
        <v>8.7899999999999991</v>
      </c>
      <c r="J28" s="71">
        <v>9.19</v>
      </c>
      <c r="K28" s="70">
        <v>9.1</v>
      </c>
      <c r="L28" s="71">
        <v>8.42</v>
      </c>
      <c r="M28" s="71">
        <v>9.19</v>
      </c>
      <c r="N28" s="71">
        <v>8.42</v>
      </c>
      <c r="O28" s="63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63" customWidth="1"/>
  </cols>
  <sheetData>
    <row r="2" spans="1:18" ht="18.75" customHeight="1" x14ac:dyDescent="0.25">
      <c r="A2" s="273" t="s">
        <v>415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</row>
    <row r="4" spans="1:18" ht="36.75" customHeight="1" x14ac:dyDescent="0.25">
      <c r="A4" s="257" t="s">
        <v>375</v>
      </c>
      <c r="B4" s="260" t="s">
        <v>376</v>
      </c>
      <c r="C4" s="263" t="s">
        <v>416</v>
      </c>
      <c r="D4" s="263" t="s">
        <v>417</v>
      </c>
      <c r="E4" s="266" t="s">
        <v>418</v>
      </c>
      <c r="F4" s="267"/>
      <c r="G4" s="267"/>
      <c r="H4" s="267"/>
      <c r="I4" s="267"/>
      <c r="J4" s="267"/>
      <c r="K4" s="267"/>
      <c r="L4" s="267"/>
      <c r="M4" s="267"/>
      <c r="N4" s="274" t="s">
        <v>419</v>
      </c>
      <c r="O4" s="275"/>
      <c r="P4" s="275"/>
      <c r="Q4" s="275"/>
      <c r="R4" s="276"/>
    </row>
    <row r="5" spans="1:18" ht="60" customHeight="1" x14ac:dyDescent="0.25">
      <c r="A5" s="258"/>
      <c r="B5" s="261"/>
      <c r="C5" s="264"/>
      <c r="D5" s="264"/>
      <c r="E5" s="271" t="s">
        <v>420</v>
      </c>
      <c r="F5" s="271" t="s">
        <v>421</v>
      </c>
      <c r="G5" s="268" t="s">
        <v>382</v>
      </c>
      <c r="H5" s="269"/>
      <c r="I5" s="269"/>
      <c r="J5" s="270"/>
      <c r="K5" s="271" t="s">
        <v>422</v>
      </c>
      <c r="L5" s="271"/>
      <c r="M5" s="271"/>
      <c r="N5" s="74" t="s">
        <v>423</v>
      </c>
      <c r="O5" s="74" t="s">
        <v>424</v>
      </c>
      <c r="P5" s="74" t="s">
        <v>425</v>
      </c>
      <c r="Q5" s="75" t="s">
        <v>426</v>
      </c>
      <c r="R5" s="74" t="s">
        <v>427</v>
      </c>
    </row>
    <row r="6" spans="1:18" ht="49.7" customHeight="1" x14ac:dyDescent="0.25">
      <c r="A6" s="259"/>
      <c r="B6" s="262"/>
      <c r="C6" s="265"/>
      <c r="D6" s="265"/>
      <c r="E6" s="271"/>
      <c r="F6" s="271"/>
      <c r="G6" s="47" t="s">
        <v>87</v>
      </c>
      <c r="H6" s="47" t="s">
        <v>88</v>
      </c>
      <c r="I6" s="47" t="s">
        <v>43</v>
      </c>
      <c r="J6" s="47" t="s">
        <v>353</v>
      </c>
      <c r="K6" s="47" t="s">
        <v>423</v>
      </c>
      <c r="L6" s="47" t="s">
        <v>424</v>
      </c>
      <c r="M6" s="47" t="s">
        <v>425</v>
      </c>
      <c r="N6" s="47" t="s">
        <v>428</v>
      </c>
      <c r="O6" s="47" t="s">
        <v>429</v>
      </c>
      <c r="P6" s="47" t="s">
        <v>430</v>
      </c>
      <c r="Q6" s="48" t="s">
        <v>431</v>
      </c>
      <c r="R6" s="47" t="s">
        <v>432</v>
      </c>
    </row>
    <row r="7" spans="1:18" ht="16.5" customHeight="1" x14ac:dyDescent="0.25">
      <c r="A7" s="52"/>
      <c r="B7" s="76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48"/>
      <c r="R7" s="51"/>
    </row>
    <row r="8" spans="1:18" x14ac:dyDescent="0.25">
      <c r="A8" s="52">
        <v>1</v>
      </c>
      <c r="B8" s="52"/>
      <c r="C8" s="52">
        <v>2</v>
      </c>
      <c r="D8" s="52">
        <v>3</v>
      </c>
      <c r="E8" s="52">
        <v>4</v>
      </c>
      <c r="F8" s="52">
        <v>5</v>
      </c>
      <c r="G8" s="52">
        <v>6</v>
      </c>
      <c r="H8" s="52">
        <v>7</v>
      </c>
      <c r="I8" s="52">
        <v>8</v>
      </c>
      <c r="J8" s="52">
        <v>9</v>
      </c>
      <c r="K8" s="52">
        <v>10</v>
      </c>
      <c r="L8" s="52">
        <v>11</v>
      </c>
      <c r="M8" s="52">
        <v>12</v>
      </c>
      <c r="N8" s="52">
        <v>13</v>
      </c>
      <c r="O8" s="52">
        <v>14</v>
      </c>
      <c r="P8" s="52">
        <v>15</v>
      </c>
      <c r="Q8" s="52">
        <v>16</v>
      </c>
      <c r="R8" s="52">
        <v>17</v>
      </c>
    </row>
    <row r="9" spans="1:18" ht="102.6" customHeight="1" x14ac:dyDescent="0.25">
      <c r="A9" s="257">
        <v>1</v>
      </c>
      <c r="B9" s="257" t="s">
        <v>433</v>
      </c>
      <c r="C9" s="277" t="s">
        <v>389</v>
      </c>
      <c r="D9" s="53" t="s">
        <v>434</v>
      </c>
      <c r="E9" s="54">
        <v>11656.266250000001</v>
      </c>
      <c r="F9" s="54">
        <f t="shared" ref="F9:F14" si="0">G9+H9+I9</f>
        <v>9442.6878704999999</v>
      </c>
      <c r="G9" s="54">
        <f>G10*E28</f>
        <v>2331.6699567000001</v>
      </c>
      <c r="H9" s="54">
        <f>H10*E28</f>
        <v>1695.3600216</v>
      </c>
      <c r="I9" s="54">
        <f>I10*E30</f>
        <v>5415.6578921999999</v>
      </c>
      <c r="J9" s="54"/>
      <c r="K9" s="54">
        <f>K10*1.19*E33</f>
        <v>136.37044035299999</v>
      </c>
      <c r="L9" s="54">
        <v>0</v>
      </c>
      <c r="M9" s="54">
        <f>M10*1.266*E34</f>
        <v>66.539350027799998</v>
      </c>
      <c r="N9" s="55">
        <f t="shared" ref="N9:N22" si="1">K9/(G9+H9)</f>
        <v>3.3863775806946002E-2</v>
      </c>
      <c r="O9" s="55">
        <f t="shared" ref="O9:O22" si="2">L9/(G9+H9)</f>
        <v>0</v>
      </c>
      <c r="P9" s="55">
        <f t="shared" ref="P9:P22" si="3">M9/(G9+H9)</f>
        <v>1.652318219292E-2</v>
      </c>
      <c r="Q9" s="77">
        <v>0</v>
      </c>
      <c r="R9" s="78">
        <f>N9+O9+P9+Q9</f>
        <v>5.0386957999864999E-2</v>
      </c>
    </row>
    <row r="10" spans="1:18" ht="72.75" hidden="1" customHeight="1" x14ac:dyDescent="0.25">
      <c r="A10" s="259"/>
      <c r="B10" s="258"/>
      <c r="C10" s="278"/>
      <c r="D10" s="53" t="s">
        <v>435</v>
      </c>
      <c r="E10" s="54">
        <v>2179.8248199999998</v>
      </c>
      <c r="F10" s="54">
        <f t="shared" si="0"/>
        <v>1875.52594</v>
      </c>
      <c r="G10" s="54">
        <f>382868.63/1000</f>
        <v>382.86863</v>
      </c>
      <c r="H10" s="54">
        <f>278384.24/1000</f>
        <v>278.38423999999998</v>
      </c>
      <c r="I10" s="54">
        <f>1214273.07/1000</f>
        <v>1214.27307</v>
      </c>
      <c r="J10" s="54"/>
      <c r="K10" s="54">
        <f>29920.89/1000</f>
        <v>29.92089</v>
      </c>
      <c r="L10" s="54">
        <v>0</v>
      </c>
      <c r="M10" s="54">
        <f>13442.13/1000</f>
        <v>13.442130000000001</v>
      </c>
      <c r="N10" s="55">
        <f t="shared" si="1"/>
        <v>4.5248786595059001E-2</v>
      </c>
      <c r="O10" s="55">
        <f t="shared" si="2"/>
        <v>0</v>
      </c>
      <c r="P10" s="55">
        <f t="shared" si="3"/>
        <v>2.0328274718868E-2</v>
      </c>
      <c r="Q10" s="77">
        <v>0</v>
      </c>
      <c r="R10" s="78"/>
    </row>
    <row r="11" spans="1:18" ht="192.75" customHeight="1" x14ac:dyDescent="0.25">
      <c r="A11" s="257">
        <v>2</v>
      </c>
      <c r="B11" s="258"/>
      <c r="C11" s="277" t="s">
        <v>436</v>
      </c>
      <c r="D11" s="53" t="s">
        <v>434</v>
      </c>
      <c r="E11" s="54">
        <v>688044.21</v>
      </c>
      <c r="F11" s="54">
        <f t="shared" si="0"/>
        <v>521424.06839999999</v>
      </c>
      <c r="G11" s="54">
        <f>G12*F28</f>
        <v>99804.705000000002</v>
      </c>
      <c r="H11" s="54">
        <f>H12*F28</f>
        <v>246917.90760000001</v>
      </c>
      <c r="I11" s="54">
        <f>I12*F30</f>
        <v>174701.4558</v>
      </c>
      <c r="J11" s="54"/>
      <c r="K11" s="54">
        <f>K12*1.19*F33</f>
        <v>8486.4829769999997</v>
      </c>
      <c r="L11" s="54">
        <f>L12*1.19*F33</f>
        <v>11572.501646999999</v>
      </c>
      <c r="M11" s="54">
        <f>M12*1.266*F34</f>
        <v>3883.6190735999999</v>
      </c>
      <c r="N11" s="55">
        <f t="shared" si="1"/>
        <v>2.4476289311970999E-2</v>
      </c>
      <c r="O11" s="55">
        <f t="shared" si="2"/>
        <v>3.3376829853179003E-2</v>
      </c>
      <c r="P11" s="55">
        <f t="shared" si="3"/>
        <v>1.1200939692042E-2</v>
      </c>
      <c r="Q11" s="77">
        <v>0</v>
      </c>
      <c r="R11" s="78">
        <f>N11+O11+P11+Q11</f>
        <v>6.9054058857192999E-2</v>
      </c>
    </row>
    <row r="12" spans="1:18" ht="100.9" hidden="1" customHeight="1" x14ac:dyDescent="0.25">
      <c r="A12" s="259"/>
      <c r="B12" s="259"/>
      <c r="C12" s="278"/>
      <c r="D12" s="53" t="s">
        <v>435</v>
      </c>
      <c r="E12" s="54">
        <v>116471.93</v>
      </c>
      <c r="F12" s="54">
        <f t="shared" si="0"/>
        <v>91466.75</v>
      </c>
      <c r="G12" s="54">
        <v>15053.5</v>
      </c>
      <c r="H12" s="54">
        <v>37242.519999999997</v>
      </c>
      <c r="I12" s="54">
        <v>39170.730000000003</v>
      </c>
      <c r="J12" s="54"/>
      <c r="K12" s="54">
        <v>1862.01</v>
      </c>
      <c r="L12" s="54">
        <v>2539.11</v>
      </c>
      <c r="M12" s="54">
        <v>784.56</v>
      </c>
      <c r="N12" s="55">
        <f t="shared" si="1"/>
        <v>3.5605195194586998E-2</v>
      </c>
      <c r="O12" s="55">
        <f t="shared" si="2"/>
        <v>4.8552643203058E-2</v>
      </c>
      <c r="P12" s="55">
        <f t="shared" si="3"/>
        <v>1.5002288893112999E-2</v>
      </c>
      <c r="Q12" s="77">
        <v>0</v>
      </c>
      <c r="R12" s="78"/>
    </row>
    <row r="13" spans="1:18" ht="49.15" customHeight="1" x14ac:dyDescent="0.25">
      <c r="A13" s="257">
        <v>3</v>
      </c>
      <c r="B13" s="257" t="s">
        <v>391</v>
      </c>
      <c r="C13" s="279" t="s">
        <v>392</v>
      </c>
      <c r="D13" s="53" t="s">
        <v>437</v>
      </c>
      <c r="E13" s="54">
        <v>170961.79</v>
      </c>
      <c r="F13" s="54">
        <f t="shared" si="0"/>
        <v>129121.52159999999</v>
      </c>
      <c r="G13" s="54">
        <f>G14*G28</f>
        <v>91503.198799999998</v>
      </c>
      <c r="H13" s="54">
        <f>H14*G28</f>
        <v>37618.322800000002</v>
      </c>
      <c r="I13" s="54">
        <f>I14*G30</f>
        <v>0</v>
      </c>
      <c r="J13" s="54"/>
      <c r="K13" s="54">
        <f>K14*1.19*G33</f>
        <v>1996.481088</v>
      </c>
      <c r="L13" s="54">
        <f>L14*1.19*G33</f>
        <v>2500.7293079999999</v>
      </c>
      <c r="M13" s="54">
        <f>M14*1.266*G34</f>
        <v>200.53819799999999</v>
      </c>
      <c r="N13" s="55">
        <f t="shared" si="1"/>
        <v>1.5462031915832E-2</v>
      </c>
      <c r="O13" s="55">
        <f t="shared" si="2"/>
        <v>1.9367254017862E-2</v>
      </c>
      <c r="P13" s="55">
        <f t="shared" si="3"/>
        <v>1.5530966140659E-3</v>
      </c>
      <c r="Q13" s="77">
        <v>4.5614105389631997E-3</v>
      </c>
      <c r="R13" s="78">
        <f>N13+O13+P13+Q13</f>
        <v>4.0943793086723003E-2</v>
      </c>
    </row>
    <row r="14" spans="1:18" ht="57.2" hidden="1" customHeight="1" x14ac:dyDescent="0.25">
      <c r="A14" s="259"/>
      <c r="B14" s="258"/>
      <c r="C14" s="280"/>
      <c r="D14" s="53" t="s">
        <v>435</v>
      </c>
      <c r="E14" s="54">
        <v>29033.31</v>
      </c>
      <c r="F14" s="54">
        <f t="shared" si="0"/>
        <v>22378.080000000002</v>
      </c>
      <c r="G14" s="54">
        <v>15858.44</v>
      </c>
      <c r="H14" s="54">
        <v>6519.64</v>
      </c>
      <c r="I14" s="54">
        <v>0</v>
      </c>
      <c r="J14" s="54"/>
      <c r="K14" s="54">
        <v>420.48</v>
      </c>
      <c r="L14" s="54">
        <v>526.67999999999995</v>
      </c>
      <c r="M14" s="54">
        <v>39.700000000000003</v>
      </c>
      <c r="N14" s="55">
        <f t="shared" si="1"/>
        <v>1.8789815748268001E-2</v>
      </c>
      <c r="O14" s="55">
        <f t="shared" si="2"/>
        <v>2.3535531198387E-2</v>
      </c>
      <c r="P14" s="55">
        <f t="shared" si="3"/>
        <v>1.7740574705247E-3</v>
      </c>
      <c r="Q14" s="77">
        <v>4.9753003421204997E-3</v>
      </c>
      <c r="R14" s="78"/>
    </row>
    <row r="15" spans="1:18" ht="67.900000000000006" customHeight="1" x14ac:dyDescent="0.25">
      <c r="A15" s="257">
        <v>4</v>
      </c>
      <c r="B15" s="258"/>
      <c r="C15" s="281" t="s">
        <v>393</v>
      </c>
      <c r="D15" s="56" t="s">
        <v>437</v>
      </c>
      <c r="E15" s="54">
        <v>725870.83</v>
      </c>
      <c r="F15" s="54">
        <v>551588.679</v>
      </c>
      <c r="G15" s="54">
        <v>319494.33</v>
      </c>
      <c r="H15" s="54">
        <v>231687.44</v>
      </c>
      <c r="I15" s="54">
        <v>406.85</v>
      </c>
      <c r="J15" s="54"/>
      <c r="K15" s="54">
        <v>12415.71</v>
      </c>
      <c r="L15" s="54">
        <v>14808.286339</v>
      </c>
      <c r="M15" s="54">
        <v>3822.96</v>
      </c>
      <c r="N15" s="55">
        <f t="shared" si="1"/>
        <v>2.2525618000755001E-2</v>
      </c>
      <c r="O15" s="55">
        <f t="shared" si="2"/>
        <v>2.6866429814977E-2</v>
      </c>
      <c r="P15" s="55">
        <f t="shared" si="3"/>
        <v>6.9359333128888E-3</v>
      </c>
      <c r="Q15" s="77">
        <v>3.5515340532281999E-3</v>
      </c>
      <c r="R15" s="78">
        <f>N15+O15+P15+Q15</f>
        <v>5.9879515181849002E-2</v>
      </c>
    </row>
    <row r="16" spans="1:18" ht="67.900000000000006" hidden="1" customHeight="1" x14ac:dyDescent="0.25">
      <c r="A16" s="259"/>
      <c r="B16" s="259"/>
      <c r="C16" s="282"/>
      <c r="D16" s="56" t="s">
        <v>435</v>
      </c>
      <c r="E16" s="54">
        <v>125177.97</v>
      </c>
      <c r="F16" s="54">
        <v>95613.7</v>
      </c>
      <c r="G16" s="54">
        <v>55371.64</v>
      </c>
      <c r="H16" s="54">
        <v>40153.81</v>
      </c>
      <c r="I16" s="54">
        <v>88.25</v>
      </c>
      <c r="J16" s="54"/>
      <c r="K16" s="54">
        <v>2724.12</v>
      </c>
      <c r="L16" s="54">
        <v>3249.07</v>
      </c>
      <c r="M16" s="54">
        <v>772.31</v>
      </c>
      <c r="N16" s="55">
        <f t="shared" si="1"/>
        <v>2.8517217139516E-2</v>
      </c>
      <c r="O16" s="55">
        <f t="shared" si="2"/>
        <v>3.4012611298874E-2</v>
      </c>
      <c r="P16" s="55">
        <f t="shared" si="3"/>
        <v>8.0848611548021993E-3</v>
      </c>
      <c r="Q16" s="77">
        <v>3.8737899135989E-3</v>
      </c>
      <c r="R16" s="78"/>
    </row>
    <row r="17" spans="1:18" ht="67.900000000000006" customHeight="1" x14ac:dyDescent="0.25">
      <c r="A17" s="257">
        <v>5</v>
      </c>
      <c r="B17" s="272" t="s">
        <v>394</v>
      </c>
      <c r="C17" s="277" t="s">
        <v>438</v>
      </c>
      <c r="D17" s="53" t="s">
        <v>439</v>
      </c>
      <c r="E17" s="54">
        <v>561932.85</v>
      </c>
      <c r="F17" s="54">
        <f>G17+H17+I17</f>
        <v>399667.21620000002</v>
      </c>
      <c r="G17" s="54">
        <f>G18*I28</f>
        <v>163785.296</v>
      </c>
      <c r="H17" s="54">
        <f>H18*I28</f>
        <v>147763.611</v>
      </c>
      <c r="I17" s="54">
        <f>I18*I30</f>
        <v>88118.309200000003</v>
      </c>
      <c r="J17" s="54"/>
      <c r="K17" s="54">
        <f>K18*1.19*I33</f>
        <v>19215.596995</v>
      </c>
      <c r="L17" s="54">
        <f>L18*1.19*I33</f>
        <v>0</v>
      </c>
      <c r="M17" s="54">
        <f>M18*1.266*I34</f>
        <v>1734.8322095999999</v>
      </c>
      <c r="N17" s="55">
        <f t="shared" si="1"/>
        <v>6.1677626090981999E-2</v>
      </c>
      <c r="O17" s="55">
        <f t="shared" si="2"/>
        <v>0</v>
      </c>
      <c r="P17" s="55">
        <f t="shared" si="3"/>
        <v>5.5684105147574998E-3</v>
      </c>
      <c r="Q17" s="77">
        <v>5.5643872525604002E-3</v>
      </c>
      <c r="R17" s="78">
        <f>N17+O17+P17+Q17</f>
        <v>7.2810423858299E-2</v>
      </c>
    </row>
    <row r="18" spans="1:18" ht="67.900000000000006" hidden="1" customHeight="1" x14ac:dyDescent="0.25">
      <c r="A18" s="259"/>
      <c r="B18" s="272"/>
      <c r="C18" s="278"/>
      <c r="D18" s="53" t="s">
        <v>435</v>
      </c>
      <c r="E18" s="54">
        <v>94393.09</v>
      </c>
      <c r="F18" s="54">
        <f>G18+H18+I18</f>
        <v>69651.210000000006</v>
      </c>
      <c r="G18" s="54">
        <v>25792.959999999999</v>
      </c>
      <c r="H18" s="54">
        <v>23269.86</v>
      </c>
      <c r="I18" s="54">
        <v>20588.39</v>
      </c>
      <c r="J18" s="54"/>
      <c r="K18" s="54">
        <v>4087.99</v>
      </c>
      <c r="L18" s="54">
        <v>0</v>
      </c>
      <c r="M18" s="54">
        <v>343.44</v>
      </c>
      <c r="N18" s="55">
        <f t="shared" si="1"/>
        <v>8.3321545724441004E-2</v>
      </c>
      <c r="O18" s="55">
        <f t="shared" si="2"/>
        <v>0</v>
      </c>
      <c r="P18" s="55">
        <f t="shared" si="3"/>
        <v>7.0000052993284996E-3</v>
      </c>
      <c r="Q18" s="77">
        <v>9.4728844648146997E-3</v>
      </c>
      <c r="R18" s="78"/>
    </row>
    <row r="19" spans="1:18" ht="67.900000000000006" customHeight="1" x14ac:dyDescent="0.25">
      <c r="A19" s="257">
        <v>6</v>
      </c>
      <c r="B19" s="272"/>
      <c r="C19" s="277" t="s">
        <v>396</v>
      </c>
      <c r="D19" s="56" t="s">
        <v>437</v>
      </c>
      <c r="E19" s="54">
        <v>738823.57</v>
      </c>
      <c r="F19" s="54">
        <v>511472.86</v>
      </c>
      <c r="G19" s="54">
        <v>257334.67</v>
      </c>
      <c r="H19" s="54">
        <v>230898.09</v>
      </c>
      <c r="I19" s="54">
        <v>23240.1</v>
      </c>
      <c r="J19" s="54"/>
      <c r="K19" s="54">
        <v>19584.188309000001</v>
      </c>
      <c r="L19" s="54">
        <v>0</v>
      </c>
      <c r="M19" s="54">
        <v>2539.5687809999999</v>
      </c>
      <c r="N19" s="55">
        <f t="shared" si="1"/>
        <v>4.0112401119907999E-2</v>
      </c>
      <c r="O19" s="55">
        <f t="shared" si="2"/>
        <v>0</v>
      </c>
      <c r="P19" s="55">
        <f t="shared" si="3"/>
        <v>5.2015534168579998E-3</v>
      </c>
      <c r="Q19" s="77">
        <v>5.1286902198045999E-3</v>
      </c>
      <c r="R19" s="78">
        <f>N19+O19+P19+Q19</f>
        <v>5.0442644756571002E-2</v>
      </c>
    </row>
    <row r="20" spans="1:18" ht="67.900000000000006" hidden="1" customHeight="1" x14ac:dyDescent="0.25">
      <c r="A20" s="259"/>
      <c r="B20" s="272"/>
      <c r="C20" s="278"/>
      <c r="D20" s="56" t="s">
        <v>435</v>
      </c>
      <c r="E20" s="54">
        <v>128717.35</v>
      </c>
      <c r="F20" s="54">
        <v>89613.6</v>
      </c>
      <c r="G20" s="54">
        <v>44598.73</v>
      </c>
      <c r="H20" s="54">
        <v>40017</v>
      </c>
      <c r="I20" s="54">
        <v>4997.87</v>
      </c>
      <c r="J20" s="54"/>
      <c r="K20" s="54">
        <v>4023.79</v>
      </c>
      <c r="L20" s="54">
        <v>0</v>
      </c>
      <c r="M20" s="54">
        <v>481.05</v>
      </c>
      <c r="N20" s="55">
        <f t="shared" si="1"/>
        <v>4.7553687712675E-2</v>
      </c>
      <c r="O20" s="55">
        <f t="shared" si="2"/>
        <v>0</v>
      </c>
      <c r="P20" s="55">
        <f t="shared" si="3"/>
        <v>5.6851131580381003E-3</v>
      </c>
      <c r="Q20" s="77">
        <v>5.5940533914911996E-3</v>
      </c>
      <c r="R20" s="78"/>
    </row>
    <row r="21" spans="1:18" ht="67.900000000000006" customHeight="1" x14ac:dyDescent="0.25">
      <c r="A21" s="257">
        <v>7</v>
      </c>
      <c r="B21" s="257" t="s">
        <v>397</v>
      </c>
      <c r="C21" s="277" t="s">
        <v>398</v>
      </c>
      <c r="D21" s="56" t="s">
        <v>440</v>
      </c>
      <c r="E21" s="54">
        <v>16001185.93</v>
      </c>
      <c r="F21" s="54">
        <f>G21+H21+I21+J21</f>
        <v>6269109.2307000002</v>
      </c>
      <c r="G21" s="54">
        <f>123094.59*K28+325303.92*K29</f>
        <v>2908258.6863000002</v>
      </c>
      <c r="H21" s="54">
        <f>110226.08*K28+375865.25*K29</f>
        <v>3158998.0832000002</v>
      </c>
      <c r="I21" s="54">
        <f>I22*K30</f>
        <v>201852.46119999999</v>
      </c>
      <c r="J21" s="54">
        <f>J22*K35</f>
        <v>0</v>
      </c>
      <c r="K21" s="54">
        <f>K22*K33*1.19</f>
        <v>48825.362634999998</v>
      </c>
      <c r="L21" s="54">
        <f>L22*1.19*K33</f>
        <v>73238.020449999996</v>
      </c>
      <c r="M21" s="54">
        <f>M22*K34*1.266</f>
        <v>11514.8831238</v>
      </c>
      <c r="N21" s="55">
        <f t="shared" si="1"/>
        <v>8.0473539343916007E-3</v>
      </c>
      <c r="O21" s="55">
        <f t="shared" si="2"/>
        <v>1.2071027027926E-2</v>
      </c>
      <c r="P21" s="55">
        <f t="shared" si="3"/>
        <v>1.8978730522309999E-3</v>
      </c>
      <c r="Q21" s="77">
        <v>5.9210415358545E-4</v>
      </c>
      <c r="R21" s="78">
        <f>N21+O21+P21+Q21</f>
        <v>2.2608358168133998E-2</v>
      </c>
    </row>
    <row r="22" spans="1:18" ht="67.900000000000006" hidden="1" customHeight="1" x14ac:dyDescent="0.25">
      <c r="A22" s="259"/>
      <c r="B22" s="259"/>
      <c r="C22" s="278"/>
      <c r="D22" s="79" t="s">
        <v>435</v>
      </c>
      <c r="E22" s="80">
        <v>2195184.4700000002</v>
      </c>
      <c r="F22" s="80">
        <f>G22+H22+I22+J22</f>
        <v>981651.63</v>
      </c>
      <c r="G22" s="80">
        <f>123094.59+325303.92</f>
        <v>448398.51</v>
      </c>
      <c r="H22" s="80">
        <f>110226.08+375865.25</f>
        <v>486091.33</v>
      </c>
      <c r="I22" s="80">
        <v>47161.79</v>
      </c>
      <c r="J22" s="80">
        <v>0</v>
      </c>
      <c r="K22" s="80">
        <v>10387.27</v>
      </c>
      <c r="L22" s="80">
        <v>15580.9</v>
      </c>
      <c r="M22" s="80">
        <v>2279.5700000000002</v>
      </c>
      <c r="N22" s="81">
        <f t="shared" si="1"/>
        <v>1.1115444551008E-2</v>
      </c>
      <c r="O22" s="81">
        <f t="shared" si="2"/>
        <v>1.6673161475998E-2</v>
      </c>
      <c r="P22" s="81">
        <f t="shared" si="3"/>
        <v>2.4393737656901999E-3</v>
      </c>
      <c r="Q22" s="82">
        <v>7.7662380726578996E-4</v>
      </c>
      <c r="R22" s="83"/>
    </row>
    <row r="23" spans="1:18" ht="67.900000000000006" customHeight="1" x14ac:dyDescent="0.25">
      <c r="A23" s="59"/>
      <c r="B23" s="59"/>
      <c r="C23" s="84" t="s">
        <v>441</v>
      </c>
      <c r="D23" s="60"/>
      <c r="E23" s="85"/>
      <c r="F23" s="85"/>
      <c r="G23" s="85"/>
      <c r="H23" s="85"/>
      <c r="I23" s="85"/>
      <c r="J23" s="85"/>
      <c r="K23" s="85"/>
      <c r="L23" s="85"/>
      <c r="M23" s="85"/>
      <c r="N23" s="62">
        <f>(N9+N11+N13+N15+N17+N19+N21)/7</f>
        <v>2.9452156597254999E-2</v>
      </c>
      <c r="O23" s="62">
        <f>(O9+O11+O13+O15+O17+O19+O21)/7</f>
        <v>1.3097362959135E-2</v>
      </c>
      <c r="P23" s="62">
        <f>(P9+P11+P13+P15+P17+P19+P21)/7</f>
        <v>6.9829983993947003E-3</v>
      </c>
      <c r="Q23" s="62">
        <f>(Q9+Q11+Q13+Q15+Q17+Q19+Q21)/7</f>
        <v>2.7711608883059999E-3</v>
      </c>
      <c r="R23" s="62">
        <f>N23+O23+P23+Q23</f>
        <v>5.2303678844090998E-2</v>
      </c>
    </row>
    <row r="24" spans="1:18" ht="67.900000000000006" customHeight="1" x14ac:dyDescent="0.25">
      <c r="A24" s="63"/>
      <c r="B24" s="63"/>
      <c r="C24" s="68"/>
      <c r="D24" s="64"/>
      <c r="E24" s="65"/>
      <c r="F24" s="65"/>
      <c r="G24" s="65"/>
      <c r="H24" s="65"/>
      <c r="I24" s="65"/>
      <c r="J24" s="65"/>
      <c r="K24" s="65"/>
      <c r="L24" s="65"/>
      <c r="M24" s="65"/>
      <c r="N24" s="66"/>
      <c r="O24" s="66"/>
      <c r="P24" s="66"/>
      <c r="Q24" s="65"/>
    </row>
    <row r="26" spans="1:18" ht="14.45" customHeight="1" outlineLevel="1" x14ac:dyDescent="0.25">
      <c r="D26" s="283" t="s">
        <v>442</v>
      </c>
      <c r="E26" s="283"/>
      <c r="F26" s="283"/>
      <c r="G26" s="283"/>
      <c r="H26" s="283"/>
      <c r="I26" s="283"/>
      <c r="J26" s="283"/>
      <c r="K26" s="283"/>
      <c r="L26" s="68"/>
      <c r="R26" s="86"/>
    </row>
    <row r="27" spans="1:18" outlineLevel="1" x14ac:dyDescent="0.25">
      <c r="D27" s="87"/>
      <c r="E27" s="87" t="s">
        <v>402</v>
      </c>
      <c r="F27" s="87" t="s">
        <v>403</v>
      </c>
      <c r="G27" s="87" t="s">
        <v>404</v>
      </c>
      <c r="H27" s="88" t="s">
        <v>405</v>
      </c>
      <c r="I27" s="88" t="s">
        <v>406</v>
      </c>
      <c r="J27" s="88" t="s">
        <v>407</v>
      </c>
      <c r="K27" s="59" t="s">
        <v>408</v>
      </c>
    </row>
    <row r="28" spans="1:18" outlineLevel="1" x14ac:dyDescent="0.25">
      <c r="D28" s="284" t="s">
        <v>409</v>
      </c>
      <c r="E28" s="286">
        <v>6.09</v>
      </c>
      <c r="F28" s="288">
        <v>6.63</v>
      </c>
      <c r="G28" s="286">
        <v>5.77</v>
      </c>
      <c r="H28" s="290">
        <v>5.77</v>
      </c>
      <c r="I28" s="290">
        <v>6.35</v>
      </c>
      <c r="J28" s="286">
        <v>5.77</v>
      </c>
      <c r="K28" s="89">
        <v>6.29</v>
      </c>
      <c r="L28" t="s">
        <v>410</v>
      </c>
    </row>
    <row r="29" spans="1:18" outlineLevel="1" x14ac:dyDescent="0.25">
      <c r="D29" s="285"/>
      <c r="E29" s="287"/>
      <c r="F29" s="289"/>
      <c r="G29" s="287"/>
      <c r="H29" s="291"/>
      <c r="I29" s="291"/>
      <c r="J29" s="287"/>
      <c r="K29" s="89">
        <v>6.56</v>
      </c>
      <c r="L29" t="s">
        <v>411</v>
      </c>
    </row>
    <row r="30" spans="1:18" outlineLevel="1" x14ac:dyDescent="0.25">
      <c r="D30" s="90" t="s">
        <v>412</v>
      </c>
      <c r="E30" s="89">
        <v>4.46</v>
      </c>
      <c r="F30" s="87">
        <v>4.46</v>
      </c>
      <c r="G30" s="89">
        <v>4.6500000000000004</v>
      </c>
      <c r="H30" s="88">
        <v>4.6100000000000003</v>
      </c>
      <c r="I30" s="88">
        <v>4.28</v>
      </c>
      <c r="J30" s="89">
        <v>4.6500000000000004</v>
      </c>
      <c r="K30" s="89">
        <v>4.28</v>
      </c>
    </row>
    <row r="31" spans="1:18" outlineLevel="1" x14ac:dyDescent="0.25">
      <c r="D31" s="284" t="s">
        <v>386</v>
      </c>
      <c r="E31" s="286">
        <v>11.37</v>
      </c>
      <c r="F31" s="288">
        <v>13.56</v>
      </c>
      <c r="G31" s="286">
        <v>15.91</v>
      </c>
      <c r="H31" s="290">
        <v>15.91</v>
      </c>
      <c r="I31" s="290">
        <v>14.03</v>
      </c>
      <c r="J31" s="286">
        <v>15.91</v>
      </c>
      <c r="K31" s="89">
        <v>8.2899999999999991</v>
      </c>
      <c r="L31" t="s">
        <v>410</v>
      </c>
    </row>
    <row r="32" spans="1:18" outlineLevel="1" x14ac:dyDescent="0.25">
      <c r="D32" s="285"/>
      <c r="E32" s="287"/>
      <c r="F32" s="289"/>
      <c r="G32" s="287"/>
      <c r="H32" s="291"/>
      <c r="I32" s="291"/>
      <c r="J32" s="287"/>
      <c r="K32" s="89">
        <v>11.84</v>
      </c>
      <c r="L32" t="s">
        <v>411</v>
      </c>
    </row>
    <row r="33" spans="4:12" ht="15" customHeight="1" outlineLevel="1" x14ac:dyDescent="0.25">
      <c r="D33" s="91" t="s">
        <v>413</v>
      </c>
      <c r="E33" s="92">
        <v>3.83</v>
      </c>
      <c r="F33" s="93">
        <v>3.83</v>
      </c>
      <c r="G33" s="92">
        <v>3.99</v>
      </c>
      <c r="H33" s="94">
        <v>3.83</v>
      </c>
      <c r="I33" s="94">
        <v>3.95</v>
      </c>
      <c r="J33" s="92">
        <v>4.09</v>
      </c>
      <c r="K33" s="89">
        <v>3.95</v>
      </c>
      <c r="L33" t="s">
        <v>443</v>
      </c>
    </row>
    <row r="34" spans="4:12" outlineLevel="1" x14ac:dyDescent="0.25">
      <c r="D34" s="91" t="s">
        <v>414</v>
      </c>
      <c r="E34" s="92">
        <v>3.91</v>
      </c>
      <c r="F34" s="93">
        <v>3.91</v>
      </c>
      <c r="G34" s="92">
        <v>3.99</v>
      </c>
      <c r="H34" s="94">
        <v>3.91</v>
      </c>
      <c r="I34" s="94">
        <v>3.99</v>
      </c>
      <c r="J34" s="92">
        <v>4.17</v>
      </c>
      <c r="K34" s="89">
        <v>3.99</v>
      </c>
      <c r="L34" t="s">
        <v>443</v>
      </c>
    </row>
    <row r="35" spans="4:12" outlineLevel="1" x14ac:dyDescent="0.25">
      <c r="D35" s="90" t="s">
        <v>353</v>
      </c>
      <c r="E35" s="89">
        <v>8.7899999999999991</v>
      </c>
      <c r="F35" s="87">
        <v>8.7899999999999991</v>
      </c>
      <c r="G35" s="89">
        <v>9.19</v>
      </c>
      <c r="H35" s="88">
        <v>9.1</v>
      </c>
      <c r="I35" s="88">
        <v>8.42</v>
      </c>
      <c r="J35" s="89">
        <v>9.19</v>
      </c>
      <c r="K35" s="89">
        <v>8.42</v>
      </c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14</vt:i4>
      </vt:variant>
    </vt:vector>
  </HeadingPairs>
  <TitlesOfParts>
    <vt:vector size="29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'Прил.1 Сравнит табл'!Область_печати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'Прил.6 Расчет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REDMIBOOK</cp:lastModifiedBy>
  <cp:lastPrinted>2023-11-27T04:54:55Z</cp:lastPrinted>
  <dcterms:created xsi:type="dcterms:W3CDTF">2020-09-30T08:50:27Z</dcterms:created>
  <dcterms:modified xsi:type="dcterms:W3CDTF">2023-11-27T04:55:08Z</dcterms:modified>
  <cp:category/>
</cp:coreProperties>
</file>