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E1592CE-5A78-4484-BC41-B1ACE4AE46D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Прил.3!$A$1:$H$30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F13" i="9"/>
  <c r="E13" i="9"/>
  <c r="G13" i="9" s="1"/>
  <c r="D13" i="9"/>
  <c r="C13" i="9"/>
  <c r="B13" i="9"/>
  <c r="E12" i="9"/>
  <c r="D12" i="9"/>
  <c r="C12" i="9"/>
  <c r="B12" i="9"/>
  <c r="G33" i="8"/>
  <c r="J32" i="8"/>
  <c r="J33" i="8" s="1"/>
  <c r="C17" i="7" s="1"/>
  <c r="I32" i="8"/>
  <c r="G32" i="8"/>
  <c r="G31" i="8"/>
  <c r="G34" i="8" s="1"/>
  <c r="I30" i="8"/>
  <c r="J30" i="8" s="1"/>
  <c r="J31" i="8" s="1"/>
  <c r="G30" i="8"/>
  <c r="J25" i="8"/>
  <c r="J24" i="8"/>
  <c r="I24" i="8"/>
  <c r="G24" i="8"/>
  <c r="G25" i="8" s="1"/>
  <c r="J22" i="8"/>
  <c r="J23" i="8" s="1"/>
  <c r="F22" i="8"/>
  <c r="G22" i="8" s="1"/>
  <c r="J19" i="8"/>
  <c r="G19" i="8"/>
  <c r="J14" i="8"/>
  <c r="G14" i="8"/>
  <c r="D36" i="8" s="1"/>
  <c r="E14" i="8"/>
  <c r="J13" i="8"/>
  <c r="I13" i="8"/>
  <c r="G13" i="8"/>
  <c r="C13" i="7"/>
  <c r="C14" i="7" s="1"/>
  <c r="C12" i="7"/>
  <c r="H21" i="6"/>
  <c r="H20" i="6"/>
  <c r="H19" i="6"/>
  <c r="H18" i="6"/>
  <c r="H17" i="6"/>
  <c r="H16" i="6"/>
  <c r="H13" i="6"/>
  <c r="H12" i="6"/>
  <c r="F12" i="6"/>
  <c r="H12" i="5"/>
  <c r="H14" i="5" s="1"/>
  <c r="D19" i="4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2" i="9" l="1"/>
  <c r="G14" i="9" s="1"/>
  <c r="G15" i="9" s="1"/>
  <c r="J26" i="8"/>
  <c r="C25" i="7" s="1"/>
  <c r="H30" i="8"/>
  <c r="H33" i="8"/>
  <c r="J34" i="8"/>
  <c r="J35" i="8" s="1"/>
  <c r="C16" i="7"/>
  <c r="C18" i="7" s="1"/>
  <c r="H34" i="8"/>
  <c r="H32" i="8"/>
  <c r="H31" i="8"/>
  <c r="F12" i="9"/>
  <c r="G23" i="8"/>
  <c r="G26" i="8" s="1"/>
  <c r="C11" i="7"/>
  <c r="J36" i="8"/>
  <c r="H13" i="8"/>
  <c r="G35" i="8"/>
  <c r="D18" i="4"/>
  <c r="D17" i="4" s="1"/>
  <c r="D23" i="4" s="1"/>
  <c r="D24" i="4" s="1"/>
  <c r="J12" i="5"/>
  <c r="J14" i="5" s="1"/>
  <c r="D37" i="8"/>
  <c r="J37" i="8" s="1"/>
  <c r="G38" i="8"/>
  <c r="G27" i="8" l="1"/>
  <c r="J27" i="8" s="1"/>
  <c r="C26" i="7" s="1"/>
  <c r="J38" i="8"/>
  <c r="J39" i="8" s="1"/>
  <c r="J40" i="8" s="1"/>
  <c r="H24" i="8"/>
  <c r="H25" i="8"/>
  <c r="H23" i="8"/>
  <c r="G39" i="8"/>
  <c r="G40" i="8" s="1"/>
  <c r="H22" i="8"/>
  <c r="C19" i="7"/>
  <c r="C22" i="7"/>
  <c r="C20" i="7"/>
  <c r="C24" i="7" l="1"/>
  <c r="D22" i="7"/>
  <c r="D20" i="7"/>
  <c r="C29" i="7" l="1"/>
  <c r="C30" i="7" s="1"/>
  <c r="C27" i="7"/>
  <c r="D13" i="7"/>
  <c r="D17" i="7"/>
  <c r="D15" i="7"/>
  <c r="D24" i="7"/>
  <c r="D14" i="7"/>
  <c r="D12" i="7"/>
  <c r="D16" i="7"/>
  <c r="D18" i="7"/>
  <c r="D11" i="7"/>
  <c r="C37" i="7" l="1"/>
  <c r="C36" i="7"/>
  <c r="C38" i="7" l="1"/>
  <c r="C39" i="7" l="1"/>
  <c r="C40" i="7" l="1"/>
  <c r="E39" i="7"/>
  <c r="E40" i="7" l="1"/>
  <c r="E33" i="7"/>
  <c r="E32" i="7"/>
  <c r="E17" i="7"/>
  <c r="E16" i="7"/>
  <c r="E13" i="7"/>
  <c r="E31" i="7"/>
  <c r="E15" i="7"/>
  <c r="C41" i="7"/>
  <c r="D11" i="10" s="1"/>
  <c r="E34" i="7"/>
  <c r="E35" i="7"/>
  <c r="E14" i="7"/>
  <c r="E12" i="7"/>
  <c r="E25" i="7"/>
  <c r="E26" i="7"/>
  <c r="E18" i="7"/>
  <c r="E11" i="7"/>
  <c r="E22" i="7"/>
  <c r="E20" i="7"/>
  <c r="E24" i="7"/>
  <c r="E30" i="7"/>
  <c r="E27" i="7"/>
  <c r="E29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<sst xmlns="http://schemas.openxmlformats.org/spreadsheetml/2006/main" count="519" uniqueCount="368">
  <si>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</si>
  <si>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</si>
  <si>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</si>
  <si>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</si>
  <si>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</si>
  <si>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</si>
  <si>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</si>
  <si>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</si>
  <si>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</si>
  <si>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</si>
  <si>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</si>
  <si>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</si>
  <si>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</si>
  <si>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</si>
  <si>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</si>
  <si>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</si>
  <si>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</si>
  <si>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</si>
  <si>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</si>
  <si>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</si>
  <si>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</si>
  <si>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</si>
  <si>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</si>
  <si>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</si>
  <si>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</si>
  <si>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</si>
  <si>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</si>
  <si>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</si>
  <si>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</si>
  <si>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</si>
  <si>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</si>
  <si>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</si>
  <si>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</si>
  <si>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</si>
  <si>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</si>
  <si>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</si>
  <si>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</si>
  <si>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</si>
  <si>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</si>
  <si>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</si>
  <si>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</si>
  <si>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</si>
  <si>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</si>
  <si>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</si>
  <si>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</si>
  <si>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</si>
  <si>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</si>
  <si>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</si>
  <si>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</si>
  <si>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</si>
  <si>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</si>
  <si>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</si>
  <si>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</si>
  <si>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</si>
  <si>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</si>
  <si>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</si>
  <si>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</si>
  <si>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</si>
  <si>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</si>
  <si>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</si>
  <si>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- 16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</si>
  <si>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</si>
  <si>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</si>
  <si>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</si>
  <si>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</si>
  <si>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</si>
  <si>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</si>
  <si>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</si>
  <si>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</si>
  <si>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</si>
  <si>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</si>
  <si>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</si>
  <si>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</si>
  <si>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</si>
  <si>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</si>
  <si>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</si>
  <si>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</si>
  <si>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</si>
  <si>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</si>
  <si>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</si>
  <si>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</si>
  <si>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</si>
  <si>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</si>
  <si>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</si>
  <si>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</si>
  <si>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</si>
  <si>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</si>
  <si>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</si>
  <si>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</si>
  <si>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</si>
  <si>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</si>
  <si>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Комплекс стационарных камер охранного (технологического) видеонаблюдения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</si>
  <si>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</si>
  <si>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</si>
  <si>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</si>
  <si>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</si>
  <si>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</si>
  <si>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</si>
  <si>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</si>
  <si>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</si>
  <si>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</si>
  <si>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</si>
  <si>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</si>
  <si>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</si>
  <si>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</si>
  <si>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</si>
  <si>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</si>
  <si>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</si>
  <si>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</si>
  <si>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</si>
  <si>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</si>
  <si>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</si>
  <si>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</si>
  <si>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</si>
  <si>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</si>
  <si>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</si>
  <si>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</si>
  <si>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</si>
  <si>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</si>
  <si>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</si>
  <si>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</si>
  <si>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</si>
  <si>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</si>
  <si>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</si>
  <si>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</si>
  <si>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</si>
  <si>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</si>
  <si>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</si>
  <si>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</si>
  <si>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</si>
  <si>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</si>
  <si>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</si>
  <si>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</si>
  <si>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</si>
  <si>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</si>
  <si>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</si>
  <si>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</si>
  <si>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</si>
  <si>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</si>
  <si>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</si>
  <si>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</si>
  <si>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</si>
  <si>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</si>
  <si>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</si>
  <si>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</si>
  <si>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</si>
  <si>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</si>
  <si>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</si>
  <si>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</si>
  <si>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</si>
  <si>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</si>
  <si>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</si>
  <si>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</si>
  <si>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</si>
  <si>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</si>
  <si>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</si>
  <si>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</si>
  <si>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</si>
  <si>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</si>
  <si>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</si>
  <si>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</si>
  <si>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</si>
  <si>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</si>
  <si>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</si>
  <si>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</si>
  <si>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</si>
  <si>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</si>
  <si>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</si>
  <si>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</si>
  <si>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</si>
  <si>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</si>
  <si>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</si>
  <si>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</si>
  <si>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</si>
  <si>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</si>
  <si>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</si>
  <si>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</si>
  <si>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</si>
  <si>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</si>
  <si>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</si>
  <si>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</si>
  <si>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</si>
  <si>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</si>
  <si>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</si>
  <si>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</si>
  <si>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</si>
  <si>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</si>
  <si>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</si>
  <si>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</si>
  <si>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</si>
  <si>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</si>
  <si>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</si>
  <si>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</si>
  <si>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</si>
  <si>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</si>
  <si>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</si>
  <si>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</si>
  <si>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</si>
  <si>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</si>
  <si>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</si>
  <si>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</si>
  <si>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</si>
  <si>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</si>
  <si>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</si>
  <si>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</si>
  <si>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</si>
  <si>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</si>
  <si>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</si>
  <si>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</si>
  <si>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</si>
  <si>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</si>
  <si>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</si>
  <si>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</si>
  <si>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</si>
  <si>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З2_ЗПС_стац.кам._110_кВ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</si>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</sst>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323103</xdr:colOff>
      <xdr:row>28</xdr:row>
      <xdr:rowOff>134337</xdr:rowOff>
    </xdr:from>
    <xdr:to>
      <xdr:col>2</xdr:col>
      <xdr:colOff>1267905</xdr:colOff>
      <xdr:row>31</xdr:row>
      <xdr:rowOff>46229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CD98D41-9BF2-4FEE-9B27-52F29BAB4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338" y="13928778"/>
          <a:ext cx="944802" cy="517010"/>
        </a:xfrm>
        <a:prstGeom prst="rect">
          <a:avLst/>
        </a:prstGeom>
      </xdr:spPr>
    </xdr:pic>
    <xdr:clientData/>
  </xdr:twoCellAnchor>
  <xdr:twoCellAnchor editAs="oneCell">
    <xdr:from>
      <xdr:col>2</xdr:col>
      <xdr:colOff>504079</xdr:colOff>
      <xdr:row>26</xdr:row>
      <xdr:rowOff>317874</xdr:rowOff>
    </xdr:from>
    <xdr:to>
      <xdr:col>2</xdr:col>
      <xdr:colOff>1342278</xdr:colOff>
      <xdr:row>28</xdr:row>
      <xdr:rowOff>84972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4588806-17E3-4A5F-8C95-7DDD61CC3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314" y="13428756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455839</xdr:colOff>
      <xdr:row>19</xdr:row>
      <xdr:rowOff>149224</xdr:rowOff>
    </xdr:from>
    <xdr:to>
      <xdr:col>2</xdr:col>
      <xdr:colOff>1400641</xdr:colOff>
      <xdr:row>22</xdr:row>
      <xdr:rowOff>61116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B61A5A-663C-474A-9C5C-62FCE92BD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553" y="499336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636815</xdr:colOff>
      <xdr:row>17</xdr:row>
      <xdr:rowOff>52613</xdr:rowOff>
    </xdr:from>
    <xdr:to>
      <xdr:col>2</xdr:col>
      <xdr:colOff>1475014</xdr:colOff>
      <xdr:row>19</xdr:row>
      <xdr:rowOff>99859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23CC1BF-1CE5-498A-88D1-65C27AC14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529" y="4488542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24</xdr:row>
      <xdr:rowOff>66675</xdr:rowOff>
    </xdr:from>
    <xdr:to>
      <xdr:col>2</xdr:col>
      <xdr:colOff>1173402</xdr:colOff>
      <xdr:row>26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DBF79B-EC66-4F04-867B-9C4FD201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6353175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21</xdr:row>
      <xdr:rowOff>152400</xdr:rowOff>
    </xdr:from>
    <xdr:to>
      <xdr:col>2</xdr:col>
      <xdr:colOff>1247775</xdr:colOff>
      <xdr:row>24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B3FE5C1-E2FD-4795-9CD2-57FD3186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5867400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260BE5-DF49-42A1-A562-7E115F584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0CF7494-18E5-45AC-B19E-EACBAE256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530319</xdr:colOff>
      <xdr:row>42</xdr:row>
      <xdr:rowOff>41462</xdr:rowOff>
    </xdr:from>
    <xdr:to>
      <xdr:col>1</xdr:col>
      <xdr:colOff>1470359</xdr:colOff>
      <xdr:row>45</xdr:row>
      <xdr:rowOff>7782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138B92E-3803-4026-8EDF-814EC8549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319" y="9733150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687483</xdr:colOff>
      <xdr:row>39</xdr:row>
      <xdr:rowOff>346262</xdr:rowOff>
    </xdr:from>
    <xdr:to>
      <xdr:col>2</xdr:col>
      <xdr:colOff>44544</xdr:colOff>
      <xdr:row>42</xdr:row>
      <xdr:rowOff>5705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7F65B19-DAFA-4EB7-801F-409F63C47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483" y="9228325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17</xdr:row>
      <xdr:rowOff>38100</xdr:rowOff>
    </xdr:from>
    <xdr:to>
      <xdr:col>2</xdr:col>
      <xdr:colOff>230427</xdr:colOff>
      <xdr:row>19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67CD899-DAFC-4216-A551-4B3E8E85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433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638176</xdr:colOff>
      <xdr:row>14</xdr:row>
      <xdr:rowOff>161925</xdr:rowOff>
    </xdr:from>
    <xdr:to>
      <xdr:col>2</xdr:col>
      <xdr:colOff>304800</xdr:colOff>
      <xdr:row>16</xdr:row>
      <xdr:rowOff>179235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C417849-2F9D-4218-9435-8EFA9E455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38290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C0EDB6-B5A7-4813-B98B-654C1423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67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3B38A2D-AAC4-4F6B-833D-0E11407D6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1016000</xdr:colOff>
      <xdr:row>27</xdr:row>
      <xdr:rowOff>76200</xdr:rowOff>
    </xdr:from>
    <xdr:to>
      <xdr:col>1</xdr:col>
      <xdr:colOff>1960802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D588BC-0868-4483-9182-13A95C4DD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9378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1196976</xdr:colOff>
      <xdr:row>24</xdr:row>
      <xdr:rowOff>142875</xdr:rowOff>
    </xdr:from>
    <xdr:to>
      <xdr:col>1</xdr:col>
      <xdr:colOff>2035175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AAFF2BB-B87C-400D-849C-C42D37357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6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1" t="s">
        <v>0</v>
      </c>
      <c r="B2" s="201"/>
      <c r="C2" s="201"/>
    </row>
    <row r="3" spans="1:3" x14ac:dyDescent="0.25">
      <c r="A3" s="1"/>
      <c r="B3" s="1"/>
      <c r="C3" s="1"/>
    </row>
    <row r="4" spans="1:3" x14ac:dyDescent="0.25">
      <c r="A4" s="202" t="s">
        <v>1</v>
      </c>
      <c r="B4" s="202"/>
      <c r="C4" s="20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3" t="s">
        <v>3</v>
      </c>
      <c r="C6" s="203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26" sqref="D26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09"/>
      <c r="B1" s="109"/>
      <c r="C1" s="109"/>
      <c r="D1" s="109" t="s">
        <v>207</v>
      </c>
    </row>
    <row r="2" spans="1:4" ht="15.75" customHeight="1" x14ac:dyDescent="0.25">
      <c r="A2" s="109"/>
      <c r="B2" s="109"/>
      <c r="C2" s="109"/>
      <c r="D2" s="109"/>
    </row>
    <row r="3" spans="1:4" ht="15.75" customHeight="1" x14ac:dyDescent="0.25">
      <c r="A3" s="109"/>
      <c r="B3" s="127" t="s">
        <v>208</v>
      </c>
      <c r="C3" s="109"/>
      <c r="D3" s="109"/>
    </row>
    <row r="4" spans="1:4" ht="15.75" customHeight="1" x14ac:dyDescent="0.25">
      <c r="A4" s="109"/>
      <c r="B4" s="109"/>
      <c r="C4" s="109"/>
      <c r="D4" s="109"/>
    </row>
    <row r="5" spans="1:4" ht="47.25" customHeight="1" x14ac:dyDescent="0.25">
      <c r="A5" s="250" t="s">
        <v>209</v>
      </c>
      <c r="B5" s="250"/>
      <c r="C5" s="250"/>
      <c r="D5" s="187" t="str">
        <f>'Прил.5 Расчет СМР и ОБ'!D6:J6</f>
        <v>Постоянная часть ПС, комплекс стационарных камер охранного (технологического) видеонаблюдения ЗПС 110 кВ</v>
      </c>
    </row>
    <row r="6" spans="1:4" ht="15.75" customHeight="1" x14ac:dyDescent="0.25">
      <c r="A6" s="109" t="s">
        <v>49</v>
      </c>
      <c r="B6" s="109"/>
      <c r="C6" s="109"/>
      <c r="D6" s="109"/>
    </row>
    <row r="7" spans="1:4" ht="15.75" customHeight="1" x14ac:dyDescent="0.25">
      <c r="A7" s="109"/>
      <c r="B7" s="109"/>
      <c r="C7" s="109"/>
      <c r="D7" s="109"/>
    </row>
    <row r="8" spans="1:4" x14ac:dyDescent="0.25">
      <c r="A8" s="214" t="s">
        <v>5</v>
      </c>
      <c r="B8" s="214" t="s">
        <v>6</v>
      </c>
      <c r="C8" s="214" t="s">
        <v>210</v>
      </c>
      <c r="D8" s="214" t="s">
        <v>211</v>
      </c>
    </row>
    <row r="9" spans="1:4" x14ac:dyDescent="0.25">
      <c r="A9" s="214"/>
      <c r="B9" s="214"/>
      <c r="C9" s="214"/>
      <c r="D9" s="214"/>
    </row>
    <row r="10" spans="1:4" ht="15.75" customHeight="1" x14ac:dyDescent="0.25">
      <c r="A10" s="165">
        <v>1</v>
      </c>
      <c r="B10" s="165">
        <v>2</v>
      </c>
      <c r="C10" s="165">
        <v>3</v>
      </c>
      <c r="D10" s="165">
        <v>4</v>
      </c>
    </row>
    <row r="11" spans="1:4" ht="63" customHeight="1" x14ac:dyDescent="0.25">
      <c r="A11" s="188" t="s">
        <v>212</v>
      </c>
      <c r="B11" s="188" t="s">
        <v>213</v>
      </c>
      <c r="C11" s="189" t="s">
        <v>214</v>
      </c>
      <c r="D11" s="166">
        <f>'Прил.4 РМ'!C41/1000</f>
        <v>3986.8590099999997</v>
      </c>
    </row>
    <row r="13" spans="1:4" x14ac:dyDescent="0.25">
      <c r="A13" s="4" t="s">
        <v>215</v>
      </c>
      <c r="B13" s="12"/>
      <c r="C13" s="12"/>
      <c r="D13" s="24"/>
    </row>
    <row r="14" spans="1:4" x14ac:dyDescent="0.25">
      <c r="A14" s="15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5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8" t="s">
        <v>216</v>
      </c>
      <c r="C4" s="208"/>
      <c r="D4" s="208"/>
    </row>
    <row r="5" spans="2:5" ht="18.75" customHeight="1" x14ac:dyDescent="0.25">
      <c r="B5" s="159"/>
    </row>
    <row r="6" spans="2:5" ht="15.75" customHeight="1" x14ac:dyDescent="0.25">
      <c r="B6" s="209" t="s">
        <v>217</v>
      </c>
      <c r="C6" s="209"/>
      <c r="D6" s="209"/>
    </row>
    <row r="7" spans="2:5" x14ac:dyDescent="0.25">
      <c r="B7" s="251"/>
      <c r="C7" s="251"/>
      <c r="D7" s="251"/>
      <c r="E7" s="251"/>
    </row>
    <row r="8" spans="2:5" x14ac:dyDescent="0.25">
      <c r="B8" s="178"/>
      <c r="C8" s="178"/>
      <c r="D8" s="178"/>
      <c r="E8" s="178"/>
    </row>
    <row r="9" spans="2:5" ht="47.25" customHeight="1" x14ac:dyDescent="0.25">
      <c r="B9" s="165" t="s">
        <v>218</v>
      </c>
      <c r="C9" s="165" t="s">
        <v>219</v>
      </c>
      <c r="D9" s="165" t="s">
        <v>220</v>
      </c>
    </row>
    <row r="10" spans="2:5" ht="15.75" customHeight="1" x14ac:dyDescent="0.25">
      <c r="B10" s="165">
        <v>1</v>
      </c>
      <c r="C10" s="165">
        <v>2</v>
      </c>
      <c r="D10" s="165">
        <v>3</v>
      </c>
    </row>
    <row r="11" spans="2:5" ht="45" customHeight="1" x14ac:dyDescent="0.25">
      <c r="B11" s="165" t="s">
        <v>221</v>
      </c>
      <c r="C11" s="165" t="s">
        <v>222</v>
      </c>
      <c r="D11" s="165">
        <v>44.29</v>
      </c>
    </row>
    <row r="12" spans="2:5" ht="29.25" customHeight="1" x14ac:dyDescent="0.25">
      <c r="B12" s="165" t="s">
        <v>223</v>
      </c>
      <c r="C12" s="165" t="s">
        <v>222</v>
      </c>
      <c r="D12" s="165">
        <v>13.47</v>
      </c>
    </row>
    <row r="13" spans="2:5" ht="29.25" customHeight="1" x14ac:dyDescent="0.25">
      <c r="B13" s="165" t="s">
        <v>224</v>
      </c>
      <c r="C13" s="165" t="s">
        <v>222</v>
      </c>
      <c r="D13" s="165">
        <v>8.0399999999999991</v>
      </c>
    </row>
    <row r="14" spans="2:5" ht="30.75" customHeight="1" x14ac:dyDescent="0.25">
      <c r="B14" s="165" t="s">
        <v>225</v>
      </c>
      <c r="C14" s="113" t="s">
        <v>226</v>
      </c>
      <c r="D14" s="165">
        <v>6.26</v>
      </c>
    </row>
    <row r="15" spans="2:5" ht="89.45" customHeight="1" x14ac:dyDescent="0.25">
      <c r="B15" s="165" t="s">
        <v>227</v>
      </c>
      <c r="C15" s="165" t="s">
        <v>228</v>
      </c>
      <c r="D15" s="160">
        <v>3.9E-2</v>
      </c>
    </row>
    <row r="16" spans="2:5" ht="78.75" customHeight="1" x14ac:dyDescent="0.25">
      <c r="B16" s="165" t="s">
        <v>229</v>
      </c>
      <c r="C16" s="165" t="s">
        <v>230</v>
      </c>
      <c r="D16" s="160">
        <v>2.1000000000000001E-2</v>
      </c>
    </row>
    <row r="17" spans="2:4" ht="34.5" customHeight="1" x14ac:dyDescent="0.25">
      <c r="B17" s="165"/>
      <c r="C17" s="165"/>
      <c r="D17" s="165"/>
    </row>
    <row r="18" spans="2:4" ht="31.7" customHeight="1" x14ac:dyDescent="0.25">
      <c r="B18" s="165" t="s">
        <v>231</v>
      </c>
      <c r="C18" s="165" t="s">
        <v>232</v>
      </c>
      <c r="D18" s="160">
        <v>2.1399999999999999E-2</v>
      </c>
    </row>
    <row r="19" spans="2:4" ht="31.7" customHeight="1" x14ac:dyDescent="0.25">
      <c r="B19" s="165" t="s">
        <v>158</v>
      </c>
      <c r="C19" s="165" t="s">
        <v>233</v>
      </c>
      <c r="D19" s="160">
        <v>2E-3</v>
      </c>
    </row>
    <row r="20" spans="2:4" ht="24" customHeight="1" x14ac:dyDescent="0.25">
      <c r="B20" s="165" t="s">
        <v>160</v>
      </c>
      <c r="C20" s="165" t="s">
        <v>234</v>
      </c>
      <c r="D20" s="160">
        <v>0.03</v>
      </c>
    </row>
    <row r="21" spans="2:4" ht="18.75" customHeight="1" x14ac:dyDescent="0.25">
      <c r="B21" s="161"/>
    </row>
    <row r="22" spans="2:4" ht="18.75" customHeight="1" x14ac:dyDescent="0.25">
      <c r="B22" s="161"/>
    </row>
    <row r="23" spans="2:4" ht="18.75" customHeight="1" x14ac:dyDescent="0.25">
      <c r="B23" s="161"/>
    </row>
    <row r="24" spans="2:4" ht="18.75" customHeight="1" x14ac:dyDescent="0.25">
      <c r="B24" s="161"/>
    </row>
    <row r="27" spans="2:4" x14ac:dyDescent="0.25">
      <c r="B27" s="4" t="s">
        <v>235</v>
      </c>
      <c r="C27" s="12"/>
    </row>
    <row r="28" spans="2:4" x14ac:dyDescent="0.25">
      <c r="B28" s="15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199</v>
      </c>
      <c r="C30" s="12"/>
    </row>
    <row r="31" spans="2:4" x14ac:dyDescent="0.25">
      <c r="B31" s="15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topLeftCell="A3" workbookViewId="0">
      <selection activeCell="E21" sqref="E2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9" t="s">
        <v>236</v>
      </c>
      <c r="B2" s="209"/>
      <c r="C2" s="209"/>
      <c r="D2" s="209"/>
      <c r="E2" s="209"/>
      <c r="F2" s="209"/>
    </row>
    <row r="4" spans="1:7" ht="18" customHeight="1" x14ac:dyDescent="0.25">
      <c r="A4" s="162" t="s">
        <v>237</v>
      </c>
      <c r="B4" s="109"/>
      <c r="C4" s="109"/>
      <c r="D4" s="109"/>
      <c r="E4" s="109"/>
      <c r="F4" s="109"/>
      <c r="G4" s="109"/>
    </row>
    <row r="5" spans="1:7" ht="15.75" customHeight="1" x14ac:dyDescent="0.25">
      <c r="A5" s="163" t="s">
        <v>13</v>
      </c>
      <c r="B5" s="163" t="s">
        <v>238</v>
      </c>
      <c r="C5" s="163" t="s">
        <v>239</v>
      </c>
      <c r="D5" s="163" t="s">
        <v>240</v>
      </c>
      <c r="E5" s="163" t="s">
        <v>241</v>
      </c>
      <c r="F5" s="163" t="s">
        <v>242</v>
      </c>
      <c r="G5" s="109"/>
    </row>
    <row r="6" spans="1:7" ht="15.75" customHeight="1" x14ac:dyDescent="0.25">
      <c r="A6" s="163">
        <v>1</v>
      </c>
      <c r="B6" s="163">
        <v>2</v>
      </c>
      <c r="C6" s="163">
        <v>3</v>
      </c>
      <c r="D6" s="163">
        <v>4</v>
      </c>
      <c r="E6" s="163">
        <v>5</v>
      </c>
      <c r="F6" s="163">
        <v>6</v>
      </c>
      <c r="G6" s="109"/>
    </row>
    <row r="7" spans="1:7" ht="110.25" customHeight="1" x14ac:dyDescent="0.25">
      <c r="A7" s="164" t="s">
        <v>243</v>
      </c>
      <c r="B7" s="112" t="s">
        <v>244</v>
      </c>
      <c r="C7" s="165" t="s">
        <v>245</v>
      </c>
      <c r="D7" s="165" t="s">
        <v>246</v>
      </c>
      <c r="E7" s="166">
        <v>47872.94</v>
      </c>
      <c r="F7" s="112" t="s">
        <v>247</v>
      </c>
      <c r="G7" s="109"/>
    </row>
    <row r="8" spans="1:7" ht="31.7" customHeight="1" x14ac:dyDescent="0.25">
      <c r="A8" s="164" t="s">
        <v>248</v>
      </c>
      <c r="B8" s="112" t="s">
        <v>249</v>
      </c>
      <c r="C8" s="165" t="s">
        <v>250</v>
      </c>
      <c r="D8" s="165" t="s">
        <v>251</v>
      </c>
      <c r="E8" s="166">
        <f>1973/12</f>
        <v>164.41666666667001</v>
      </c>
      <c r="F8" s="112" t="s">
        <v>252</v>
      </c>
      <c r="G8" s="167"/>
    </row>
    <row r="9" spans="1:7" ht="15.75" customHeight="1" x14ac:dyDescent="0.25">
      <c r="A9" s="164" t="s">
        <v>253</v>
      </c>
      <c r="B9" s="112" t="s">
        <v>254</v>
      </c>
      <c r="C9" s="165" t="s">
        <v>255</v>
      </c>
      <c r="D9" s="165" t="s">
        <v>246</v>
      </c>
      <c r="E9" s="166">
        <v>1</v>
      </c>
      <c r="F9" s="112"/>
      <c r="G9" s="167"/>
    </row>
    <row r="10" spans="1:7" ht="15.75" customHeight="1" x14ac:dyDescent="0.25">
      <c r="A10" s="164" t="s">
        <v>256</v>
      </c>
      <c r="B10" s="112" t="s">
        <v>257</v>
      </c>
      <c r="C10" s="165"/>
      <c r="D10" s="165"/>
      <c r="E10" s="168">
        <v>4.9000000000000004</v>
      </c>
      <c r="F10" s="112" t="s">
        <v>258</v>
      </c>
      <c r="G10" s="167"/>
    </row>
    <row r="11" spans="1:7" ht="78.75" customHeight="1" x14ac:dyDescent="0.25">
      <c r="A11" s="164" t="s">
        <v>259</v>
      </c>
      <c r="B11" s="112" t="s">
        <v>260</v>
      </c>
      <c r="C11" s="165" t="s">
        <v>261</v>
      </c>
      <c r="D11" s="165" t="s">
        <v>246</v>
      </c>
      <c r="E11" s="169">
        <v>1.522</v>
      </c>
      <c r="F11" s="112" t="s">
        <v>262</v>
      </c>
      <c r="G11" s="109"/>
    </row>
    <row r="12" spans="1:7" ht="78.75" customHeight="1" x14ac:dyDescent="0.25">
      <c r="A12" s="164" t="s">
        <v>263</v>
      </c>
      <c r="B12" s="111" t="s">
        <v>264</v>
      </c>
      <c r="C12" s="165" t="s">
        <v>265</v>
      </c>
      <c r="D12" s="165" t="s">
        <v>246</v>
      </c>
      <c r="E12" s="170">
        <v>1.139</v>
      </c>
      <c r="F12" s="171" t="s">
        <v>266</v>
      </c>
      <c r="G12" s="167"/>
    </row>
    <row r="13" spans="1:7" ht="63" customHeight="1" x14ac:dyDescent="0.25">
      <c r="A13" s="164" t="s">
        <v>267</v>
      </c>
      <c r="B13" s="122" t="s">
        <v>268</v>
      </c>
      <c r="C13" s="165" t="s">
        <v>269</v>
      </c>
      <c r="D13" s="165" t="s">
        <v>270</v>
      </c>
      <c r="E13" s="172">
        <v>504.75733271476997</v>
      </c>
      <c r="F13" s="112" t="s">
        <v>271</v>
      </c>
      <c r="G13" s="10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2" t="s">
        <v>272</v>
      </c>
      <c r="B1" s="252"/>
      <c r="C1" s="252"/>
      <c r="D1" s="252"/>
      <c r="E1" s="252"/>
      <c r="F1" s="252"/>
      <c r="G1" s="252"/>
      <c r="H1" s="252"/>
      <c r="I1" s="252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4" t="e">
        <f>#REF!</f>
        <v>#REF!</v>
      </c>
      <c r="B3" s="204"/>
      <c r="C3" s="204"/>
      <c r="D3" s="204"/>
      <c r="E3" s="204"/>
      <c r="F3" s="204"/>
      <c r="G3" s="204"/>
      <c r="H3" s="204"/>
      <c r="I3" s="204"/>
    </row>
    <row r="4" spans="1:13" s="4" customFormat="1" ht="15.75" customHeight="1" x14ac:dyDescent="0.2">
      <c r="A4" s="253"/>
      <c r="B4" s="253"/>
      <c r="C4" s="253"/>
      <c r="D4" s="253"/>
      <c r="E4" s="253"/>
      <c r="F4" s="253"/>
      <c r="G4" s="253"/>
      <c r="H4" s="253"/>
      <c r="I4" s="253"/>
    </row>
    <row r="5" spans="1:13" s="29" customFormat="1" ht="36.75" customHeight="1" x14ac:dyDescent="0.35">
      <c r="A5" s="254" t="s">
        <v>13</v>
      </c>
      <c r="B5" s="254" t="s">
        <v>273</v>
      </c>
      <c r="C5" s="254" t="s">
        <v>274</v>
      </c>
      <c r="D5" s="254" t="s">
        <v>275</v>
      </c>
      <c r="E5" s="249" t="s">
        <v>276</v>
      </c>
      <c r="F5" s="249"/>
      <c r="G5" s="249"/>
      <c r="H5" s="249"/>
      <c r="I5" s="249"/>
    </row>
    <row r="6" spans="1:13" s="24" customFormat="1" ht="31.7" customHeight="1" x14ac:dyDescent="0.2">
      <c r="A6" s="254"/>
      <c r="B6" s="254"/>
      <c r="C6" s="254"/>
      <c r="D6" s="254"/>
      <c r="E6" s="30" t="s">
        <v>87</v>
      </c>
      <c r="F6" s="30" t="s">
        <v>88</v>
      </c>
      <c r="G6" s="30" t="s">
        <v>43</v>
      </c>
      <c r="H6" s="30" t="s">
        <v>277</v>
      </c>
      <c r="I6" s="30" t="s">
        <v>278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148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279</v>
      </c>
      <c r="C9" s="8" t="s">
        <v>280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281</v>
      </c>
      <c r="C11" s="8" t="s">
        <v>229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282</v>
      </c>
      <c r="C12" s="8" t="s">
        <v>283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284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232</v>
      </c>
      <c r="C14" s="8" t="s">
        <v>285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286</v>
      </c>
      <c r="C16" s="8" t="s">
        <v>287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288</v>
      </c>
    </row>
    <row r="17" spans="1:10" s="24" customFormat="1" ht="81.75" customHeight="1" x14ac:dyDescent="0.2">
      <c r="A17" s="31">
        <v>7</v>
      </c>
      <c r="B17" s="8" t="s">
        <v>286</v>
      </c>
      <c r="C17" s="8" t="s">
        <v>289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290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291</v>
      </c>
      <c r="C20" s="8" t="s">
        <v>160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292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293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294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295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296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6" t="s">
        <v>297</v>
      </c>
      <c r="O2" s="256"/>
    </row>
    <row r="3" spans="1:16" x14ac:dyDescent="0.25">
      <c r="A3" s="257" t="s">
        <v>298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5" spans="1:16" ht="37.5" customHeight="1" x14ac:dyDescent="0.25">
      <c r="A5" s="258" t="s">
        <v>299</v>
      </c>
      <c r="B5" s="261" t="s">
        <v>300</v>
      </c>
      <c r="C5" s="264" t="s">
        <v>301</v>
      </c>
      <c r="D5" s="267" t="s">
        <v>302</v>
      </c>
      <c r="E5" s="268"/>
      <c r="F5" s="268"/>
      <c r="G5" s="268"/>
      <c r="H5" s="268"/>
      <c r="I5" s="267" t="s">
        <v>303</v>
      </c>
      <c r="J5" s="268"/>
      <c r="K5" s="268"/>
      <c r="L5" s="268"/>
      <c r="M5" s="268"/>
      <c r="N5" s="268"/>
      <c r="O5" s="47" t="s">
        <v>304</v>
      </c>
    </row>
    <row r="6" spans="1:16" s="50" customFormat="1" ht="150" customHeight="1" x14ac:dyDescent="0.25">
      <c r="A6" s="259"/>
      <c r="B6" s="262"/>
      <c r="C6" s="265"/>
      <c r="D6" s="264" t="s">
        <v>305</v>
      </c>
      <c r="E6" s="269" t="s">
        <v>306</v>
      </c>
      <c r="F6" s="270"/>
      <c r="G6" s="271"/>
      <c r="H6" s="48" t="s">
        <v>307</v>
      </c>
      <c r="I6" s="272" t="s">
        <v>308</v>
      </c>
      <c r="J6" s="272" t="s">
        <v>305</v>
      </c>
      <c r="K6" s="273" t="s">
        <v>306</v>
      </c>
      <c r="L6" s="273"/>
      <c r="M6" s="273"/>
      <c r="N6" s="48" t="s">
        <v>307</v>
      </c>
      <c r="O6" s="49" t="s">
        <v>309</v>
      </c>
    </row>
    <row r="7" spans="1:16" s="50" customFormat="1" ht="30.75" customHeight="1" x14ac:dyDescent="0.25">
      <c r="A7" s="260"/>
      <c r="B7" s="263"/>
      <c r="C7" s="266"/>
      <c r="D7" s="266"/>
      <c r="E7" s="47" t="s">
        <v>87</v>
      </c>
      <c r="F7" s="47" t="s">
        <v>88</v>
      </c>
      <c r="G7" s="47" t="s">
        <v>43</v>
      </c>
      <c r="H7" s="51" t="s">
        <v>310</v>
      </c>
      <c r="I7" s="272"/>
      <c r="J7" s="272"/>
      <c r="K7" s="47" t="s">
        <v>87</v>
      </c>
      <c r="L7" s="47" t="s">
        <v>88</v>
      </c>
      <c r="M7" s="47" t="s">
        <v>43</v>
      </c>
      <c r="N7" s="51" t="s">
        <v>310</v>
      </c>
      <c r="O7" s="47" t="s">
        <v>311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8" t="s">
        <v>312</v>
      </c>
      <c r="C9" s="53" t="s">
        <v>313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0"/>
      <c r="C10" s="56" t="s">
        <v>314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8" t="s">
        <v>315</v>
      </c>
      <c r="C11" s="56" t="s">
        <v>316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0"/>
      <c r="C12" s="56" t="s">
        <v>317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8" t="s">
        <v>318</v>
      </c>
      <c r="C13" s="53" t="s">
        <v>319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0"/>
      <c r="C14" s="56" t="s">
        <v>320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321</v>
      </c>
      <c r="C15" s="56" t="s">
        <v>322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323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324</v>
      </c>
    </row>
    <row r="19" spans="1:15" ht="30.75" customHeight="1" x14ac:dyDescent="0.25">
      <c r="L19" s="68"/>
    </row>
    <row r="20" spans="1:15" ht="15" customHeight="1" outlineLevel="1" x14ac:dyDescent="0.25">
      <c r="G20" s="255" t="s">
        <v>325</v>
      </c>
      <c r="H20" s="255"/>
      <c r="I20" s="255"/>
      <c r="J20" s="255"/>
      <c r="K20" s="255"/>
      <c r="L20" s="255"/>
      <c r="M20" s="255"/>
      <c r="N20" s="255"/>
    </row>
    <row r="21" spans="1:15" ht="15.75" customHeight="1" outlineLevel="1" x14ac:dyDescent="0.25">
      <c r="G21" s="69"/>
      <c r="H21" s="69" t="s">
        <v>326</v>
      </c>
      <c r="I21" s="69" t="s">
        <v>327</v>
      </c>
      <c r="J21" s="69" t="s">
        <v>328</v>
      </c>
      <c r="K21" s="70" t="s">
        <v>329</v>
      </c>
      <c r="L21" s="69" t="s">
        <v>330</v>
      </c>
      <c r="M21" s="69" t="s">
        <v>331</v>
      </c>
      <c r="N21" s="69" t="s">
        <v>332</v>
      </c>
      <c r="O21" s="63"/>
    </row>
    <row r="22" spans="1:15" ht="15.75" customHeight="1" outlineLevel="1" x14ac:dyDescent="0.25">
      <c r="G22" s="275" t="s">
        <v>333</v>
      </c>
      <c r="H22" s="274">
        <v>6.09</v>
      </c>
      <c r="I22" s="276">
        <v>6.44</v>
      </c>
      <c r="J22" s="274">
        <v>5.77</v>
      </c>
      <c r="K22" s="276">
        <v>5.77</v>
      </c>
      <c r="L22" s="274">
        <v>5.23</v>
      </c>
      <c r="M22" s="274">
        <v>5.77</v>
      </c>
      <c r="N22" s="71">
        <v>6.29</v>
      </c>
      <c r="O22" t="s">
        <v>334</v>
      </c>
    </row>
    <row r="23" spans="1:15" ht="15.75" customHeight="1" outlineLevel="1" x14ac:dyDescent="0.25">
      <c r="G23" s="275"/>
      <c r="H23" s="274"/>
      <c r="I23" s="276"/>
      <c r="J23" s="274"/>
      <c r="K23" s="276"/>
      <c r="L23" s="274"/>
      <c r="M23" s="274"/>
      <c r="N23" s="71">
        <v>6.56</v>
      </c>
      <c r="O23" t="s">
        <v>335</v>
      </c>
    </row>
    <row r="24" spans="1:15" ht="15.75" customHeight="1" outlineLevel="1" x14ac:dyDescent="0.25">
      <c r="G24" s="72" t="s">
        <v>336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310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337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338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277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2" t="s">
        <v>339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</row>
    <row r="4" spans="1:18" ht="36.75" customHeight="1" x14ac:dyDescent="0.25">
      <c r="A4" s="258" t="s">
        <v>299</v>
      </c>
      <c r="B4" s="261" t="s">
        <v>300</v>
      </c>
      <c r="C4" s="264" t="s">
        <v>340</v>
      </c>
      <c r="D4" s="264" t="s">
        <v>341</v>
      </c>
      <c r="E4" s="267" t="s">
        <v>342</v>
      </c>
      <c r="F4" s="268"/>
      <c r="G4" s="268"/>
      <c r="H4" s="268"/>
      <c r="I4" s="268"/>
      <c r="J4" s="268"/>
      <c r="K4" s="268"/>
      <c r="L4" s="268"/>
      <c r="M4" s="268"/>
      <c r="N4" s="293" t="s">
        <v>343</v>
      </c>
      <c r="O4" s="294"/>
      <c r="P4" s="294"/>
      <c r="Q4" s="294"/>
      <c r="R4" s="295"/>
    </row>
    <row r="5" spans="1:18" ht="60" customHeight="1" x14ac:dyDescent="0.25">
      <c r="A5" s="259"/>
      <c r="B5" s="262"/>
      <c r="C5" s="265"/>
      <c r="D5" s="265"/>
      <c r="E5" s="272" t="s">
        <v>344</v>
      </c>
      <c r="F5" s="272" t="s">
        <v>345</v>
      </c>
      <c r="G5" s="269" t="s">
        <v>306</v>
      </c>
      <c r="H5" s="270"/>
      <c r="I5" s="270"/>
      <c r="J5" s="271"/>
      <c r="K5" s="272" t="s">
        <v>346</v>
      </c>
      <c r="L5" s="272"/>
      <c r="M5" s="272"/>
      <c r="N5" s="74" t="s">
        <v>347</v>
      </c>
      <c r="O5" s="74" t="s">
        <v>348</v>
      </c>
      <c r="P5" s="74" t="s">
        <v>349</v>
      </c>
      <c r="Q5" s="75" t="s">
        <v>350</v>
      </c>
      <c r="R5" s="74" t="s">
        <v>351</v>
      </c>
    </row>
    <row r="6" spans="1:18" ht="49.7" customHeight="1" x14ac:dyDescent="0.25">
      <c r="A6" s="260"/>
      <c r="B6" s="263"/>
      <c r="C6" s="266"/>
      <c r="D6" s="266"/>
      <c r="E6" s="272"/>
      <c r="F6" s="272"/>
      <c r="G6" s="47" t="s">
        <v>87</v>
      </c>
      <c r="H6" s="47" t="s">
        <v>88</v>
      </c>
      <c r="I6" s="47" t="s">
        <v>43</v>
      </c>
      <c r="J6" s="47" t="s">
        <v>277</v>
      </c>
      <c r="K6" s="47" t="s">
        <v>347</v>
      </c>
      <c r="L6" s="47" t="s">
        <v>348</v>
      </c>
      <c r="M6" s="47" t="s">
        <v>349</v>
      </c>
      <c r="N6" s="47" t="s">
        <v>352</v>
      </c>
      <c r="O6" s="47" t="s">
        <v>353</v>
      </c>
      <c r="P6" s="47" t="s">
        <v>354</v>
      </c>
      <c r="Q6" s="48" t="s">
        <v>355</v>
      </c>
      <c r="R6" s="47" t="s">
        <v>356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8">
        <v>1</v>
      </c>
      <c r="B9" s="258" t="s">
        <v>357</v>
      </c>
      <c r="C9" s="285" t="s">
        <v>313</v>
      </c>
      <c r="D9" s="53" t="s">
        <v>358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60"/>
      <c r="B10" s="259"/>
      <c r="C10" s="286"/>
      <c r="D10" s="53" t="s">
        <v>359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8">
        <v>2</v>
      </c>
      <c r="B11" s="259"/>
      <c r="C11" s="285" t="s">
        <v>360</v>
      </c>
      <c r="D11" s="53" t="s">
        <v>358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0"/>
      <c r="B12" s="260"/>
      <c r="C12" s="286"/>
      <c r="D12" s="53" t="s">
        <v>359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8">
        <v>3</v>
      </c>
      <c r="B13" s="258" t="s">
        <v>315</v>
      </c>
      <c r="C13" s="288" t="s">
        <v>316</v>
      </c>
      <c r="D13" s="53" t="s">
        <v>361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60"/>
      <c r="B14" s="259"/>
      <c r="C14" s="289"/>
      <c r="D14" s="53" t="s">
        <v>359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8">
        <v>4</v>
      </c>
      <c r="B15" s="259"/>
      <c r="C15" s="290" t="s">
        <v>317</v>
      </c>
      <c r="D15" s="56" t="s">
        <v>361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0"/>
      <c r="B16" s="260"/>
      <c r="C16" s="291"/>
      <c r="D16" s="56" t="s">
        <v>359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8">
        <v>5</v>
      </c>
      <c r="B17" s="273" t="s">
        <v>318</v>
      </c>
      <c r="C17" s="285" t="s">
        <v>362</v>
      </c>
      <c r="D17" s="53" t="s">
        <v>363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0"/>
      <c r="B18" s="273"/>
      <c r="C18" s="286"/>
      <c r="D18" s="53" t="s">
        <v>359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8">
        <v>6</v>
      </c>
      <c r="B19" s="273"/>
      <c r="C19" s="285" t="s">
        <v>320</v>
      </c>
      <c r="D19" s="56" t="s">
        <v>361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0"/>
      <c r="B20" s="273"/>
      <c r="C20" s="286"/>
      <c r="D20" s="56" t="s">
        <v>359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8">
        <v>7</v>
      </c>
      <c r="B21" s="258" t="s">
        <v>321</v>
      </c>
      <c r="C21" s="285" t="s">
        <v>322</v>
      </c>
      <c r="D21" s="56" t="s">
        <v>364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0"/>
      <c r="B22" s="260"/>
      <c r="C22" s="286"/>
      <c r="D22" s="79" t="s">
        <v>359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365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7" t="s">
        <v>366</v>
      </c>
      <c r="E26" s="287"/>
      <c r="F26" s="287"/>
      <c r="G26" s="287"/>
      <c r="H26" s="287"/>
      <c r="I26" s="287"/>
      <c r="J26" s="287"/>
      <c r="K26" s="287"/>
      <c r="L26" s="68"/>
      <c r="R26" s="86"/>
    </row>
    <row r="27" spans="1:18" outlineLevel="1" x14ac:dyDescent="0.25">
      <c r="D27" s="87"/>
      <c r="E27" s="87" t="s">
        <v>326</v>
      </c>
      <c r="F27" s="87" t="s">
        <v>327</v>
      </c>
      <c r="G27" s="87" t="s">
        <v>328</v>
      </c>
      <c r="H27" s="88" t="s">
        <v>329</v>
      </c>
      <c r="I27" s="88" t="s">
        <v>330</v>
      </c>
      <c r="J27" s="88" t="s">
        <v>331</v>
      </c>
      <c r="K27" s="59" t="s">
        <v>332</v>
      </c>
    </row>
    <row r="28" spans="1:18" outlineLevel="1" x14ac:dyDescent="0.25">
      <c r="D28" s="281" t="s">
        <v>333</v>
      </c>
      <c r="E28" s="279">
        <v>6.09</v>
      </c>
      <c r="F28" s="283">
        <v>6.63</v>
      </c>
      <c r="G28" s="279">
        <v>5.77</v>
      </c>
      <c r="H28" s="277">
        <v>5.77</v>
      </c>
      <c r="I28" s="277">
        <v>6.35</v>
      </c>
      <c r="J28" s="279">
        <v>5.77</v>
      </c>
      <c r="K28" s="89">
        <v>6.29</v>
      </c>
      <c r="L28" t="s">
        <v>334</v>
      </c>
    </row>
    <row r="29" spans="1:18" outlineLevel="1" x14ac:dyDescent="0.25">
      <c r="D29" s="282"/>
      <c r="E29" s="280"/>
      <c r="F29" s="284"/>
      <c r="G29" s="280"/>
      <c r="H29" s="278"/>
      <c r="I29" s="278"/>
      <c r="J29" s="280"/>
      <c r="K29" s="89">
        <v>6.56</v>
      </c>
      <c r="L29" t="s">
        <v>335</v>
      </c>
    </row>
    <row r="30" spans="1:18" outlineLevel="1" x14ac:dyDescent="0.25">
      <c r="D30" s="90" t="s">
        <v>336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1" t="s">
        <v>310</v>
      </c>
      <c r="E31" s="279">
        <v>11.37</v>
      </c>
      <c r="F31" s="283">
        <v>13.56</v>
      </c>
      <c r="G31" s="279">
        <v>15.91</v>
      </c>
      <c r="H31" s="277">
        <v>15.91</v>
      </c>
      <c r="I31" s="277">
        <v>14.03</v>
      </c>
      <c r="J31" s="279">
        <v>15.91</v>
      </c>
      <c r="K31" s="89">
        <v>8.2899999999999991</v>
      </c>
      <c r="L31" t="s">
        <v>334</v>
      </c>
    </row>
    <row r="32" spans="1:18" outlineLevel="1" x14ac:dyDescent="0.25">
      <c r="D32" s="282"/>
      <c r="E32" s="280"/>
      <c r="F32" s="284"/>
      <c r="G32" s="280"/>
      <c r="H32" s="278"/>
      <c r="I32" s="278"/>
      <c r="J32" s="280"/>
      <c r="K32" s="89">
        <v>11.84</v>
      </c>
      <c r="L32" t="s">
        <v>335</v>
      </c>
    </row>
    <row r="33" spans="4:12" ht="15" customHeight="1" outlineLevel="1" x14ac:dyDescent="0.25">
      <c r="D33" s="91" t="s">
        <v>337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367</v>
      </c>
    </row>
    <row r="34" spans="4:12" outlineLevel="1" x14ac:dyDescent="0.25">
      <c r="D34" s="91" t="s">
        <v>338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367</v>
      </c>
    </row>
    <row r="35" spans="4:12" outlineLevel="1" x14ac:dyDescent="0.25">
      <c r="D35" s="90" t="s">
        <v>277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1" t="s">
        <v>10</v>
      </c>
      <c r="B2" s="201"/>
      <c r="C2" s="201"/>
      <c r="D2" s="201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4"/>
    </row>
    <row r="5" spans="1:4" x14ac:dyDescent="0.25">
      <c r="A5" s="5"/>
      <c r="B5" s="1"/>
      <c r="C5" s="1"/>
    </row>
    <row r="6" spans="1:4" x14ac:dyDescent="0.25">
      <c r="A6" s="201" t="s">
        <v>12</v>
      </c>
      <c r="B6" s="201"/>
      <c r="C6" s="201"/>
      <c r="D6" s="20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5" t="s">
        <v>5</v>
      </c>
      <c r="B15" s="206" t="s">
        <v>15</v>
      </c>
      <c r="C15" s="206"/>
      <c r="D15" s="206"/>
    </row>
    <row r="16" spans="1:4" x14ac:dyDescent="0.25">
      <c r="A16" s="205"/>
      <c r="B16" s="205" t="s">
        <v>17</v>
      </c>
      <c r="C16" s="206" t="s">
        <v>28</v>
      </c>
      <c r="D16" s="206"/>
    </row>
    <row r="17" spans="1:4" ht="39.200000000000003" customHeight="1" x14ac:dyDescent="0.25">
      <c r="A17" s="205"/>
      <c r="B17" s="20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7" t="s">
        <v>29</v>
      </c>
      <c r="B2" s="207"/>
      <c r="C2" s="207"/>
      <c r="D2" s="207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7" zoomScale="85" zoomScaleNormal="55" zoomScaleSheetLayoutView="85" workbookViewId="0">
      <selection activeCell="D28" sqref="D28"/>
    </sheetView>
  </sheetViews>
  <sheetFormatPr defaultColWidth="9.140625" defaultRowHeight="15.75" x14ac:dyDescent="0.25"/>
  <cols>
    <col min="1" max="2" width="9.140625" style="109"/>
    <col min="3" max="3" width="36.85546875" style="109" customWidth="1"/>
    <col min="4" max="4" width="36.5703125" style="109" customWidth="1"/>
    <col min="5" max="5" width="17.5703125" style="109" customWidth="1"/>
    <col min="6" max="6" width="18.7109375" style="109" customWidth="1"/>
    <col min="7" max="7" width="9.140625" style="109"/>
  </cols>
  <sheetData>
    <row r="3" spans="2:4" x14ac:dyDescent="0.25">
      <c r="B3" s="208" t="s">
        <v>45</v>
      </c>
      <c r="C3" s="208"/>
      <c r="D3" s="208"/>
    </row>
    <row r="4" spans="2:4" x14ac:dyDescent="0.25">
      <c r="B4" s="209" t="s">
        <v>46</v>
      </c>
      <c r="C4" s="209"/>
      <c r="D4" s="209"/>
    </row>
    <row r="5" spans="2:4" x14ac:dyDescent="0.25">
      <c r="B5" s="110"/>
      <c r="C5" s="110"/>
      <c r="D5" s="110"/>
    </row>
    <row r="6" spans="2:4" x14ac:dyDescent="0.25">
      <c r="B6" s="110"/>
      <c r="C6" s="110"/>
      <c r="D6" s="110"/>
    </row>
    <row r="7" spans="2:4" ht="45.75" customHeight="1" x14ac:dyDescent="0.25">
      <c r="B7" s="210" t="s">
        <v>47</v>
      </c>
      <c r="C7" s="211"/>
      <c r="D7" s="211"/>
    </row>
    <row r="8" spans="2:4" ht="31.7" customHeight="1" x14ac:dyDescent="0.25">
      <c r="B8" s="211" t="s">
        <v>48</v>
      </c>
      <c r="C8" s="211"/>
      <c r="D8" s="211"/>
    </row>
    <row r="9" spans="2:4" x14ac:dyDescent="0.25">
      <c r="B9" s="211" t="s">
        <v>49</v>
      </c>
      <c r="C9" s="211"/>
      <c r="D9" s="211"/>
    </row>
    <row r="10" spans="2:4" x14ac:dyDescent="0.25">
      <c r="B10" s="173"/>
    </row>
    <row r="11" spans="2:4" x14ac:dyDescent="0.25">
      <c r="B11" s="165" t="s">
        <v>33</v>
      </c>
      <c r="C11" s="165" t="s">
        <v>50</v>
      </c>
      <c r="D11" s="111" t="s">
        <v>51</v>
      </c>
    </row>
    <row r="12" spans="2:4" ht="157.69999999999999" customHeight="1" x14ac:dyDescent="0.25">
      <c r="B12" s="165">
        <v>1</v>
      </c>
      <c r="C12" s="111" t="s">
        <v>52</v>
      </c>
      <c r="D12" s="188" t="s">
        <v>53</v>
      </c>
    </row>
    <row r="13" spans="2:4" ht="31.7" customHeight="1" x14ac:dyDescent="0.25">
      <c r="B13" s="165">
        <v>2</v>
      </c>
      <c r="C13" s="111" t="s">
        <v>54</v>
      </c>
      <c r="D13" s="188" t="s">
        <v>55</v>
      </c>
    </row>
    <row r="14" spans="2:4" x14ac:dyDescent="0.25">
      <c r="B14" s="165">
        <v>3</v>
      </c>
      <c r="C14" s="111" t="s">
        <v>56</v>
      </c>
      <c r="D14" s="188" t="s">
        <v>57</v>
      </c>
    </row>
    <row r="15" spans="2:4" x14ac:dyDescent="0.25">
      <c r="B15" s="165">
        <v>4</v>
      </c>
      <c r="C15" s="111" t="s">
        <v>58</v>
      </c>
      <c r="D15" s="188">
        <v>1</v>
      </c>
    </row>
    <row r="16" spans="2:4" ht="94.7" customHeight="1" x14ac:dyDescent="0.25">
      <c r="B16" s="165">
        <v>5</v>
      </c>
      <c r="C16" s="113" t="s">
        <v>59</v>
      </c>
      <c r="D16" s="111" t="s">
        <v>60</v>
      </c>
    </row>
    <row r="17" spans="2:6" ht="78.75" customHeight="1" x14ac:dyDescent="0.25">
      <c r="B17" s="165">
        <v>6</v>
      </c>
      <c r="C17" s="113" t="s">
        <v>61</v>
      </c>
      <c r="D17" s="190">
        <f>D18+D19</f>
        <v>2670.2556922000003</v>
      </c>
    </row>
    <row r="18" spans="2:6" x14ac:dyDescent="0.25">
      <c r="B18" s="114" t="s">
        <v>62</v>
      </c>
      <c r="C18" s="111" t="s">
        <v>63</v>
      </c>
      <c r="D18" s="190">
        <f>'Прил.2 Расч стоим'!F12</f>
        <v>40.461925399999998</v>
      </c>
    </row>
    <row r="19" spans="2:6" ht="15.75" customHeight="1" x14ac:dyDescent="0.25">
      <c r="B19" s="114" t="s">
        <v>64</v>
      </c>
      <c r="C19" s="111" t="s">
        <v>65</v>
      </c>
      <c r="D19" s="190">
        <f>'Прил.2 Расч стоим'!H14</f>
        <v>2629.7937668000004</v>
      </c>
    </row>
    <row r="20" spans="2:6" ht="16.5" customHeight="1" x14ac:dyDescent="0.25">
      <c r="B20" s="114" t="s">
        <v>66</v>
      </c>
      <c r="C20" s="111" t="s">
        <v>67</v>
      </c>
      <c r="D20" s="190"/>
      <c r="F20" s="115"/>
    </row>
    <row r="21" spans="2:6" ht="35.450000000000003" customHeight="1" x14ac:dyDescent="0.25">
      <c r="B21" s="114" t="s">
        <v>68</v>
      </c>
      <c r="C21" s="116" t="s">
        <v>69</v>
      </c>
      <c r="D21" s="190"/>
    </row>
    <row r="22" spans="2:6" x14ac:dyDescent="0.25">
      <c r="B22" s="165">
        <v>7</v>
      </c>
      <c r="C22" s="116" t="s">
        <v>70</v>
      </c>
      <c r="D22" s="188" t="s">
        <v>71</v>
      </c>
    </row>
    <row r="23" spans="2:6" ht="123" customHeight="1" x14ac:dyDescent="0.25">
      <c r="B23" s="165">
        <v>8</v>
      </c>
      <c r="C23" s="117" t="s">
        <v>72</v>
      </c>
      <c r="D23" s="190">
        <f>D17</f>
        <v>2670.2556922000003</v>
      </c>
    </row>
    <row r="24" spans="2:6" ht="60.75" customHeight="1" x14ac:dyDescent="0.25">
      <c r="B24" s="165">
        <v>9</v>
      </c>
      <c r="C24" s="113" t="s">
        <v>73</v>
      </c>
      <c r="D24" s="190">
        <f>D23/D15</f>
        <v>2670.2556922000003</v>
      </c>
    </row>
    <row r="25" spans="2:6" ht="118.5" customHeight="1" x14ac:dyDescent="0.25">
      <c r="B25" s="165">
        <v>10</v>
      </c>
      <c r="C25" s="111" t="s">
        <v>74</v>
      </c>
      <c r="D25" s="191"/>
    </row>
    <row r="26" spans="2:6" x14ac:dyDescent="0.25">
      <c r="B26" s="118"/>
      <c r="C26" s="119"/>
      <c r="D26" s="119"/>
    </row>
    <row r="27" spans="2:6" ht="37.5" customHeight="1" x14ac:dyDescent="0.25">
      <c r="B27" s="120"/>
    </row>
    <row r="28" spans="2:6" x14ac:dyDescent="0.25">
      <c r="B28" s="109" t="s">
        <v>75</v>
      </c>
    </row>
    <row r="29" spans="2:6" x14ac:dyDescent="0.25">
      <c r="B29" s="120" t="s">
        <v>76</v>
      </c>
    </row>
    <row r="31" spans="2:6" x14ac:dyDescent="0.25">
      <c r="B31" s="109" t="s">
        <v>77</v>
      </c>
    </row>
    <row r="32" spans="2:6" x14ac:dyDescent="0.25">
      <c r="B32" s="120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47" sqref="E47"/>
    </sheetView>
  </sheetViews>
  <sheetFormatPr defaultColWidth="9.140625" defaultRowHeight="15.75" x14ac:dyDescent="0.25"/>
  <cols>
    <col min="1" max="1" width="5.5703125" style="109" customWidth="1"/>
    <col min="2" max="2" width="9.140625" style="109"/>
    <col min="3" max="3" width="35.28515625" style="109" customWidth="1"/>
    <col min="4" max="4" width="13.85546875" style="109" customWidth="1"/>
    <col min="5" max="5" width="24.85546875" style="109" customWidth="1"/>
    <col min="6" max="6" width="15.570312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18" style="109" customWidth="1"/>
    <col min="12" max="12" width="9.140625" style="109"/>
  </cols>
  <sheetData>
    <row r="3" spans="2:12" x14ac:dyDescent="0.25">
      <c r="B3" s="208" t="s">
        <v>79</v>
      </c>
      <c r="C3" s="208"/>
      <c r="D3" s="208"/>
      <c r="E3" s="208"/>
      <c r="F3" s="208"/>
      <c r="G3" s="208"/>
      <c r="H3" s="208"/>
      <c r="I3" s="208"/>
      <c r="J3" s="208"/>
      <c r="K3" s="120"/>
    </row>
    <row r="4" spans="2:12" x14ac:dyDescent="0.25">
      <c r="B4" s="209" t="s">
        <v>80</v>
      </c>
      <c r="C4" s="209"/>
      <c r="D4" s="209"/>
      <c r="E4" s="209"/>
      <c r="F4" s="209"/>
      <c r="G4" s="209"/>
      <c r="H4" s="209"/>
      <c r="I4" s="209"/>
      <c r="J4" s="209"/>
      <c r="K4" s="209"/>
    </row>
    <row r="5" spans="2:12" x14ac:dyDescent="0.25">
      <c r="B5" s="110"/>
      <c r="C5" s="110"/>
      <c r="D5" s="110"/>
      <c r="E5" s="110"/>
      <c r="F5" s="110"/>
      <c r="G5" s="110"/>
      <c r="H5" s="110"/>
      <c r="I5" s="110"/>
      <c r="J5" s="110"/>
      <c r="K5" s="110"/>
    </row>
    <row r="6" spans="2:12" ht="33" customHeight="1" x14ac:dyDescent="0.25">
      <c r="B6" s="213" t="s">
        <v>81</v>
      </c>
      <c r="C6" s="213"/>
      <c r="D6" s="213"/>
      <c r="E6" s="213"/>
      <c r="F6" s="213"/>
      <c r="G6" s="213"/>
      <c r="H6" s="213"/>
      <c r="I6" s="213"/>
      <c r="J6" s="213"/>
      <c r="K6" s="120"/>
      <c r="L6" s="121"/>
    </row>
    <row r="7" spans="2:12" x14ac:dyDescent="0.25">
      <c r="B7" s="211" t="s">
        <v>49</v>
      </c>
      <c r="C7" s="211"/>
      <c r="D7" s="211"/>
      <c r="E7" s="211"/>
      <c r="F7" s="211"/>
      <c r="G7" s="211"/>
      <c r="H7" s="211"/>
      <c r="I7" s="211"/>
      <c r="J7" s="211"/>
      <c r="K7" s="211"/>
      <c r="L7" s="121"/>
    </row>
    <row r="8" spans="2:12" x14ac:dyDescent="0.25">
      <c r="B8" s="173"/>
    </row>
    <row r="9" spans="2:12" ht="15.75" customHeight="1" x14ac:dyDescent="0.25">
      <c r="B9" s="214" t="s">
        <v>33</v>
      </c>
      <c r="C9" s="214" t="s">
        <v>82</v>
      </c>
      <c r="D9" s="214" t="s">
        <v>83</v>
      </c>
      <c r="E9" s="214"/>
      <c r="F9" s="214"/>
      <c r="G9" s="214"/>
      <c r="H9" s="214"/>
      <c r="I9" s="214"/>
      <c r="J9" s="214"/>
    </row>
    <row r="10" spans="2:12" ht="15.75" customHeight="1" x14ac:dyDescent="0.25">
      <c r="B10" s="214"/>
      <c r="C10" s="214"/>
      <c r="D10" s="214" t="s">
        <v>84</v>
      </c>
      <c r="E10" s="214" t="s">
        <v>85</v>
      </c>
      <c r="F10" s="214" t="s">
        <v>86</v>
      </c>
      <c r="G10" s="214"/>
      <c r="H10" s="214"/>
      <c r="I10" s="214"/>
      <c r="J10" s="214"/>
    </row>
    <row r="11" spans="2:12" ht="31.7" customHeight="1" x14ac:dyDescent="0.25">
      <c r="B11" s="214"/>
      <c r="C11" s="214"/>
      <c r="D11" s="214"/>
      <c r="E11" s="214"/>
      <c r="F11" s="188" t="s">
        <v>87</v>
      </c>
      <c r="G11" s="188" t="s">
        <v>88</v>
      </c>
      <c r="H11" s="188" t="s">
        <v>43</v>
      </c>
      <c r="I11" s="188" t="s">
        <v>89</v>
      </c>
      <c r="J11" s="188" t="s">
        <v>90</v>
      </c>
    </row>
    <row r="12" spans="2:12" ht="47.25" customHeight="1" x14ac:dyDescent="0.25">
      <c r="B12" s="192"/>
      <c r="C12" s="193" t="s">
        <v>91</v>
      </c>
      <c r="D12" s="194"/>
      <c r="E12" s="188"/>
      <c r="F12" s="215">
        <f>(Прил.3!H12+Прил.3!H14+Прил.3!H15+Прил.3!H19)*8.11/1000</f>
        <v>40.461925399999998</v>
      </c>
      <c r="G12" s="216"/>
      <c r="H12" s="195">
        <f>Прил.3!H16*4.78/1000</f>
        <v>2629.7937668000004</v>
      </c>
      <c r="I12" s="196"/>
      <c r="J12" s="197">
        <f>F12+H12</f>
        <v>2670.2556922000003</v>
      </c>
    </row>
    <row r="13" spans="2:12" ht="15.75" customHeight="1" x14ac:dyDescent="0.25">
      <c r="B13" s="212" t="s">
        <v>92</v>
      </c>
      <c r="C13" s="212"/>
      <c r="D13" s="212"/>
      <c r="E13" s="212"/>
      <c r="F13" s="198"/>
      <c r="G13" s="198"/>
      <c r="H13" s="198"/>
      <c r="I13" s="199"/>
      <c r="J13" s="200"/>
    </row>
    <row r="14" spans="2:12" ht="28.5" customHeight="1" x14ac:dyDescent="0.25">
      <c r="B14" s="212" t="s">
        <v>93</v>
      </c>
      <c r="C14" s="212"/>
      <c r="D14" s="212"/>
      <c r="E14" s="212"/>
      <c r="F14" s="217">
        <f>F12</f>
        <v>40.461925399999998</v>
      </c>
      <c r="G14" s="218"/>
      <c r="H14" s="198">
        <f>H12</f>
        <v>2629.7937668000004</v>
      </c>
      <c r="I14" s="199"/>
      <c r="J14" s="200">
        <f>J12</f>
        <v>2670.2556922000003</v>
      </c>
    </row>
    <row r="15" spans="2:12" x14ac:dyDescent="0.25">
      <c r="B15" s="173"/>
    </row>
    <row r="19" spans="2:2" x14ac:dyDescent="0.25">
      <c r="B19" s="109" t="s">
        <v>75</v>
      </c>
    </row>
    <row r="20" spans="2:2" x14ac:dyDescent="0.25">
      <c r="B20" s="120" t="s">
        <v>76</v>
      </c>
    </row>
    <row r="22" spans="2:2" x14ac:dyDescent="0.25">
      <c r="B22" s="109" t="s">
        <v>77</v>
      </c>
    </row>
    <row r="23" spans="2:2" x14ac:dyDescent="0.25">
      <c r="B23" s="120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28"/>
  <sheetViews>
    <sheetView view="pageBreakPreview" zoomScale="55" zoomScaleSheetLayoutView="55" workbookViewId="0">
      <selection activeCell="D27" sqref="D27"/>
    </sheetView>
  </sheetViews>
  <sheetFormatPr defaultColWidth="9.140625" defaultRowHeight="15.75" x14ac:dyDescent="0.25"/>
  <cols>
    <col min="1" max="1" width="9.140625" style="109"/>
    <col min="2" max="2" width="12.5703125" style="109" customWidth="1"/>
    <col min="3" max="3" width="22.42578125" style="109" customWidth="1"/>
    <col min="4" max="4" width="49.7109375" style="109" customWidth="1"/>
    <col min="5" max="5" width="10.140625" style="123" customWidth="1"/>
    <col min="6" max="6" width="20.7109375" style="109" customWidth="1"/>
    <col min="7" max="7" width="16.140625" style="109" customWidth="1"/>
    <col min="8" max="8" width="16.7109375" style="109" customWidth="1"/>
    <col min="9" max="9" width="9.140625" style="109"/>
    <col min="10" max="10" width="10.28515625" style="109" customWidth="1"/>
    <col min="11" max="11" width="9.140625" style="109"/>
  </cols>
  <sheetData>
    <row r="4" spans="1:13" x14ac:dyDescent="0.25">
      <c r="A4" s="208" t="s">
        <v>94</v>
      </c>
      <c r="B4" s="208"/>
      <c r="C4" s="208"/>
      <c r="D4" s="208"/>
      <c r="E4" s="208"/>
      <c r="F4" s="208"/>
      <c r="G4" s="208"/>
      <c r="H4" s="208"/>
    </row>
    <row r="5" spans="1:13" x14ac:dyDescent="0.25">
      <c r="A5" s="209" t="s">
        <v>95</v>
      </c>
      <c r="B5" s="209"/>
      <c r="C5" s="209"/>
      <c r="D5" s="209"/>
      <c r="E5" s="209"/>
      <c r="F5" s="209"/>
      <c r="G5" s="209"/>
      <c r="H5" s="209"/>
    </row>
    <row r="6" spans="1:13" x14ac:dyDescent="0.25">
      <c r="A6" s="173"/>
    </row>
    <row r="7" spans="1:13" ht="30.75" customHeight="1" x14ac:dyDescent="0.25">
      <c r="A7" s="213" t="s">
        <v>96</v>
      </c>
      <c r="B7" s="213"/>
      <c r="C7" s="213"/>
      <c r="D7" s="213"/>
      <c r="E7" s="213"/>
      <c r="F7" s="213"/>
      <c r="G7" s="213"/>
      <c r="H7" s="213"/>
    </row>
    <row r="8" spans="1:13" x14ac:dyDescent="0.25">
      <c r="A8" s="124"/>
      <c r="B8" s="124"/>
      <c r="C8" s="124"/>
      <c r="D8" s="124"/>
      <c r="E8" s="110"/>
      <c r="F8" s="124"/>
      <c r="G8" s="124"/>
      <c r="H8" s="124"/>
    </row>
    <row r="9" spans="1:13" ht="38.25" customHeight="1" x14ac:dyDescent="0.25">
      <c r="A9" s="214" t="s">
        <v>97</v>
      </c>
      <c r="B9" s="214" t="s">
        <v>98</v>
      </c>
      <c r="C9" s="214" t="s">
        <v>99</v>
      </c>
      <c r="D9" s="214" t="s">
        <v>100</v>
      </c>
      <c r="E9" s="214" t="s">
        <v>101</v>
      </c>
      <c r="F9" s="214" t="s">
        <v>102</v>
      </c>
      <c r="G9" s="214" t="s">
        <v>103</v>
      </c>
      <c r="H9" s="214"/>
    </row>
    <row r="10" spans="1:13" ht="40.700000000000003" customHeight="1" x14ac:dyDescent="0.25">
      <c r="A10" s="214"/>
      <c r="B10" s="214"/>
      <c r="C10" s="214"/>
      <c r="D10" s="214"/>
      <c r="E10" s="214"/>
      <c r="F10" s="214"/>
      <c r="G10" s="165" t="s">
        <v>104</v>
      </c>
      <c r="H10" s="165" t="s">
        <v>105</v>
      </c>
    </row>
    <row r="11" spans="1:13" x14ac:dyDescent="0.25">
      <c r="A11" s="125">
        <v>1</v>
      </c>
      <c r="B11" s="125"/>
      <c r="C11" s="125">
        <v>2</v>
      </c>
      <c r="D11" s="125" t="s">
        <v>106</v>
      </c>
      <c r="E11" s="125">
        <v>4</v>
      </c>
      <c r="F11" s="125">
        <v>5</v>
      </c>
      <c r="G11" s="125">
        <v>6</v>
      </c>
      <c r="H11" s="125">
        <v>7</v>
      </c>
    </row>
    <row r="12" spans="1:13" s="127" customFormat="1" x14ac:dyDescent="0.25">
      <c r="A12" s="219" t="s">
        <v>107</v>
      </c>
      <c r="B12" s="220"/>
      <c r="C12" s="221"/>
      <c r="D12" s="221"/>
      <c r="E12" s="220"/>
      <c r="F12" s="126">
        <f>SUM(F13:F13)</f>
        <v>42.710647559394999</v>
      </c>
      <c r="G12" s="126"/>
      <c r="H12" s="126">
        <f>SUM(H13:H13)</f>
        <v>467.25</v>
      </c>
      <c r="I12" s="109"/>
      <c r="J12" s="109"/>
      <c r="K12" s="109"/>
      <c r="L12" s="109"/>
      <c r="M12" s="109"/>
    </row>
    <row r="13" spans="1:13" x14ac:dyDescent="0.25">
      <c r="A13" s="128">
        <v>1</v>
      </c>
      <c r="B13" s="129" t="s">
        <v>108</v>
      </c>
      <c r="C13" s="130" t="s">
        <v>109</v>
      </c>
      <c r="D13" s="131" t="s">
        <v>110</v>
      </c>
      <c r="E13" s="132" t="s">
        <v>111</v>
      </c>
      <c r="F13" s="128">
        <v>42.710647559394999</v>
      </c>
      <c r="G13" s="133">
        <v>10.94</v>
      </c>
      <c r="H13" s="133">
        <f>ROUND(F13*G13,2)</f>
        <v>467.25</v>
      </c>
    </row>
    <row r="14" spans="1:13" x14ac:dyDescent="0.25">
      <c r="A14" s="219" t="s">
        <v>112</v>
      </c>
      <c r="B14" s="220"/>
      <c r="C14" s="221"/>
      <c r="D14" s="221"/>
      <c r="E14" s="220"/>
      <c r="F14" s="181"/>
      <c r="G14" s="126"/>
      <c r="H14" s="126">
        <v>0</v>
      </c>
    </row>
    <row r="15" spans="1:13" s="127" customFormat="1" x14ac:dyDescent="0.25">
      <c r="A15" s="219" t="s">
        <v>113</v>
      </c>
      <c r="B15" s="220"/>
      <c r="C15" s="221"/>
      <c r="D15" s="221"/>
      <c r="E15" s="220"/>
      <c r="F15" s="181"/>
      <c r="G15" s="126"/>
      <c r="H15" s="126">
        <v>0</v>
      </c>
      <c r="I15" s="109"/>
      <c r="J15" s="109"/>
      <c r="K15" s="109"/>
      <c r="L15" s="109"/>
      <c r="M15" s="109"/>
    </row>
    <row r="16" spans="1:13" x14ac:dyDescent="0.25">
      <c r="A16" s="219" t="s">
        <v>43</v>
      </c>
      <c r="B16" s="220"/>
      <c r="C16" s="221"/>
      <c r="D16" s="221"/>
      <c r="E16" s="220"/>
      <c r="F16" s="181"/>
      <c r="G16" s="126"/>
      <c r="H16" s="126">
        <f>SUM(H17:H18)</f>
        <v>550166.06000000006</v>
      </c>
    </row>
    <row r="17" spans="1:13" s="127" customFormat="1" ht="47.25" customHeight="1" x14ac:dyDescent="0.25">
      <c r="A17" s="128">
        <v>2</v>
      </c>
      <c r="B17" s="128" t="s">
        <v>108</v>
      </c>
      <c r="C17" s="131" t="s">
        <v>114</v>
      </c>
      <c r="D17" s="131" t="s">
        <v>115</v>
      </c>
      <c r="E17" s="132" t="s">
        <v>116</v>
      </c>
      <c r="F17" s="128">
        <v>16</v>
      </c>
      <c r="G17" s="133">
        <v>34095.85</v>
      </c>
      <c r="H17" s="133">
        <f>ROUND(F17*G17,2)</f>
        <v>545533.6</v>
      </c>
      <c r="I17" s="109"/>
      <c r="J17" s="109"/>
      <c r="K17" s="109"/>
      <c r="L17" s="109"/>
      <c r="M17" s="109"/>
    </row>
    <row r="18" spans="1:13" s="127" customFormat="1" x14ac:dyDescent="0.25">
      <c r="A18" s="128">
        <v>3</v>
      </c>
      <c r="B18" s="128" t="s">
        <v>108</v>
      </c>
      <c r="C18" s="131" t="s">
        <v>117</v>
      </c>
      <c r="D18" s="131" t="s">
        <v>118</v>
      </c>
      <c r="E18" s="132" t="s">
        <v>119</v>
      </c>
      <c r="F18" s="128">
        <v>0.45714285714286002</v>
      </c>
      <c r="G18" s="133">
        <v>10133.5</v>
      </c>
      <c r="H18" s="133">
        <f>ROUND(F18*G18,2)</f>
        <v>4632.46</v>
      </c>
      <c r="I18" s="109"/>
      <c r="J18" s="109"/>
      <c r="K18" s="109"/>
      <c r="L18" s="109"/>
      <c r="M18" s="109"/>
    </row>
    <row r="19" spans="1:13" x14ac:dyDescent="0.25">
      <c r="A19" s="219" t="s">
        <v>120</v>
      </c>
      <c r="B19" s="220"/>
      <c r="C19" s="221"/>
      <c r="D19" s="221"/>
      <c r="E19" s="220"/>
      <c r="F19" s="181"/>
      <c r="G19" s="126"/>
      <c r="H19" s="126">
        <f>SUM(H20:H21)</f>
        <v>4521.8900000000003</v>
      </c>
    </row>
    <row r="20" spans="1:13" ht="31.7" customHeight="1" x14ac:dyDescent="0.25">
      <c r="A20" s="128">
        <v>4</v>
      </c>
      <c r="B20" s="128" t="s">
        <v>108</v>
      </c>
      <c r="C20" s="131" t="s">
        <v>121</v>
      </c>
      <c r="D20" s="131" t="s">
        <v>122</v>
      </c>
      <c r="E20" s="132" t="s">
        <v>116</v>
      </c>
      <c r="F20" s="128">
        <v>11.426067834375999</v>
      </c>
      <c r="G20" s="133">
        <v>394.94</v>
      </c>
      <c r="H20" s="133">
        <f>ROUND(F20*G20,2)</f>
        <v>4512.6099999999997</v>
      </c>
    </row>
    <row r="21" spans="1:13" ht="31.7" customHeight="1" x14ac:dyDescent="0.25">
      <c r="A21" s="128">
        <v>5</v>
      </c>
      <c r="B21" s="128" t="s">
        <v>108</v>
      </c>
      <c r="C21" s="131" t="s">
        <v>123</v>
      </c>
      <c r="D21" s="131" t="s">
        <v>124</v>
      </c>
      <c r="E21" s="132" t="s">
        <v>125</v>
      </c>
      <c r="F21" s="128">
        <v>9.2792898388268004</v>
      </c>
      <c r="G21" s="133">
        <v>1</v>
      </c>
      <c r="H21" s="133">
        <f>ROUND(F21*G21,2)</f>
        <v>9.2799999999999994</v>
      </c>
    </row>
    <row r="24" spans="1:13" x14ac:dyDescent="0.25">
      <c r="B24" s="109" t="s">
        <v>75</v>
      </c>
    </row>
    <row r="25" spans="1:13" x14ac:dyDescent="0.25">
      <c r="B25" s="120" t="s">
        <v>76</v>
      </c>
    </row>
    <row r="27" spans="1:13" x14ac:dyDescent="0.25">
      <c r="B27" s="109" t="s">
        <v>77</v>
      </c>
    </row>
    <row r="28" spans="1:13" x14ac:dyDescent="0.25">
      <c r="B28" s="120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G50"/>
  <sheetViews>
    <sheetView view="pageBreakPreview" topLeftCell="A1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5703125" customWidth="1"/>
    <col min="8" max="8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126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1" t="s">
        <v>127</v>
      </c>
      <c r="C5" s="201"/>
      <c r="D5" s="201"/>
      <c r="E5" s="201"/>
    </row>
    <row r="6" spans="2:5" x14ac:dyDescent="0.25">
      <c r="B6" s="136"/>
      <c r="C6" s="4"/>
      <c r="D6" s="4"/>
      <c r="E6" s="4"/>
    </row>
    <row r="7" spans="2:5" ht="25.5" customHeight="1" x14ac:dyDescent="0.25">
      <c r="B7" s="222" t="s">
        <v>47</v>
      </c>
      <c r="C7" s="222"/>
      <c r="D7" s="222"/>
      <c r="E7" s="222"/>
    </row>
    <row r="8" spans="2:5" x14ac:dyDescent="0.25">
      <c r="B8" s="223" t="s">
        <v>49</v>
      </c>
      <c r="C8" s="223"/>
      <c r="D8" s="223"/>
      <c r="E8" s="223"/>
    </row>
    <row r="9" spans="2:5" x14ac:dyDescent="0.25">
      <c r="B9" s="136"/>
      <c r="C9" s="4"/>
      <c r="D9" s="4"/>
      <c r="E9" s="4"/>
    </row>
    <row r="10" spans="2:5" ht="51" customHeight="1" x14ac:dyDescent="0.25">
      <c r="B10" s="2" t="s">
        <v>128</v>
      </c>
      <c r="C10" s="2" t="s">
        <v>129</v>
      </c>
      <c r="D10" s="2" t="s">
        <v>130</v>
      </c>
      <c r="E10" s="2" t="s">
        <v>131</v>
      </c>
    </row>
    <row r="11" spans="2:5" x14ac:dyDescent="0.25">
      <c r="B11" s="105" t="s">
        <v>132</v>
      </c>
      <c r="C11" s="106">
        <f>'Прил.5 Расчет СМР и ОБ'!J14</f>
        <v>21558.51</v>
      </c>
      <c r="D11" s="107">
        <f t="shared" ref="D11:D18" si="0">C11/$C$24</f>
        <v>0.24713394794765486</v>
      </c>
      <c r="E11" s="107">
        <f t="shared" ref="E11:E18" si="1">C11/$C$40</f>
        <v>5.4073921214485079E-3</v>
      </c>
    </row>
    <row r="12" spans="2:5" x14ac:dyDescent="0.25">
      <c r="B12" s="105" t="s">
        <v>133</v>
      </c>
      <c r="C12" s="106">
        <f>'Прил.5 Расчет СМР и ОБ'!J17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134</v>
      </c>
      <c r="C13" s="106">
        <f>'Прил.5 Расчет СМР и ОБ'!J18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135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136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137</v>
      </c>
      <c r="C16" s="106">
        <f>'Прил.5 Расчет СМР и ОБ'!J31</f>
        <v>36281.42</v>
      </c>
      <c r="D16" s="107">
        <f t="shared" si="0"/>
        <v>0.41590863940722267</v>
      </c>
      <c r="E16" s="107">
        <f t="shared" si="1"/>
        <v>9.1002515787484538E-3</v>
      </c>
    </row>
    <row r="17" spans="2:5" x14ac:dyDescent="0.25">
      <c r="B17" s="105" t="s">
        <v>138</v>
      </c>
      <c r="C17" s="106">
        <f>'Прил.5 Расчет СМР и ОБ'!J33</f>
        <v>74.61</v>
      </c>
      <c r="D17" s="107">
        <f t="shared" si="0"/>
        <v>8.5528470457255762E-4</v>
      </c>
      <c r="E17" s="107">
        <f t="shared" si="1"/>
        <v>1.8713980056194665E-5</v>
      </c>
    </row>
    <row r="18" spans="2:5" x14ac:dyDescent="0.25">
      <c r="B18" s="105" t="s">
        <v>139</v>
      </c>
      <c r="C18" s="106">
        <f>C17+C16</f>
        <v>36356.03</v>
      </c>
      <c r="D18" s="107">
        <f t="shared" si="0"/>
        <v>0.41676392411179525</v>
      </c>
      <c r="E18" s="107">
        <f t="shared" si="1"/>
        <v>9.1189655588046498E-3</v>
      </c>
    </row>
    <row r="19" spans="2:5" x14ac:dyDescent="0.25">
      <c r="B19" s="105" t="s">
        <v>140</v>
      </c>
      <c r="C19" s="106">
        <f>C18+C14+C11</f>
        <v>57914.539999999994</v>
      </c>
      <c r="D19" s="107"/>
      <c r="E19" s="105"/>
    </row>
    <row r="20" spans="2:5" x14ac:dyDescent="0.25">
      <c r="B20" s="105" t="s">
        <v>141</v>
      </c>
      <c r="C20" s="106">
        <f>ROUND(C21*(C11+C15),2)</f>
        <v>9916.91</v>
      </c>
      <c r="D20" s="107">
        <f>C20/$C$24</f>
        <v>0.11368156332425469</v>
      </c>
      <c r="E20" s="107">
        <f>C20/$C$40</f>
        <v>2.4873992220758269E-3</v>
      </c>
    </row>
    <row r="21" spans="2:5" x14ac:dyDescent="0.25">
      <c r="B21" s="105" t="s">
        <v>142</v>
      </c>
      <c r="C21" s="180">
        <v>0.46</v>
      </c>
      <c r="D21" s="107"/>
      <c r="E21" s="105"/>
    </row>
    <row r="22" spans="2:5" x14ac:dyDescent="0.25">
      <c r="B22" s="105" t="s">
        <v>143</v>
      </c>
      <c r="C22" s="106">
        <f>ROUND(C23*(C11+C15),2)</f>
        <v>19402.66</v>
      </c>
      <c r="D22" s="107">
        <f>C22/$C$24</f>
        <v>0.22242056461629517</v>
      </c>
      <c r="E22" s="107">
        <f>C22/$C$40</f>
        <v>4.866653160127677E-3</v>
      </c>
    </row>
    <row r="23" spans="2:5" x14ac:dyDescent="0.25">
      <c r="B23" s="105" t="s">
        <v>144</v>
      </c>
      <c r="C23" s="180">
        <v>0.9</v>
      </c>
      <c r="D23" s="107"/>
      <c r="E23" s="105"/>
    </row>
    <row r="24" spans="2:5" x14ac:dyDescent="0.25">
      <c r="B24" s="105" t="s">
        <v>145</v>
      </c>
      <c r="C24" s="106">
        <f>C19+C20+C22</f>
        <v>87234.11</v>
      </c>
      <c r="D24" s="107">
        <f>C24/$C$24</f>
        <v>1</v>
      </c>
      <c r="E24" s="107">
        <f>C24/$C$40</f>
        <v>2.1880410062456661E-2</v>
      </c>
    </row>
    <row r="25" spans="2:5" ht="25.5" customHeight="1" x14ac:dyDescent="0.25">
      <c r="B25" s="105" t="s">
        <v>146</v>
      </c>
      <c r="C25" s="106">
        <f>'Прил.5 Расчет СМР и ОБ'!J26</f>
        <v>3444039.18</v>
      </c>
      <c r="D25" s="107"/>
      <c r="E25" s="107">
        <f>C25/$C$40</f>
        <v>0.86384774865665503</v>
      </c>
    </row>
    <row r="26" spans="2:5" ht="25.5" customHeight="1" x14ac:dyDescent="0.25">
      <c r="B26" s="105" t="s">
        <v>147</v>
      </c>
      <c r="C26" s="106">
        <f>'Прил.5 Расчет СМР и ОБ'!J27</f>
        <v>3444039.54</v>
      </c>
      <c r="D26" s="107"/>
      <c r="E26" s="107">
        <f>C26/$C$40</f>
        <v>0.86384783895330175</v>
      </c>
    </row>
    <row r="27" spans="2:5" x14ac:dyDescent="0.25">
      <c r="B27" s="105" t="s">
        <v>148</v>
      </c>
      <c r="C27" s="134">
        <f>C24+C25</f>
        <v>3531273.29</v>
      </c>
      <c r="D27" s="107"/>
      <c r="E27" s="107">
        <f>C27/$C$40</f>
        <v>0.88572815871911159</v>
      </c>
    </row>
    <row r="28" spans="2:5" ht="33" customHeight="1" x14ac:dyDescent="0.25">
      <c r="B28" s="105" t="s">
        <v>149</v>
      </c>
      <c r="C28" s="105"/>
      <c r="D28" s="105"/>
      <c r="E28" s="105"/>
    </row>
    <row r="29" spans="2:5" ht="25.5" customHeight="1" x14ac:dyDescent="0.25">
      <c r="B29" s="105" t="s">
        <v>150</v>
      </c>
      <c r="C29" s="134">
        <f>ROUND(C24*3.9%,2)</f>
        <v>3402.13</v>
      </c>
      <c r="D29" s="105"/>
      <c r="E29" s="107">
        <f t="shared" ref="E29:E38" si="2">C29/$C$40</f>
        <v>8.5333591969684439E-4</v>
      </c>
    </row>
    <row r="30" spans="2:5" ht="38.25" customHeight="1" x14ac:dyDescent="0.25">
      <c r="B30" s="185" t="s">
        <v>151</v>
      </c>
      <c r="C30" s="186">
        <f>ROUND((C24+C29)*2.1%,2)</f>
        <v>1903.36</v>
      </c>
      <c r="D30" s="185"/>
      <c r="E30" s="107">
        <f t="shared" si="2"/>
        <v>4.7740840476824385E-4</v>
      </c>
    </row>
    <row r="31" spans="2:5" x14ac:dyDescent="0.25">
      <c r="B31" s="185" t="s">
        <v>152</v>
      </c>
      <c r="C31" s="186">
        <v>261240</v>
      </c>
      <c r="D31" s="185"/>
      <c r="E31" s="107">
        <f t="shared" si="2"/>
        <v>6.5525266718674369E-2</v>
      </c>
    </row>
    <row r="32" spans="2:5" ht="25.5" customHeight="1" x14ac:dyDescent="0.25">
      <c r="B32" s="185" t="s">
        <v>153</v>
      </c>
      <c r="C32" s="186">
        <v>0</v>
      </c>
      <c r="D32" s="185"/>
      <c r="E32" s="107">
        <f t="shared" si="2"/>
        <v>0</v>
      </c>
    </row>
    <row r="33" spans="2:7" ht="25.5" customHeight="1" x14ac:dyDescent="0.25">
      <c r="B33" s="105" t="s">
        <v>154</v>
      </c>
      <c r="C33" s="134">
        <v>0</v>
      </c>
      <c r="D33" s="105"/>
      <c r="E33" s="107">
        <f t="shared" si="2"/>
        <v>0</v>
      </c>
    </row>
    <row r="34" spans="2:7" ht="51" customHeight="1" x14ac:dyDescent="0.25">
      <c r="B34" s="105" t="s">
        <v>155</v>
      </c>
      <c r="C34" s="134">
        <v>0</v>
      </c>
      <c r="D34" s="105"/>
      <c r="E34" s="107">
        <f t="shared" si="2"/>
        <v>0</v>
      </c>
    </row>
    <row r="35" spans="2:7" ht="76.7" customHeight="1" x14ac:dyDescent="0.25">
      <c r="B35" s="105" t="s">
        <v>156</v>
      </c>
      <c r="C35" s="134">
        <v>0</v>
      </c>
      <c r="D35" s="105"/>
      <c r="E35" s="107">
        <f t="shared" si="2"/>
        <v>0</v>
      </c>
    </row>
    <row r="36" spans="2:7" ht="25.5" customHeight="1" x14ac:dyDescent="0.25">
      <c r="B36" s="105" t="s">
        <v>157</v>
      </c>
      <c r="C36" s="134">
        <f>ROUND((C27+C32+C33+C34+C35+C29+C31+C30)*1.72%,2)</f>
        <v>65322.48</v>
      </c>
      <c r="D36" s="105"/>
      <c r="E36" s="107">
        <f t="shared" si="2"/>
        <v>1.6384446963425479E-2</v>
      </c>
      <c r="G36" s="135"/>
    </row>
    <row r="37" spans="2:7" x14ac:dyDescent="0.25">
      <c r="B37" s="105" t="s">
        <v>158</v>
      </c>
      <c r="C37" s="134">
        <f>ROUND((C27+C32+C33+C34+C35+C29+C31+C30)*0.2%,2)</f>
        <v>7595.64</v>
      </c>
      <c r="D37" s="105"/>
      <c r="E37" s="107">
        <f t="shared" si="2"/>
        <v>1.9051689515351086E-3</v>
      </c>
      <c r="G37" s="135"/>
    </row>
    <row r="38" spans="2:7" ht="38.25" customHeight="1" x14ac:dyDescent="0.25">
      <c r="B38" s="105" t="s">
        <v>159</v>
      </c>
      <c r="C38" s="106">
        <f>C27+C32+C33+C34+C35+C29+C31+C30+C36+C37</f>
        <v>3870736.9</v>
      </c>
      <c r="D38" s="105"/>
      <c r="E38" s="107">
        <f t="shared" si="2"/>
        <v>0.97087378567721161</v>
      </c>
    </row>
    <row r="39" spans="2:7" ht="13.7" customHeight="1" x14ac:dyDescent="0.25">
      <c r="B39" s="105" t="s">
        <v>160</v>
      </c>
      <c r="C39" s="106">
        <f>ROUND(C38*3%,2)</f>
        <v>116122.11</v>
      </c>
      <c r="D39" s="105"/>
      <c r="E39" s="107">
        <f>C39/$C$38</f>
        <v>3.0000000775046221E-2</v>
      </c>
    </row>
    <row r="40" spans="2:7" x14ac:dyDescent="0.25">
      <c r="B40" s="105" t="s">
        <v>161</v>
      </c>
      <c r="C40" s="106">
        <f>C39+C38</f>
        <v>3986859.01</v>
      </c>
      <c r="D40" s="105"/>
      <c r="E40" s="107">
        <f>C40/$C$40</f>
        <v>1</v>
      </c>
    </row>
    <row r="41" spans="2:7" x14ac:dyDescent="0.25">
      <c r="B41" s="105" t="s">
        <v>162</v>
      </c>
      <c r="C41" s="106">
        <f>C40/'Прил.5 Расчет СМР и ОБ'!E40</f>
        <v>3986859.01</v>
      </c>
      <c r="D41" s="105"/>
      <c r="E41" s="105"/>
    </row>
    <row r="42" spans="2:7" x14ac:dyDescent="0.25">
      <c r="B42" s="108"/>
      <c r="C42" s="4"/>
      <c r="D42" s="4"/>
      <c r="E42" s="4"/>
    </row>
    <row r="43" spans="2:7" x14ac:dyDescent="0.25">
      <c r="B43" s="108" t="s">
        <v>163</v>
      </c>
      <c r="C43" s="4"/>
      <c r="D43" s="4"/>
      <c r="E43" s="4"/>
    </row>
    <row r="44" spans="2:7" x14ac:dyDescent="0.25">
      <c r="B44" s="108" t="s">
        <v>164</v>
      </c>
      <c r="C44" s="4"/>
      <c r="D44" s="4"/>
      <c r="E44" s="4"/>
    </row>
    <row r="45" spans="2:7" x14ac:dyDescent="0.25">
      <c r="B45" s="108"/>
      <c r="C45" s="4"/>
      <c r="D45" s="4"/>
      <c r="E45" s="4"/>
    </row>
    <row r="46" spans="2:7" x14ac:dyDescent="0.25">
      <c r="B46" s="108" t="s">
        <v>165</v>
      </c>
      <c r="C46" s="4"/>
      <c r="D46" s="4"/>
      <c r="E46" s="4"/>
    </row>
    <row r="47" spans="2:7" x14ac:dyDescent="0.25">
      <c r="B47" s="223" t="s">
        <v>166</v>
      </c>
      <c r="C47" s="22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6"/>
  <sheetViews>
    <sheetView tabSelected="1" view="pageBreakPreview" zoomScale="70" zoomScaleSheetLayoutView="70" workbookViewId="0">
      <selection activeCell="Y37" sqref="Y3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5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39" t="s">
        <v>167</v>
      </c>
      <c r="I2" s="239"/>
      <c r="J2" s="239"/>
    </row>
    <row r="4" spans="1:10" s="4" customFormat="1" ht="12.75" customHeight="1" x14ac:dyDescent="0.2">
      <c r="A4" s="201" t="s">
        <v>168</v>
      </c>
      <c r="B4" s="201"/>
      <c r="C4" s="201"/>
      <c r="D4" s="201"/>
      <c r="E4" s="201"/>
      <c r="F4" s="201"/>
      <c r="G4" s="201"/>
      <c r="H4" s="201"/>
      <c r="I4" s="201"/>
      <c r="J4" s="201"/>
    </row>
    <row r="5" spans="1:10" s="4" customFormat="1" ht="12.75" customHeight="1" x14ac:dyDescent="0.2">
      <c r="A5" s="177"/>
      <c r="B5" s="177"/>
      <c r="C5" s="28"/>
      <c r="D5" s="177"/>
      <c r="E5" s="177"/>
      <c r="F5" s="177"/>
      <c r="G5" s="177"/>
      <c r="H5" s="177"/>
      <c r="I5" s="177"/>
      <c r="J5" s="177"/>
    </row>
    <row r="6" spans="1:10" s="4" customFormat="1" ht="22.7" customHeight="1" x14ac:dyDescent="0.2">
      <c r="A6" s="137" t="s">
        <v>169</v>
      </c>
      <c r="B6" s="138"/>
      <c r="C6" s="138"/>
      <c r="D6" s="243" t="s">
        <v>170</v>
      </c>
      <c r="E6" s="243"/>
      <c r="F6" s="243"/>
      <c r="G6" s="243"/>
      <c r="H6" s="243"/>
      <c r="I6" s="243"/>
      <c r="J6" s="243"/>
    </row>
    <row r="7" spans="1:10" s="4" customFormat="1" ht="12.75" customHeight="1" x14ac:dyDescent="0.2">
      <c r="A7" s="204" t="s">
        <v>49</v>
      </c>
      <c r="B7" s="222"/>
      <c r="C7" s="222"/>
      <c r="D7" s="222"/>
      <c r="E7" s="222"/>
      <c r="F7" s="222"/>
      <c r="G7" s="222"/>
      <c r="H7" s="222"/>
      <c r="I7" s="42"/>
      <c r="J7" s="42"/>
    </row>
    <row r="8" spans="1:10" s="4" customFormat="1" ht="13.7" customHeight="1" x14ac:dyDescent="0.2">
      <c r="A8" s="204"/>
      <c r="B8" s="222"/>
      <c r="C8" s="222"/>
      <c r="D8" s="222"/>
      <c r="E8" s="222"/>
      <c r="F8" s="222"/>
      <c r="G8" s="222"/>
      <c r="H8" s="222"/>
    </row>
    <row r="9" spans="1:10" ht="27" customHeight="1" x14ac:dyDescent="0.25">
      <c r="A9" s="231" t="s">
        <v>13</v>
      </c>
      <c r="B9" s="231" t="s">
        <v>99</v>
      </c>
      <c r="C9" s="231" t="s">
        <v>128</v>
      </c>
      <c r="D9" s="231" t="s">
        <v>101</v>
      </c>
      <c r="E9" s="225" t="s">
        <v>171</v>
      </c>
      <c r="F9" s="240" t="s">
        <v>103</v>
      </c>
      <c r="G9" s="241"/>
      <c r="H9" s="225" t="s">
        <v>172</v>
      </c>
      <c r="I9" s="240" t="s">
        <v>173</v>
      </c>
      <c r="J9" s="241"/>
    </row>
    <row r="10" spans="1:10" ht="28.5" customHeight="1" x14ac:dyDescent="0.25">
      <c r="A10" s="231"/>
      <c r="B10" s="231"/>
      <c r="C10" s="231"/>
      <c r="D10" s="231"/>
      <c r="E10" s="242"/>
      <c r="F10" s="2" t="s">
        <v>174</v>
      </c>
      <c r="G10" s="2" t="s">
        <v>105</v>
      </c>
      <c r="H10" s="242"/>
      <c r="I10" s="2" t="s">
        <v>174</v>
      </c>
      <c r="J10" s="2" t="s">
        <v>105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4">
        <v>9</v>
      </c>
      <c r="J11" s="174">
        <v>10</v>
      </c>
    </row>
    <row r="12" spans="1:10" x14ac:dyDescent="0.25">
      <c r="A12" s="2"/>
      <c r="B12" s="229" t="s">
        <v>175</v>
      </c>
      <c r="C12" s="230"/>
      <c r="D12" s="231"/>
      <c r="E12" s="232"/>
      <c r="F12" s="233"/>
      <c r="G12" s="233"/>
      <c r="H12" s="234"/>
      <c r="I12" s="139"/>
      <c r="J12" s="139"/>
    </row>
    <row r="13" spans="1:10" ht="25.5" customHeight="1" x14ac:dyDescent="0.25">
      <c r="A13" s="2">
        <v>1</v>
      </c>
      <c r="B13" s="140" t="s">
        <v>109</v>
      </c>
      <c r="C13" s="8" t="s">
        <v>176</v>
      </c>
      <c r="D13" s="2" t="s">
        <v>177</v>
      </c>
      <c r="E13" s="141">
        <v>42.710647559394999</v>
      </c>
      <c r="F13" s="26">
        <v>10.94</v>
      </c>
      <c r="G13" s="26">
        <f>Прил.3!H12</f>
        <v>467.25</v>
      </c>
      <c r="H13" s="142">
        <f>G13/$G$14</f>
        <v>1</v>
      </c>
      <c r="I13" s="26">
        <f>ФОТр.тек.!E13</f>
        <v>504.75733271476997</v>
      </c>
      <c r="J13" s="26">
        <f>ROUND(I13*E13,2)</f>
        <v>21558.51</v>
      </c>
    </row>
    <row r="14" spans="1:10" s="12" customFormat="1" ht="25.5" customHeight="1" x14ac:dyDescent="0.2">
      <c r="A14" s="2"/>
      <c r="B14" s="2"/>
      <c r="C14" s="149" t="s">
        <v>178</v>
      </c>
      <c r="D14" s="2" t="s">
        <v>177</v>
      </c>
      <c r="E14" s="141">
        <f>SUM(E13:E13)</f>
        <v>42.710647559394999</v>
      </c>
      <c r="F14" s="26"/>
      <c r="G14" s="26">
        <f>SUM(G13:G13)</f>
        <v>467.25</v>
      </c>
      <c r="H14" s="176">
        <v>1</v>
      </c>
      <c r="I14" s="139"/>
      <c r="J14" s="26">
        <f>SUM(J13:J13)</f>
        <v>21558.51</v>
      </c>
    </row>
    <row r="15" spans="1:10" s="12" customFormat="1" ht="14.25" customHeight="1" x14ac:dyDescent="0.2">
      <c r="A15" s="2"/>
      <c r="B15" s="230" t="s">
        <v>112</v>
      </c>
      <c r="C15" s="230"/>
      <c r="D15" s="231"/>
      <c r="E15" s="232"/>
      <c r="F15" s="233"/>
      <c r="G15" s="233"/>
      <c r="H15" s="234"/>
      <c r="I15" s="139"/>
      <c r="J15" s="139"/>
    </row>
    <row r="16" spans="1:10" s="12" customFormat="1" ht="14.25" customHeight="1" x14ac:dyDescent="0.2">
      <c r="A16" s="2"/>
      <c r="B16" s="229" t="s">
        <v>113</v>
      </c>
      <c r="C16" s="230"/>
      <c r="D16" s="231"/>
      <c r="E16" s="232"/>
      <c r="F16" s="233"/>
      <c r="G16" s="233"/>
      <c r="H16" s="234"/>
      <c r="I16" s="139"/>
      <c r="J16" s="139"/>
    </row>
    <row r="17" spans="1:10" s="12" customFormat="1" ht="14.25" customHeight="1" x14ac:dyDescent="0.2">
      <c r="A17" s="2"/>
      <c r="B17" s="2"/>
      <c r="C17" s="8" t="s">
        <v>179</v>
      </c>
      <c r="D17" s="2"/>
      <c r="E17" s="141"/>
      <c r="F17" s="26"/>
      <c r="G17" s="26">
        <v>0</v>
      </c>
      <c r="H17" s="176">
        <v>0</v>
      </c>
      <c r="I17" s="144"/>
      <c r="J17" s="26">
        <v>0</v>
      </c>
    </row>
    <row r="18" spans="1:10" s="12" customFormat="1" ht="14.25" customHeight="1" x14ac:dyDescent="0.2">
      <c r="A18" s="2"/>
      <c r="B18" s="2"/>
      <c r="C18" s="8" t="s">
        <v>180</v>
      </c>
      <c r="D18" s="2"/>
      <c r="E18" s="175"/>
      <c r="F18" s="26"/>
      <c r="G18" s="144">
        <v>0</v>
      </c>
      <c r="H18" s="142">
        <v>0</v>
      </c>
      <c r="I18" s="26"/>
      <c r="J18" s="26">
        <v>0</v>
      </c>
    </row>
    <row r="19" spans="1:10" s="12" customFormat="1" ht="25.5" customHeight="1" x14ac:dyDescent="0.2">
      <c r="A19" s="2"/>
      <c r="B19" s="2"/>
      <c r="C19" s="149" t="s">
        <v>181</v>
      </c>
      <c r="D19" s="2"/>
      <c r="E19" s="175"/>
      <c r="F19" s="26"/>
      <c r="G19" s="26">
        <f>G18+G17</f>
        <v>0</v>
      </c>
      <c r="H19" s="145">
        <v>1</v>
      </c>
      <c r="I19" s="146"/>
      <c r="J19" s="147">
        <f>J18+J17</f>
        <v>0</v>
      </c>
    </row>
    <row r="20" spans="1:10" s="12" customFormat="1" ht="14.25" customHeight="1" x14ac:dyDescent="0.2">
      <c r="A20" s="2"/>
      <c r="B20" s="229" t="s">
        <v>43</v>
      </c>
      <c r="C20" s="229"/>
      <c r="D20" s="235"/>
      <c r="E20" s="236"/>
      <c r="F20" s="237"/>
      <c r="G20" s="237"/>
      <c r="H20" s="238"/>
      <c r="I20" s="139"/>
      <c r="J20" s="139"/>
    </row>
    <row r="21" spans="1:10" x14ac:dyDescent="0.25">
      <c r="A21" s="2"/>
      <c r="B21" s="230" t="s">
        <v>182</v>
      </c>
      <c r="C21" s="230"/>
      <c r="D21" s="231"/>
      <c r="E21" s="232"/>
      <c r="F21" s="233"/>
      <c r="G21" s="233"/>
      <c r="H21" s="234"/>
      <c r="I21" s="139"/>
      <c r="J21" s="139"/>
    </row>
    <row r="22" spans="1:10" s="12" customFormat="1" ht="38.25" customHeight="1" x14ac:dyDescent="0.2">
      <c r="A22" s="2">
        <v>2</v>
      </c>
      <c r="B22" s="182" t="s">
        <v>183</v>
      </c>
      <c r="C22" s="183" t="s">
        <v>115</v>
      </c>
      <c r="D22" s="2" t="s">
        <v>116</v>
      </c>
      <c r="E22" s="148">
        <v>16</v>
      </c>
      <c r="F22" s="143">
        <f>ROUND(I22/Прил.10!$D$14,2)</f>
        <v>34095.85</v>
      </c>
      <c r="G22" s="26">
        <f>ROUND(E22*F22,2)</f>
        <v>545533.6</v>
      </c>
      <c r="H22" s="142">
        <f>G22/$G$26</f>
        <v>0.99157988771608341</v>
      </c>
      <c r="I22" s="26">
        <v>213440</v>
      </c>
      <c r="J22" s="26">
        <f>ROUND(I22*E22,2)</f>
        <v>3415040</v>
      </c>
    </row>
    <row r="23" spans="1:10" x14ac:dyDescent="0.25">
      <c r="A23" s="2"/>
      <c r="B23" s="182"/>
      <c r="C23" s="183" t="s">
        <v>184</v>
      </c>
      <c r="D23" s="2"/>
      <c r="E23" s="141"/>
      <c r="F23" s="143"/>
      <c r="G23" s="26">
        <f>SUM(G22)</f>
        <v>545533.6</v>
      </c>
      <c r="H23" s="142">
        <f>G22/$G$26</f>
        <v>0.99157988771608341</v>
      </c>
      <c r="I23" s="144"/>
      <c r="J23" s="26">
        <f>SUM(J22)</f>
        <v>3415040</v>
      </c>
    </row>
    <row r="24" spans="1:10" s="12" customFormat="1" ht="14.25" hidden="1" customHeight="1" outlineLevel="1" x14ac:dyDescent="0.2">
      <c r="A24" s="2">
        <v>3</v>
      </c>
      <c r="B24" s="182" t="s">
        <v>117</v>
      </c>
      <c r="C24" s="183" t="s">
        <v>118</v>
      </c>
      <c r="D24" s="2" t="s">
        <v>119</v>
      </c>
      <c r="E24" s="148">
        <v>0.45714285714286002</v>
      </c>
      <c r="F24" s="143">
        <v>10133.5</v>
      </c>
      <c r="G24" s="26">
        <f>ROUND(E24*F24,2)</f>
        <v>4632.46</v>
      </c>
      <c r="H24" s="142">
        <f>G24/$G$26</f>
        <v>8.4201122839166059E-3</v>
      </c>
      <c r="I24" s="26">
        <f>ROUND(F24*Прил.10!$D$14,2)</f>
        <v>63435.71</v>
      </c>
      <c r="J24" s="26">
        <f>ROUND(I24*E24,2)</f>
        <v>28999.18</v>
      </c>
    </row>
    <row r="25" spans="1:10" collapsed="1" x14ac:dyDescent="0.25">
      <c r="A25" s="2"/>
      <c r="B25" s="182"/>
      <c r="C25" s="183" t="s">
        <v>185</v>
      </c>
      <c r="D25" s="2"/>
      <c r="E25" s="141"/>
      <c r="F25" s="143"/>
      <c r="G25" s="26">
        <f>SUM(G24)</f>
        <v>4632.46</v>
      </c>
      <c r="H25" s="142">
        <f>G25/$G$26</f>
        <v>8.4201122839166059E-3</v>
      </c>
      <c r="I25" s="144"/>
      <c r="J25" s="26">
        <f>SUM(J24)</f>
        <v>28999.18</v>
      </c>
    </row>
    <row r="26" spans="1:10" x14ac:dyDescent="0.25">
      <c r="A26" s="2"/>
      <c r="B26" s="182"/>
      <c r="C26" s="184" t="s">
        <v>186</v>
      </c>
      <c r="D26" s="2"/>
      <c r="E26" s="175"/>
      <c r="F26" s="143"/>
      <c r="G26" s="26">
        <f>G23+G25</f>
        <v>550166.05999999994</v>
      </c>
      <c r="H26" s="176">
        <v>1</v>
      </c>
      <c r="I26" s="144"/>
      <c r="J26" s="26">
        <f>J25+J23</f>
        <v>3444039.18</v>
      </c>
    </row>
    <row r="27" spans="1:10" ht="25.5" customHeight="1" x14ac:dyDescent="0.25">
      <c r="A27" s="2"/>
      <c r="B27" s="182"/>
      <c r="C27" s="183" t="s">
        <v>187</v>
      </c>
      <c r="D27" s="2"/>
      <c r="E27" s="148"/>
      <c r="F27" s="143"/>
      <c r="G27" s="26">
        <f>'Прил.6 Расчет ОБ'!G14</f>
        <v>550166.05999999994</v>
      </c>
      <c r="H27" s="176"/>
      <c r="I27" s="144"/>
      <c r="J27" s="26">
        <f>ROUND(G27*Прил.10!D14,2)</f>
        <v>3444039.54</v>
      </c>
    </row>
    <row r="28" spans="1:10" s="12" customFormat="1" ht="14.25" customHeight="1" x14ac:dyDescent="0.2">
      <c r="A28" s="2"/>
      <c r="B28" s="229" t="s">
        <v>120</v>
      </c>
      <c r="C28" s="229"/>
      <c r="D28" s="235"/>
      <c r="E28" s="236"/>
      <c r="F28" s="237"/>
      <c r="G28" s="237"/>
      <c r="H28" s="238"/>
      <c r="I28" s="139"/>
      <c r="J28" s="139"/>
    </row>
    <row r="29" spans="1:10" s="12" customFormat="1" ht="14.25" customHeight="1" x14ac:dyDescent="0.2">
      <c r="A29" s="174"/>
      <c r="B29" s="224" t="s">
        <v>188</v>
      </c>
      <c r="C29" s="224"/>
      <c r="D29" s="225"/>
      <c r="E29" s="226"/>
      <c r="F29" s="227"/>
      <c r="G29" s="227"/>
      <c r="H29" s="228"/>
      <c r="I29" s="150"/>
      <c r="J29" s="150"/>
    </row>
    <row r="30" spans="1:10" s="12" customFormat="1" ht="25.5" customHeight="1" x14ac:dyDescent="0.2">
      <c r="A30" s="2">
        <v>4</v>
      </c>
      <c r="B30" s="2" t="s">
        <v>121</v>
      </c>
      <c r="C30" s="8" t="s">
        <v>122</v>
      </c>
      <c r="D30" s="2" t="s">
        <v>116</v>
      </c>
      <c r="E30" s="148">
        <v>11.426067834375999</v>
      </c>
      <c r="F30" s="143">
        <v>394.94</v>
      </c>
      <c r="G30" s="26">
        <f>ROUND(E30*F30,2)</f>
        <v>4512.6099999999997</v>
      </c>
      <c r="H30" s="142">
        <f>G30/$G$34</f>
        <v>0.9979477607814432</v>
      </c>
      <c r="I30" s="26">
        <f>ROUND(F30*Прил.10!$D$13,2)</f>
        <v>3175.32</v>
      </c>
      <c r="J30" s="26">
        <f>ROUND(I30*E30,2)</f>
        <v>36281.42</v>
      </c>
    </row>
    <row r="31" spans="1:10" s="12" customFormat="1" ht="14.25" customHeight="1" x14ac:dyDescent="0.2">
      <c r="A31" s="151"/>
      <c r="B31" s="152"/>
      <c r="C31" s="153" t="s">
        <v>189</v>
      </c>
      <c r="D31" s="151"/>
      <c r="E31" s="154"/>
      <c r="F31" s="147"/>
      <c r="G31" s="147">
        <f>SUM(G30)</f>
        <v>4512.6099999999997</v>
      </c>
      <c r="H31" s="142">
        <f>G31/$G$34</f>
        <v>0.9979477607814432</v>
      </c>
      <c r="I31" s="26"/>
      <c r="J31" s="147">
        <f>SUM(J30)</f>
        <v>36281.42</v>
      </c>
    </row>
    <row r="32" spans="1:10" s="12" customFormat="1" ht="25.5" hidden="1" customHeight="1" outlineLevel="1" x14ac:dyDescent="0.2">
      <c r="A32" s="2">
        <v>5</v>
      </c>
      <c r="B32" s="2" t="s">
        <v>123</v>
      </c>
      <c r="C32" s="8" t="s">
        <v>124</v>
      </c>
      <c r="D32" s="2" t="s">
        <v>125</v>
      </c>
      <c r="E32" s="148">
        <v>9.2792898388268004</v>
      </c>
      <c r="F32" s="143">
        <v>1</v>
      </c>
      <c r="G32" s="26">
        <f>ROUND(E32*F32,2)</f>
        <v>9.2799999999999994</v>
      </c>
      <c r="H32" s="142">
        <f>G32/$G$34</f>
        <v>2.0522392185568423E-3</v>
      </c>
      <c r="I32" s="26">
        <f>ROUND(F32*Прил.10!$D$13,2)</f>
        <v>8.0399999999999991</v>
      </c>
      <c r="J32" s="26">
        <f>ROUND(I32*E32,2)</f>
        <v>74.61</v>
      </c>
    </row>
    <row r="33" spans="1:10" s="12" customFormat="1" ht="14.25" customHeight="1" collapsed="1" x14ac:dyDescent="0.2">
      <c r="A33" s="2"/>
      <c r="B33" s="2"/>
      <c r="C33" s="8" t="s">
        <v>190</v>
      </c>
      <c r="D33" s="2"/>
      <c r="E33" s="175"/>
      <c r="F33" s="143"/>
      <c r="G33" s="26">
        <f>SUM(G32:G32)</f>
        <v>9.2799999999999994</v>
      </c>
      <c r="H33" s="142">
        <f>G33/$G$34</f>
        <v>2.0522392185568423E-3</v>
      </c>
      <c r="I33" s="26"/>
      <c r="J33" s="26">
        <f>SUM(J32:J32)</f>
        <v>74.61</v>
      </c>
    </row>
    <row r="34" spans="1:10" s="12" customFormat="1" ht="14.25" customHeight="1" x14ac:dyDescent="0.2">
      <c r="A34" s="2"/>
      <c r="B34" s="2"/>
      <c r="C34" s="149" t="s">
        <v>191</v>
      </c>
      <c r="D34" s="2"/>
      <c r="E34" s="175"/>
      <c r="F34" s="143"/>
      <c r="G34" s="26">
        <f>G31+G33</f>
        <v>4521.8899999999994</v>
      </c>
      <c r="H34" s="176">
        <f>G34/$G$34</f>
        <v>1</v>
      </c>
      <c r="I34" s="26"/>
      <c r="J34" s="26">
        <f>J31+J33</f>
        <v>36356.03</v>
      </c>
    </row>
    <row r="35" spans="1:10" s="12" customFormat="1" ht="14.25" customHeight="1" x14ac:dyDescent="0.2">
      <c r="A35" s="2"/>
      <c r="B35" s="2"/>
      <c r="C35" s="8" t="s">
        <v>192</v>
      </c>
      <c r="D35" s="2"/>
      <c r="E35" s="175"/>
      <c r="F35" s="143"/>
      <c r="G35" s="26">
        <f>G14+G19+G34</f>
        <v>4989.1399999999994</v>
      </c>
      <c r="H35" s="176"/>
      <c r="I35" s="26"/>
      <c r="J35" s="26">
        <f>J14+J19+J34</f>
        <v>57914.539999999994</v>
      </c>
    </row>
    <row r="36" spans="1:10" s="12" customFormat="1" ht="14.25" customHeight="1" x14ac:dyDescent="0.2">
      <c r="A36" s="2"/>
      <c r="B36" s="2"/>
      <c r="C36" s="8" t="s">
        <v>193</v>
      </c>
      <c r="D36" s="155">
        <f>ROUND(G36/(0+$G$14),2)</f>
        <v>0.39</v>
      </c>
      <c r="E36" s="175"/>
      <c r="F36" s="143"/>
      <c r="G36" s="26">
        <v>184.03</v>
      </c>
      <c r="H36" s="176"/>
      <c r="I36" s="26"/>
      <c r="J36" s="26">
        <f>ROUND(D36*(J14+0),2)</f>
        <v>8407.82</v>
      </c>
    </row>
    <row r="37" spans="1:10" s="12" customFormat="1" ht="14.25" customHeight="1" x14ac:dyDescent="0.2">
      <c r="A37" s="2"/>
      <c r="B37" s="2"/>
      <c r="C37" s="8" t="s">
        <v>194</v>
      </c>
      <c r="D37" s="155">
        <f>ROUND(G37/(G$14+0),2)</f>
        <v>0.2</v>
      </c>
      <c r="E37" s="175"/>
      <c r="F37" s="143"/>
      <c r="G37" s="26">
        <v>94.05</v>
      </c>
      <c r="H37" s="176"/>
      <c r="I37" s="26"/>
      <c r="J37" s="26">
        <f>ROUND(D37*(J14+0),2)</f>
        <v>4311.7</v>
      </c>
    </row>
    <row r="38" spans="1:10" s="12" customFormat="1" ht="14.25" customHeight="1" x14ac:dyDescent="0.2">
      <c r="A38" s="2"/>
      <c r="B38" s="2"/>
      <c r="C38" s="8" t="s">
        <v>195</v>
      </c>
      <c r="D38" s="2"/>
      <c r="E38" s="175"/>
      <c r="F38" s="143"/>
      <c r="G38" s="26">
        <f>G14+G19+G34+G36+G37</f>
        <v>5267.2199999999993</v>
      </c>
      <c r="H38" s="176"/>
      <c r="I38" s="26"/>
      <c r="J38" s="26">
        <f>J14+J19+J34+J36+J37</f>
        <v>70634.059999999983</v>
      </c>
    </row>
    <row r="39" spans="1:10" s="12" customFormat="1" ht="14.25" customHeight="1" x14ac:dyDescent="0.2">
      <c r="A39" s="2"/>
      <c r="B39" s="2"/>
      <c r="C39" s="8" t="s">
        <v>196</v>
      </c>
      <c r="D39" s="2"/>
      <c r="E39" s="175"/>
      <c r="F39" s="143"/>
      <c r="G39" s="26">
        <f>G38+G26</f>
        <v>555433.27999999991</v>
      </c>
      <c r="H39" s="176"/>
      <c r="I39" s="26"/>
      <c r="J39" s="26">
        <f>J38+J26</f>
        <v>3514673.24</v>
      </c>
    </row>
    <row r="40" spans="1:10" s="12" customFormat="1" ht="34.5" customHeight="1" x14ac:dyDescent="0.2">
      <c r="A40" s="2"/>
      <c r="B40" s="2"/>
      <c r="C40" s="8" t="s">
        <v>162</v>
      </c>
      <c r="D40" s="2" t="s">
        <v>197</v>
      </c>
      <c r="E40" s="179">
        <v>1</v>
      </c>
      <c r="F40" s="143"/>
      <c r="G40" s="26">
        <f>G39/E40</f>
        <v>555433.27999999991</v>
      </c>
      <c r="H40" s="176"/>
      <c r="I40" s="26"/>
      <c r="J40" s="26">
        <f>J39/E40</f>
        <v>3514673.24</v>
      </c>
    </row>
    <row r="42" spans="1:10" s="12" customFormat="1" ht="14.25" customHeight="1" x14ac:dyDescent="0.2">
      <c r="A42" s="4" t="s">
        <v>198</v>
      </c>
    </row>
    <row r="43" spans="1:10" s="12" customFormat="1" ht="14.25" customHeight="1" x14ac:dyDescent="0.2">
      <c r="A43" s="156" t="s">
        <v>76</v>
      </c>
    </row>
    <row r="44" spans="1:10" s="12" customFormat="1" ht="14.25" customHeight="1" x14ac:dyDescent="0.2">
      <c r="A44" s="4"/>
    </row>
    <row r="45" spans="1:10" s="12" customFormat="1" ht="14.25" customHeight="1" x14ac:dyDescent="0.2">
      <c r="A45" s="4" t="s">
        <v>199</v>
      </c>
    </row>
    <row r="46" spans="1:10" s="12" customFormat="1" ht="14.25" customHeight="1" x14ac:dyDescent="0.2">
      <c r="A46" s="15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9:H29"/>
    <mergeCell ref="B12:H12"/>
    <mergeCell ref="B15:H15"/>
    <mergeCell ref="B16:H16"/>
    <mergeCell ref="B21:H21"/>
    <mergeCell ref="B20:H20"/>
    <mergeCell ref="B28:H28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rowBreaks count="1" manualBreakCount="1">
    <brk id="2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10" workbookViewId="0">
      <selection activeCell="D20" sqref="D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4" t="s">
        <v>200</v>
      </c>
      <c r="B1" s="244"/>
      <c r="C1" s="244"/>
      <c r="D1" s="244"/>
      <c r="E1" s="244"/>
      <c r="F1" s="244"/>
      <c r="G1" s="244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1" t="s">
        <v>201</v>
      </c>
      <c r="B3" s="201"/>
      <c r="C3" s="201"/>
      <c r="D3" s="201"/>
      <c r="E3" s="201"/>
      <c r="F3" s="201"/>
      <c r="G3" s="201"/>
    </row>
    <row r="4" spans="1:7" ht="25.5" customHeight="1" x14ac:dyDescent="0.25">
      <c r="A4" s="204" t="s">
        <v>47</v>
      </c>
      <c r="B4" s="204"/>
      <c r="C4" s="204"/>
      <c r="D4" s="204"/>
      <c r="E4" s="204"/>
      <c r="F4" s="204"/>
      <c r="G4" s="204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9" t="s">
        <v>13</v>
      </c>
      <c r="B6" s="249" t="s">
        <v>99</v>
      </c>
      <c r="C6" s="249" t="s">
        <v>128</v>
      </c>
      <c r="D6" s="249" t="s">
        <v>101</v>
      </c>
      <c r="E6" s="225" t="s">
        <v>171</v>
      </c>
      <c r="F6" s="249" t="s">
        <v>103</v>
      </c>
      <c r="G6" s="249"/>
    </row>
    <row r="7" spans="1:7" x14ac:dyDescent="0.25">
      <c r="A7" s="249"/>
      <c r="B7" s="249"/>
      <c r="C7" s="249"/>
      <c r="D7" s="249"/>
      <c r="E7" s="242"/>
      <c r="F7" s="2" t="s">
        <v>174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5" t="s">
        <v>202</v>
      </c>
      <c r="C9" s="246"/>
      <c r="D9" s="246"/>
      <c r="E9" s="246"/>
      <c r="F9" s="246"/>
      <c r="G9" s="247"/>
    </row>
    <row r="10" spans="1:7" ht="27" customHeight="1" x14ac:dyDescent="0.25">
      <c r="A10" s="2"/>
      <c r="B10" s="149"/>
      <c r="C10" s="8" t="s">
        <v>203</v>
      </c>
      <c r="D10" s="149"/>
      <c r="E10" s="157"/>
      <c r="F10" s="143"/>
      <c r="G10" s="26">
        <v>0</v>
      </c>
    </row>
    <row r="11" spans="1:7" x14ac:dyDescent="0.25">
      <c r="A11" s="2"/>
      <c r="B11" s="230" t="s">
        <v>204</v>
      </c>
      <c r="C11" s="230"/>
      <c r="D11" s="230"/>
      <c r="E11" s="248"/>
      <c r="F11" s="233"/>
      <c r="G11" s="233"/>
    </row>
    <row r="12" spans="1:7" s="109" customFormat="1" ht="38.25" customHeight="1" x14ac:dyDescent="0.25">
      <c r="A12" s="2">
        <v>1</v>
      </c>
      <c r="B12" s="8" t="str">
        <f>'Прил.5 Расчет СМР и ОБ'!B22</f>
        <v>БЦ.54.14</v>
      </c>
      <c r="C12" s="8" t="str">
        <f>'Прил.5 Расчет СМР и ОБ'!C22</f>
        <v>Сетевая стационарная IP- камера В5650 и кронштейн крепления для подвесных купольных и стационарных видеокамер</v>
      </c>
      <c r="D12" s="2" t="str">
        <f>'Прил.5 Расчет СМР и ОБ'!D22</f>
        <v>шт</v>
      </c>
      <c r="E12" s="148">
        <f>'Прил.5 Расчет СМР и ОБ'!E22</f>
        <v>16</v>
      </c>
      <c r="F12" s="143">
        <f>'Прил.5 Расчет СМР и ОБ'!F22</f>
        <v>34095.85</v>
      </c>
      <c r="G12" s="26">
        <f>ROUND(E12*F12,2)</f>
        <v>545533.6</v>
      </c>
    </row>
    <row r="13" spans="1:7" s="109" customFormat="1" ht="15.75" customHeight="1" x14ac:dyDescent="0.25">
      <c r="A13" s="2">
        <v>2</v>
      </c>
      <c r="B13" s="8" t="str">
        <f>'Прил.5 Расчет СМР и ОБ'!B24</f>
        <v>61.3.01.02-0071</v>
      </c>
      <c r="C13" s="8" t="str">
        <f>'Прил.5 Расчет СМР и ОБ'!C24</f>
        <v>Объектив вариофокальный LTC3364/50</v>
      </c>
      <c r="D13" s="2" t="str">
        <f>'Прил.5 Расчет СМР и ОБ'!D24</f>
        <v>10 шт</v>
      </c>
      <c r="E13" s="148">
        <f>'Прил.5 Расчет СМР и ОБ'!E24</f>
        <v>0.45714285714286002</v>
      </c>
      <c r="F13" s="143">
        <f>'Прил.5 Расчет СМР и ОБ'!F24</f>
        <v>10133.5</v>
      </c>
      <c r="G13" s="26">
        <f>ROUND(E13*F13,2)</f>
        <v>4632.46</v>
      </c>
    </row>
    <row r="14" spans="1:7" ht="25.5" customHeight="1" x14ac:dyDescent="0.25">
      <c r="A14" s="2"/>
      <c r="B14" s="8"/>
      <c r="C14" s="8" t="s">
        <v>205</v>
      </c>
      <c r="D14" s="8"/>
      <c r="E14" s="40"/>
      <c r="F14" s="143"/>
      <c r="G14" s="26">
        <f>SUM(G12:G13)</f>
        <v>550166.05999999994</v>
      </c>
    </row>
    <row r="15" spans="1:7" ht="19.5" customHeight="1" x14ac:dyDescent="0.25">
      <c r="A15" s="2"/>
      <c r="B15" s="8"/>
      <c r="C15" s="8" t="s">
        <v>206</v>
      </c>
      <c r="D15" s="8"/>
      <c r="E15" s="40"/>
      <c r="F15" s="143"/>
      <c r="G15" s="26">
        <f>G10+G14</f>
        <v>550166.05999999994</v>
      </c>
    </row>
    <row r="16" spans="1:7" x14ac:dyDescent="0.25">
      <c r="A16" s="24"/>
      <c r="B16" s="158"/>
      <c r="C16" s="24"/>
      <c r="D16" s="24"/>
      <c r="E16" s="24"/>
      <c r="F16" s="24"/>
      <c r="G16" s="24"/>
    </row>
    <row r="17" spans="1:7" x14ac:dyDescent="0.25">
      <c r="A17" s="4" t="s">
        <v>198</v>
      </c>
      <c r="B17" s="12"/>
      <c r="C17" s="12"/>
      <c r="D17" s="24"/>
      <c r="E17" s="24"/>
      <c r="F17" s="24"/>
      <c r="G17" s="24"/>
    </row>
    <row r="18" spans="1:7" x14ac:dyDescent="0.25">
      <c r="A18" s="156" t="s">
        <v>76</v>
      </c>
      <c r="B18" s="12"/>
      <c r="C18" s="12"/>
      <c r="D18" s="24"/>
      <c r="E18" s="24"/>
      <c r="F18" s="24"/>
      <c r="G18" s="24"/>
    </row>
    <row r="19" spans="1:7" x14ac:dyDescent="0.25">
      <c r="A19" s="4"/>
      <c r="B19" s="12"/>
      <c r="C19" s="12"/>
      <c r="D19" s="24"/>
      <c r="E19" s="24"/>
      <c r="F19" s="24"/>
      <c r="G19" s="24"/>
    </row>
    <row r="20" spans="1:7" x14ac:dyDescent="0.25">
      <c r="A20" s="4" t="s">
        <v>199</v>
      </c>
      <c r="B20" s="12"/>
      <c r="C20" s="12"/>
      <c r="D20" s="24"/>
      <c r="E20" s="24"/>
      <c r="F20" s="24"/>
      <c r="G20" s="24"/>
    </row>
    <row r="21" spans="1:7" x14ac:dyDescent="0.25">
      <c r="A21" s="156" t="s">
        <v>78</v>
      </c>
      <c r="B21" s="12"/>
      <c r="C21" s="12"/>
      <c r="D21" s="24"/>
      <c r="E21" s="24"/>
      <c r="F21" s="24"/>
      <c r="G21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2023-11-27T06:37:15Z</cp:lastPrinted>
  <dcterms:created xsi:type="dcterms:W3CDTF">2020-09-30T08:50:27Z</dcterms:created>
  <dcterms:modified xsi:type="dcterms:W3CDTF">2023-11-27T06:37:27Z</dcterms:modified>
  <cp:category/>
</cp:coreProperties>
</file>