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70A493A-854A-4E2A-A126-069747DA029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Прил.3!$A$1:$H$29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13" i="9"/>
  <c r="F13" i="9"/>
  <c r="E13" i="9"/>
  <c r="D13" i="9"/>
  <c r="C13" i="9"/>
  <c r="B13" i="9"/>
  <c r="E12" i="9"/>
  <c r="D12" i="9"/>
  <c r="C12" i="9"/>
  <c r="B12" i="9"/>
  <c r="G33" i="8"/>
  <c r="I32" i="8"/>
  <c r="J32" i="8" s="1"/>
  <c r="J33" i="8" s="1"/>
  <c r="C17" i="7" s="1"/>
  <c r="G32" i="8"/>
  <c r="I30" i="8"/>
  <c r="J30" i="8" s="1"/>
  <c r="J31" i="8" s="1"/>
  <c r="G30" i="8"/>
  <c r="G31" i="8" s="1"/>
  <c r="G25" i="8"/>
  <c r="I24" i="8"/>
  <c r="J24" i="8" s="1"/>
  <c r="J25" i="8" s="1"/>
  <c r="J26" i="8" s="1"/>
  <c r="C25" i="7" s="1"/>
  <c r="G24" i="8"/>
  <c r="J23" i="8"/>
  <c r="J22" i="8"/>
  <c r="F22" i="8"/>
  <c r="F12" i="9" s="1"/>
  <c r="G12" i="9" s="1"/>
  <c r="G14" i="9" s="1"/>
  <c r="J19" i="8"/>
  <c r="G19" i="8"/>
  <c r="E14" i="8"/>
  <c r="I13" i="8"/>
  <c r="J13" i="8" s="1"/>
  <c r="J14" i="8" s="1"/>
  <c r="G13" i="8"/>
  <c r="G14" i="8" s="1"/>
  <c r="C13" i="7"/>
  <c r="C12" i="7"/>
  <c r="H21" i="6"/>
  <c r="H20" i="6"/>
  <c r="H19" i="6"/>
  <c r="H18" i="6"/>
  <c r="H17" i="6"/>
  <c r="H16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7" i="8" l="1"/>
  <c r="J27" i="8" s="1"/>
  <c r="C26" i="7" s="1"/>
  <c r="G15" i="9"/>
  <c r="G34" i="8"/>
  <c r="H34" i="8" s="1"/>
  <c r="J34" i="8"/>
  <c r="J35" i="8" s="1"/>
  <c r="C16" i="7"/>
  <c r="C11" i="7"/>
  <c r="C18" i="7"/>
  <c r="C14" i="7"/>
  <c r="G22" i="8"/>
  <c r="D37" i="8"/>
  <c r="J37" i="8" s="1"/>
  <c r="D36" i="8"/>
  <c r="J36" i="8" s="1"/>
  <c r="H13" i="8"/>
  <c r="H32" i="8" l="1"/>
  <c r="G23" i="8"/>
  <c r="G26" i="8" s="1"/>
  <c r="H22" i="8"/>
  <c r="H23" i="8"/>
  <c r="C19" i="7"/>
  <c r="G35" i="8"/>
  <c r="H30" i="8"/>
  <c r="C22" i="7"/>
  <c r="C20" i="7"/>
  <c r="G38" i="8"/>
  <c r="H31" i="8"/>
  <c r="H33" i="8"/>
  <c r="J38" i="8"/>
  <c r="J39" i="8" s="1"/>
  <c r="J40" i="8" s="1"/>
  <c r="D22" i="7" l="1"/>
  <c r="H25" i="8"/>
  <c r="H24" i="8"/>
  <c r="G39" i="8"/>
  <c r="G40" i="8" s="1"/>
  <c r="C24" i="7"/>
  <c r="C27" i="7" l="1"/>
  <c r="D24" i="7"/>
  <c r="C29" i="7"/>
  <c r="D15" i="7"/>
  <c r="D13" i="7"/>
  <c r="D12" i="7"/>
  <c r="D17" i="7"/>
  <c r="D14" i="7"/>
  <c r="D11" i="7"/>
  <c r="D18" i="7"/>
  <c r="D16" i="7"/>
  <c r="D20" i="7"/>
  <c r="C30" i="7" l="1"/>
  <c r="C36" i="7" s="1"/>
  <c r="C37" i="7" l="1"/>
  <c r="C38" i="7"/>
  <c r="C39" i="7" l="1"/>
  <c r="E39" i="7" l="1"/>
  <c r="C40" i="7"/>
  <c r="C41" i="7" l="1"/>
  <c r="D11" i="10" s="1"/>
  <c r="E34" i="7"/>
  <c r="E33" i="7"/>
  <c r="E32" i="7"/>
  <c r="E15" i="7"/>
  <c r="E35" i="7"/>
  <c r="E40" i="7"/>
  <c r="E31" i="7"/>
  <c r="E12" i="7"/>
  <c r="E25" i="7"/>
  <c r="E17" i="7"/>
  <c r="E13" i="7"/>
  <c r="E26" i="7"/>
  <c r="E18" i="7"/>
  <c r="E16" i="7"/>
  <c r="E11" i="7"/>
  <c r="E14" i="7"/>
  <c r="E20" i="7"/>
  <c r="E22" i="7"/>
  <c r="E24" i="7"/>
  <c r="E27" i="7"/>
  <c r="E29" i="7"/>
  <c r="E36" i="7"/>
  <c r="E30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<sst xmlns="http://schemas.openxmlformats.org/spreadsheetml/2006/main" count="519" uniqueCount="366">
  <si>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</si>
  <si>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</si>
  <si>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</si>
  <si>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</si>
  <si>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</si>
  <si>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</si>
  <si>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</si>
  <si>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</si>
  <si>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</si>
  <si>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</si>
  <si>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</si>
  <si>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</si>
  <si>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</si>
  <si>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</si>
  <si>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</si>
  <si>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</si>
  <si>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</si>
  <si>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</si>
  <si>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</si>
  <si>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</si>
  <si>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</si>
  <si>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</si>
  <si>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</si>
  <si>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</si>
  <si>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</si>
  <si>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</si>
  <si>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</si>
  <si>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</si>
  <si>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</si>
  <si>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</si>
  <si>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</si>
  <si>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</si>
  <si>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</si>
  <si>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</si>
  <si>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</si>
  <si>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</si>
  <si>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</si>
  <si>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</si>
  <si>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</si>
  <si>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</si>
  <si>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</si>
  <si>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</si>
  <si>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</si>
  <si>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</si>
  <si>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</si>
  <si>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</si>
  <si>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</si>
  <si>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</si>
  <si>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</si>
  <si>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</si>
  <si>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</si>
  <si>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</si>
  <si>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</si>
  <si>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</si>
  <si>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</si>
  <si>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</si>
  <si>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</si>
  <si>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</si>
  <si>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</si>
  <si>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</si>
  <si>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Сетевая стационарная IP- камера В5650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</si>
  <si>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</si>
  <si>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</si>
  <si>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</si>
  <si>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</si>
  <si>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</si>
  <si>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</si>
  <si>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</si>
  <si>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</si>
  <si>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</si>
  <si>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</si>
  <si>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</si>
  <si>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</si>
  <si>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</si>
  <si>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</si>
  <si>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</si>
  <si>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</si>
  <si>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</si>
  <si>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</si>
  <si>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</si>
  <si>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</si>
  <si>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ЗПС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</si>
  <si>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</si>
  <si>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</si>
  <si>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</si>
  <si>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</si>
  <si>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</si>
  <si>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</si>
  <si>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</si>
  <si>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</si>
  <si>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КСТСБ. Система охранного телевидения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</si>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</sst>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395432</xdr:colOff>
      <xdr:row>28</xdr:row>
      <xdr:rowOff>137102</xdr:rowOff>
    </xdr:from>
    <xdr:to>
      <xdr:col>2</xdr:col>
      <xdr:colOff>1340234</xdr:colOff>
      <xdr:row>31</xdr:row>
      <xdr:rowOff>45654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4B2C36-4FB7-46FE-905C-5C8B85CC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705" y="14043602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576408</xdr:colOff>
      <xdr:row>26</xdr:row>
      <xdr:rowOff>325005</xdr:rowOff>
    </xdr:from>
    <xdr:to>
      <xdr:col>2</xdr:col>
      <xdr:colOff>1414607</xdr:colOff>
      <xdr:row>28</xdr:row>
      <xdr:rowOff>87737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EFD0C08-D90D-41FD-9530-9C82A659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681" y="13538778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442232</xdr:colOff>
      <xdr:row>19</xdr:row>
      <xdr:rowOff>108405</xdr:rowOff>
    </xdr:from>
    <xdr:to>
      <xdr:col>2</xdr:col>
      <xdr:colOff>1387034</xdr:colOff>
      <xdr:row>22</xdr:row>
      <xdr:rowOff>20297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778E18-4DFB-4F4F-BFAC-92058196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946" y="477565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623208</xdr:colOff>
      <xdr:row>17</xdr:row>
      <xdr:rowOff>11793</xdr:rowOff>
    </xdr:from>
    <xdr:to>
      <xdr:col>2</xdr:col>
      <xdr:colOff>1461407</xdr:colOff>
      <xdr:row>19</xdr:row>
      <xdr:rowOff>59040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A96A5D6-90AE-43AE-AF18-00D1994E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922" y="4270829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</xdr:colOff>
      <xdr:row>25</xdr:row>
      <xdr:rowOff>9525</xdr:rowOff>
    </xdr:from>
    <xdr:to>
      <xdr:col>2</xdr:col>
      <xdr:colOff>1063864</xdr:colOff>
      <xdr:row>27</xdr:row>
      <xdr:rowOff>124163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188501-5035-4441-8D4D-1CAE46FCF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415088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300038</xdr:colOff>
      <xdr:row>22</xdr:row>
      <xdr:rowOff>95250</xdr:rowOff>
    </xdr:from>
    <xdr:to>
      <xdr:col>2</xdr:col>
      <xdr:colOff>1138237</xdr:colOff>
      <xdr:row>24</xdr:row>
      <xdr:rowOff>150660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B5ED8DF-E24A-493C-A2F0-46DC9CAF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1" y="5929313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221DE1F-0EF8-46F0-A834-2F0D5E4D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C00570-5A7A-4E0F-93B4-CE00E44E4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769743</xdr:colOff>
      <xdr:row>42</xdr:row>
      <xdr:rowOff>115064</xdr:rowOff>
    </xdr:from>
    <xdr:to>
      <xdr:col>2</xdr:col>
      <xdr:colOff>219120</xdr:colOff>
      <xdr:row>45</xdr:row>
      <xdr:rowOff>67777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90BD6A-49CD-458F-9102-9706DDAD4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25" y="9518837"/>
          <a:ext cx="938740" cy="472258"/>
        </a:xfrm>
        <a:prstGeom prst="rect">
          <a:avLst/>
        </a:prstGeom>
      </xdr:spPr>
    </xdr:pic>
    <xdr:clientData/>
  </xdr:twoCellAnchor>
  <xdr:twoCellAnchor editAs="oneCell">
    <xdr:from>
      <xdr:col>1</xdr:col>
      <xdr:colOff>916082</xdr:colOff>
      <xdr:row>40</xdr:row>
      <xdr:rowOff>60512</xdr:rowOff>
    </xdr:from>
    <xdr:to>
      <xdr:col>2</xdr:col>
      <xdr:colOff>258856</xdr:colOff>
      <xdr:row>42</xdr:row>
      <xdr:rowOff>134972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6EFAD40-B007-4E9E-A901-644002BF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082" y="9509312"/>
          <a:ext cx="828674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17</xdr:row>
      <xdr:rowOff>95250</xdr:rowOff>
    </xdr:from>
    <xdr:to>
      <xdr:col>2</xdr:col>
      <xdr:colOff>268527</xdr:colOff>
      <xdr:row>20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6A3731A-BA18-4A99-A93D-CA0DB0747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391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666751</xdr:colOff>
      <xdr:row>14</xdr:row>
      <xdr:rowOff>219075</xdr:rowOff>
    </xdr:from>
    <xdr:to>
      <xdr:col>2</xdr:col>
      <xdr:colOff>342900</xdr:colOff>
      <xdr:row>17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E7971BD-6E65-40AA-BB12-A5A95CECE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38862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BB0CBC-A995-4BB0-8ECE-A3E8EC17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667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7E631B0-7B71-4E07-8444-CEAA3F06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</xdr:rowOff>
    </xdr:from>
    <xdr:to>
      <xdr:col>1</xdr:col>
      <xdr:colOff>1754427</xdr:colOff>
      <xdr:row>28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0A4EBE8-A7A3-440C-B6E0-CBBB17AC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990601</xdr:colOff>
      <xdr:row>23</xdr:row>
      <xdr:rowOff>79375</xdr:rowOff>
    </xdr:from>
    <xdr:to>
      <xdr:col>1</xdr:col>
      <xdr:colOff>1828800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5A6DB0B-D53C-41C2-9634-79942FD0D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9" t="s">
        <v>0</v>
      </c>
      <c r="B2" s="309"/>
      <c r="C2" s="309"/>
    </row>
    <row r="3" spans="1:3" x14ac:dyDescent="0.25">
      <c r="A3" s="1"/>
      <c r="B3" s="1"/>
      <c r="C3" s="1"/>
    </row>
    <row r="4" spans="1:3" x14ac:dyDescent="0.25">
      <c r="A4" s="310" t="s">
        <v>1</v>
      </c>
      <c r="B4" s="310"/>
      <c r="C4" s="3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1" t="s">
        <v>3</v>
      </c>
      <c r="C6" s="311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5703125" style="292" customWidth="1"/>
    <col min="2" max="2" width="16.42578125" style="292" customWidth="1"/>
    <col min="3" max="3" width="37.140625" style="292" customWidth="1"/>
    <col min="4" max="4" width="49" style="292" customWidth="1"/>
    <col min="5" max="5" width="9.140625" style="292" customWidth="1"/>
  </cols>
  <sheetData>
    <row r="1" spans="1:4" ht="15.75" customHeight="1" x14ac:dyDescent="0.25">
      <c r="A1" s="291"/>
      <c r="B1" s="291"/>
      <c r="C1" s="291"/>
      <c r="D1" s="291" t="s">
        <v>206</v>
      </c>
    </row>
    <row r="2" spans="1:4" ht="15.75" customHeight="1" x14ac:dyDescent="0.25">
      <c r="A2" s="291"/>
      <c r="B2" s="291"/>
      <c r="C2" s="291"/>
      <c r="D2" s="291"/>
    </row>
    <row r="3" spans="1:4" ht="15.75" customHeight="1" x14ac:dyDescent="0.25">
      <c r="A3" s="291"/>
      <c r="B3" s="293" t="s">
        <v>207</v>
      </c>
      <c r="C3" s="291"/>
      <c r="D3" s="291"/>
    </row>
    <row r="4" spans="1:4" ht="15.75" customHeight="1" x14ac:dyDescent="0.25">
      <c r="A4" s="291"/>
      <c r="B4" s="291"/>
      <c r="C4" s="291"/>
      <c r="D4" s="291"/>
    </row>
    <row r="5" spans="1:4" ht="47.25" customHeight="1" x14ac:dyDescent="0.25">
      <c r="A5" s="358" t="s">
        <v>208</v>
      </c>
      <c r="B5" s="358"/>
      <c r="C5" s="358"/>
      <c r="D5" s="294" t="str">
        <f>'Прил.5 Расчет СМР и ОБ'!D6:J6</f>
        <v>Постоянная часть ПС, комплекс стационарных камер охранного (технологического) видеонаблюдения ЗПС 330 кВ</v>
      </c>
    </row>
    <row r="6" spans="1:4" ht="15.75" customHeight="1" x14ac:dyDescent="0.25">
      <c r="A6" s="291" t="s">
        <v>49</v>
      </c>
      <c r="B6" s="291"/>
      <c r="C6" s="291"/>
      <c r="D6" s="291"/>
    </row>
    <row r="7" spans="1:4" ht="15.75" customHeight="1" x14ac:dyDescent="0.25">
      <c r="A7" s="291"/>
      <c r="B7" s="291"/>
      <c r="C7" s="291"/>
      <c r="D7" s="291"/>
    </row>
    <row r="8" spans="1:4" x14ac:dyDescent="0.25">
      <c r="A8" s="322" t="s">
        <v>5</v>
      </c>
      <c r="B8" s="322" t="s">
        <v>6</v>
      </c>
      <c r="C8" s="322" t="s">
        <v>209</v>
      </c>
      <c r="D8" s="322" t="s">
        <v>210</v>
      </c>
    </row>
    <row r="9" spans="1:4" x14ac:dyDescent="0.25">
      <c r="A9" s="322"/>
      <c r="B9" s="322"/>
      <c r="C9" s="322"/>
      <c r="D9" s="322"/>
    </row>
    <row r="10" spans="1:4" ht="15.75" customHeight="1" x14ac:dyDescent="0.25">
      <c r="A10" s="295">
        <v>1</v>
      </c>
      <c r="B10" s="295">
        <v>2</v>
      </c>
      <c r="C10" s="295">
        <v>3</v>
      </c>
      <c r="D10" s="295">
        <v>4</v>
      </c>
    </row>
    <row r="11" spans="1:4" ht="63" customHeight="1" x14ac:dyDescent="0.25">
      <c r="A11" s="301" t="s">
        <v>211</v>
      </c>
      <c r="B11" s="301" t="s">
        <v>212</v>
      </c>
      <c r="C11" s="302" t="str">
        <f>D5</f>
        <v>Постоянная часть ПС, комплекс стационарных камер охранного (технологического) видеонаблюдения ЗПС 330 кВ</v>
      </c>
      <c r="D11" s="296">
        <f>'Прил.4 РМ'!C41/1000</f>
        <v>5843.1657799999994</v>
      </c>
    </row>
    <row r="13" spans="1:4" x14ac:dyDescent="0.25">
      <c r="A13" s="297" t="s">
        <v>213</v>
      </c>
      <c r="B13" s="298"/>
      <c r="C13" s="298"/>
      <c r="D13" s="299"/>
    </row>
    <row r="14" spans="1:4" x14ac:dyDescent="0.25">
      <c r="A14" s="300" t="s">
        <v>76</v>
      </c>
      <c r="B14" s="298"/>
      <c r="C14" s="298"/>
      <c r="D14" s="299"/>
    </row>
    <row r="15" spans="1:4" x14ac:dyDescent="0.25">
      <c r="A15" s="297"/>
      <c r="B15" s="298"/>
      <c r="C15" s="298"/>
      <c r="D15" s="299"/>
    </row>
    <row r="16" spans="1:4" x14ac:dyDescent="0.25">
      <c r="A16" s="297" t="s">
        <v>77</v>
      </c>
      <c r="B16" s="298"/>
      <c r="C16" s="298"/>
      <c r="D16" s="299"/>
    </row>
    <row r="17" spans="1:4" x14ac:dyDescent="0.25">
      <c r="A17" s="300" t="s">
        <v>78</v>
      </c>
      <c r="B17" s="298"/>
      <c r="C17" s="298"/>
      <c r="D17" s="29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L28" sqref="L28:L29"/>
    </sheetView>
  </sheetViews>
  <sheetFormatPr defaultRowHeight="15" x14ac:dyDescent="0.25"/>
  <cols>
    <col min="1" max="1" width="9.140625" style="5" customWidth="1"/>
    <col min="2" max="2" width="40.570312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6" t="s">
        <v>214</v>
      </c>
      <c r="C4" s="316"/>
      <c r="D4" s="316"/>
    </row>
    <row r="5" spans="2:5" ht="18.75" customHeight="1" x14ac:dyDescent="0.25">
      <c r="B5" s="242"/>
    </row>
    <row r="6" spans="2:5" ht="15.75" customHeight="1" x14ac:dyDescent="0.25">
      <c r="B6" s="317" t="s">
        <v>215</v>
      </c>
      <c r="C6" s="317"/>
      <c r="D6" s="317"/>
    </row>
    <row r="7" spans="2:5" x14ac:dyDescent="0.25">
      <c r="B7" s="359"/>
      <c r="C7" s="359"/>
      <c r="D7" s="359"/>
      <c r="E7" s="359"/>
    </row>
    <row r="8" spans="2:5" x14ac:dyDescent="0.25">
      <c r="B8" s="279"/>
      <c r="C8" s="279"/>
      <c r="D8" s="279"/>
      <c r="E8" s="279"/>
    </row>
    <row r="9" spans="2:5" ht="47.25" customHeight="1" x14ac:dyDescent="0.25">
      <c r="B9" s="264" t="s">
        <v>216</v>
      </c>
      <c r="C9" s="264" t="s">
        <v>217</v>
      </c>
      <c r="D9" s="264" t="s">
        <v>218</v>
      </c>
    </row>
    <row r="10" spans="2:5" ht="15.75" customHeight="1" x14ac:dyDescent="0.25">
      <c r="B10" s="264">
        <v>1</v>
      </c>
      <c r="C10" s="264">
        <v>2</v>
      </c>
      <c r="D10" s="264">
        <v>3</v>
      </c>
    </row>
    <row r="11" spans="2:5" ht="45" customHeight="1" x14ac:dyDescent="0.25">
      <c r="B11" s="264" t="s">
        <v>219</v>
      </c>
      <c r="C11" s="264" t="s">
        <v>220</v>
      </c>
      <c r="D11" s="264">
        <v>44.29</v>
      </c>
    </row>
    <row r="12" spans="2:5" ht="29.25" customHeight="1" x14ac:dyDescent="0.25">
      <c r="B12" s="264" t="s">
        <v>221</v>
      </c>
      <c r="C12" s="264" t="s">
        <v>220</v>
      </c>
      <c r="D12" s="264">
        <v>13.47</v>
      </c>
    </row>
    <row r="13" spans="2:5" ht="29.25" customHeight="1" x14ac:dyDescent="0.25">
      <c r="B13" s="264" t="s">
        <v>222</v>
      </c>
      <c r="C13" s="264" t="s">
        <v>220</v>
      </c>
      <c r="D13" s="264">
        <v>8.0399999999999991</v>
      </c>
    </row>
    <row r="14" spans="2:5" ht="30.75" customHeight="1" x14ac:dyDescent="0.25">
      <c r="B14" s="264" t="s">
        <v>223</v>
      </c>
      <c r="C14" s="163" t="s">
        <v>224</v>
      </c>
      <c r="D14" s="264">
        <v>6.26</v>
      </c>
    </row>
    <row r="15" spans="2:5" ht="89.45" customHeight="1" x14ac:dyDescent="0.25">
      <c r="B15" s="264" t="s">
        <v>225</v>
      </c>
      <c r="C15" s="264" t="s">
        <v>226</v>
      </c>
      <c r="D15" s="243">
        <v>3.9E-2</v>
      </c>
    </row>
    <row r="16" spans="2:5" ht="78.75" customHeight="1" x14ac:dyDescent="0.25">
      <c r="B16" s="264" t="s">
        <v>227</v>
      </c>
      <c r="C16" s="264" t="s">
        <v>228</v>
      </c>
      <c r="D16" s="243">
        <v>2.1000000000000001E-2</v>
      </c>
    </row>
    <row r="17" spans="2:4" ht="31.7" customHeight="1" x14ac:dyDescent="0.25">
      <c r="B17" s="264" t="s">
        <v>229</v>
      </c>
      <c r="C17" s="264" t="s">
        <v>230</v>
      </c>
      <c r="D17" s="243">
        <v>2.1399999999999999E-2</v>
      </c>
    </row>
    <row r="18" spans="2:4" ht="31.7" customHeight="1" x14ac:dyDescent="0.25">
      <c r="B18" s="264" t="s">
        <v>157</v>
      </c>
      <c r="C18" s="264" t="s">
        <v>231</v>
      </c>
      <c r="D18" s="243">
        <v>2E-3</v>
      </c>
    </row>
    <row r="19" spans="2:4" ht="24" customHeight="1" x14ac:dyDescent="0.25">
      <c r="B19" s="264" t="s">
        <v>159</v>
      </c>
      <c r="C19" s="264" t="s">
        <v>232</v>
      </c>
      <c r="D19" s="243">
        <v>0.03</v>
      </c>
    </row>
    <row r="20" spans="2:4" ht="18.75" customHeight="1" x14ac:dyDescent="0.25">
      <c r="B20" s="244"/>
    </row>
    <row r="21" spans="2:4" ht="18.75" customHeight="1" x14ac:dyDescent="0.25">
      <c r="B21" s="244"/>
    </row>
    <row r="22" spans="2:4" ht="18.75" customHeight="1" x14ac:dyDescent="0.25">
      <c r="B22" s="244"/>
    </row>
    <row r="23" spans="2:4" ht="18.75" customHeight="1" x14ac:dyDescent="0.25">
      <c r="B23" s="244"/>
    </row>
    <row r="26" spans="2:4" x14ac:dyDescent="0.25">
      <c r="B26" s="4" t="s">
        <v>233</v>
      </c>
      <c r="C26" s="14"/>
    </row>
    <row r="27" spans="2:4" x14ac:dyDescent="0.25">
      <c r="B27" s="233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198</v>
      </c>
      <c r="C29" s="14"/>
    </row>
    <row r="30" spans="2:4" x14ac:dyDescent="0.25">
      <c r="B30" s="233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L14" sqref="L13:L14"/>
    </sheetView>
  </sheetViews>
  <sheetFormatPr defaultRowHeight="15" x14ac:dyDescent="0.25"/>
  <cols>
    <col min="1" max="1" width="9.140625" style="245" customWidth="1"/>
    <col min="2" max="2" width="44.85546875" style="245" customWidth="1"/>
    <col min="3" max="3" width="13" style="245" customWidth="1"/>
    <col min="4" max="4" width="22.85546875" style="245" customWidth="1"/>
    <col min="5" max="5" width="21.42578125" style="245" customWidth="1"/>
    <col min="6" max="6" width="43.85546875" style="245" customWidth="1"/>
    <col min="7" max="7" width="9.140625" style="245" customWidth="1"/>
  </cols>
  <sheetData>
    <row r="2" spans="1:7" ht="17.45" customHeight="1" x14ac:dyDescent="0.25">
      <c r="A2" s="317" t="s">
        <v>234</v>
      </c>
      <c r="B2" s="317"/>
      <c r="C2" s="317"/>
      <c r="D2" s="317"/>
      <c r="E2" s="317"/>
      <c r="F2" s="317"/>
    </row>
    <row r="4" spans="1:7" ht="18" customHeight="1" x14ac:dyDescent="0.25">
      <c r="A4" s="246" t="s">
        <v>235</v>
      </c>
      <c r="B4" s="247"/>
      <c r="C4" s="247"/>
      <c r="D4" s="247"/>
      <c r="E4" s="247"/>
      <c r="F4" s="247"/>
      <c r="G4" s="247"/>
    </row>
    <row r="5" spans="1:7" ht="15.75" customHeight="1" x14ac:dyDescent="0.25">
      <c r="A5" s="248" t="s">
        <v>13</v>
      </c>
      <c r="B5" s="248" t="s">
        <v>236</v>
      </c>
      <c r="C5" s="248" t="s">
        <v>237</v>
      </c>
      <c r="D5" s="248" t="s">
        <v>238</v>
      </c>
      <c r="E5" s="248" t="s">
        <v>239</v>
      </c>
      <c r="F5" s="248" t="s">
        <v>240</v>
      </c>
      <c r="G5" s="247"/>
    </row>
    <row r="6" spans="1:7" ht="15.75" customHeight="1" x14ac:dyDescent="0.25">
      <c r="A6" s="248">
        <v>1</v>
      </c>
      <c r="B6" s="248">
        <v>2</v>
      </c>
      <c r="C6" s="248">
        <v>3</v>
      </c>
      <c r="D6" s="248">
        <v>4</v>
      </c>
      <c r="E6" s="248">
        <v>5</v>
      </c>
      <c r="F6" s="248">
        <v>6</v>
      </c>
      <c r="G6" s="247"/>
    </row>
    <row r="7" spans="1:7" ht="110.25" customHeight="1" x14ac:dyDescent="0.25">
      <c r="A7" s="249" t="s">
        <v>241</v>
      </c>
      <c r="B7" s="250" t="s">
        <v>242</v>
      </c>
      <c r="C7" s="251" t="s">
        <v>243</v>
      </c>
      <c r="D7" s="251" t="s">
        <v>244</v>
      </c>
      <c r="E7" s="252">
        <v>47872.94</v>
      </c>
      <c r="F7" s="250" t="s">
        <v>245</v>
      </c>
      <c r="G7" s="247"/>
    </row>
    <row r="8" spans="1:7" ht="31.7" customHeight="1" x14ac:dyDescent="0.25">
      <c r="A8" s="249" t="s">
        <v>246</v>
      </c>
      <c r="B8" s="250" t="s">
        <v>247</v>
      </c>
      <c r="C8" s="251" t="s">
        <v>248</v>
      </c>
      <c r="D8" s="251" t="s">
        <v>249</v>
      </c>
      <c r="E8" s="252">
        <f>1973/12</f>
        <v>164.41666666667001</v>
      </c>
      <c r="F8" s="253" t="s">
        <v>250</v>
      </c>
      <c r="G8" s="254"/>
    </row>
    <row r="9" spans="1:7" ht="15.75" customHeight="1" x14ac:dyDescent="0.25">
      <c r="A9" s="249" t="s">
        <v>251</v>
      </c>
      <c r="B9" s="250" t="s">
        <v>252</v>
      </c>
      <c r="C9" s="251" t="s">
        <v>253</v>
      </c>
      <c r="D9" s="251" t="s">
        <v>244</v>
      </c>
      <c r="E9" s="252">
        <v>1</v>
      </c>
      <c r="F9" s="253"/>
      <c r="G9" s="255"/>
    </row>
    <row r="10" spans="1:7" ht="15.75" customHeight="1" x14ac:dyDescent="0.25">
      <c r="A10" s="249" t="s">
        <v>254</v>
      </c>
      <c r="B10" s="250" t="s">
        <v>255</v>
      </c>
      <c r="C10" s="251"/>
      <c r="D10" s="251"/>
      <c r="E10" s="256">
        <v>4.9000000000000004</v>
      </c>
      <c r="F10" s="253" t="s">
        <v>256</v>
      </c>
      <c r="G10" s="255"/>
    </row>
    <row r="11" spans="1:7" ht="78.75" customHeight="1" x14ac:dyDescent="0.25">
      <c r="A11" s="249" t="s">
        <v>257</v>
      </c>
      <c r="B11" s="250" t="s">
        <v>258</v>
      </c>
      <c r="C11" s="251" t="s">
        <v>259</v>
      </c>
      <c r="D11" s="251" t="s">
        <v>244</v>
      </c>
      <c r="E11" s="257">
        <v>1.522</v>
      </c>
      <c r="F11" s="250" t="s">
        <v>260</v>
      </c>
      <c r="G11" s="247"/>
    </row>
    <row r="12" spans="1:7" ht="78.75" customHeight="1" x14ac:dyDescent="0.25">
      <c r="A12" s="249" t="s">
        <v>261</v>
      </c>
      <c r="B12" s="258" t="s">
        <v>262</v>
      </c>
      <c r="C12" s="251" t="s">
        <v>263</v>
      </c>
      <c r="D12" s="251" t="s">
        <v>244</v>
      </c>
      <c r="E12" s="259">
        <v>1.139</v>
      </c>
      <c r="F12" s="260" t="s">
        <v>264</v>
      </c>
      <c r="G12" s="255"/>
    </row>
    <row r="13" spans="1:7" ht="63" customHeight="1" x14ac:dyDescent="0.25">
      <c r="A13" s="249" t="s">
        <v>265</v>
      </c>
      <c r="B13" s="261" t="s">
        <v>266</v>
      </c>
      <c r="C13" s="251" t="s">
        <v>267</v>
      </c>
      <c r="D13" s="251" t="s">
        <v>268</v>
      </c>
      <c r="E13" s="262">
        <f>((E7*E9/E8)*E11)*E12</f>
        <v>504.75733271476997</v>
      </c>
      <c r="F13" s="250" t="s">
        <v>269</v>
      </c>
      <c r="G13" s="24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5703125" style="14" customWidth="1"/>
    <col min="2" max="2" width="26.42578125" style="14" customWidth="1"/>
    <col min="3" max="3" width="36.140625" style="14" customWidth="1"/>
    <col min="4" max="4" width="12.42578125" style="14" customWidth="1"/>
    <col min="5" max="5" width="15.140625" style="14" customWidth="1"/>
    <col min="6" max="6" width="12.42578125" style="14" customWidth="1"/>
    <col min="7" max="7" width="16.42578125" style="14" customWidth="1"/>
    <col min="8" max="9" width="10.5703125" style="14" customWidth="1"/>
    <col min="10" max="10" width="11.42578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0" t="s">
        <v>270</v>
      </c>
      <c r="B1" s="360"/>
      <c r="C1" s="360"/>
      <c r="D1" s="360"/>
      <c r="E1" s="360"/>
      <c r="F1" s="360"/>
      <c r="G1" s="360"/>
      <c r="H1" s="360"/>
      <c r="I1" s="360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2" t="e">
        <f>#REF!</f>
        <v>#REF!</v>
      </c>
      <c r="B3" s="312"/>
      <c r="C3" s="312"/>
      <c r="D3" s="312"/>
      <c r="E3" s="312"/>
      <c r="F3" s="312"/>
      <c r="G3" s="312"/>
      <c r="H3" s="312"/>
      <c r="I3" s="312"/>
    </row>
    <row r="4" spans="1:13" s="4" customFormat="1" ht="15.75" customHeight="1" x14ac:dyDescent="0.2">
      <c r="A4" s="361"/>
      <c r="B4" s="361"/>
      <c r="C4" s="361"/>
      <c r="D4" s="361"/>
      <c r="E4" s="361"/>
      <c r="F4" s="361"/>
      <c r="G4" s="361"/>
      <c r="H4" s="361"/>
      <c r="I4" s="361"/>
    </row>
    <row r="5" spans="1:13" s="31" customFormat="1" ht="36.75" customHeight="1" x14ac:dyDescent="0.35">
      <c r="A5" s="362" t="s">
        <v>13</v>
      </c>
      <c r="B5" s="362" t="s">
        <v>271</v>
      </c>
      <c r="C5" s="362" t="s">
        <v>272</v>
      </c>
      <c r="D5" s="362" t="s">
        <v>273</v>
      </c>
      <c r="E5" s="357" t="s">
        <v>274</v>
      </c>
      <c r="F5" s="357"/>
      <c r="G5" s="357"/>
      <c r="H5" s="357"/>
      <c r="I5" s="357"/>
    </row>
    <row r="6" spans="1:13" s="26" customFormat="1" ht="31.7" customHeight="1" x14ac:dyDescent="0.2">
      <c r="A6" s="362"/>
      <c r="B6" s="362"/>
      <c r="C6" s="362"/>
      <c r="D6" s="362"/>
      <c r="E6" s="32" t="s">
        <v>86</v>
      </c>
      <c r="F6" s="32" t="s">
        <v>87</v>
      </c>
      <c r="G6" s="32" t="s">
        <v>43</v>
      </c>
      <c r="H6" s="32" t="s">
        <v>275</v>
      </c>
      <c r="I6" s="32" t="s">
        <v>276</v>
      </c>
    </row>
    <row r="7" spans="1:13" s="26" customFormat="1" ht="13.3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35" customHeight="1" x14ac:dyDescent="0.2">
      <c r="A8" s="33">
        <v>1</v>
      </c>
      <c r="B8" s="34"/>
      <c r="C8" s="9" t="s">
        <v>147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277</v>
      </c>
      <c r="C9" s="9" t="s">
        <v>278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3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279</v>
      </c>
      <c r="C11" s="9" t="s">
        <v>227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107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280</v>
      </c>
      <c r="C12" s="9" t="s">
        <v>281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282</v>
      </c>
    </row>
    <row r="13" spans="1:13" s="26" customFormat="1" ht="13.3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230</v>
      </c>
      <c r="C14" s="9" t="s">
        <v>283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3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284</v>
      </c>
      <c r="C16" s="9" t="s">
        <v>285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286</v>
      </c>
    </row>
    <row r="17" spans="1:10" s="26" customFormat="1" ht="81.75" customHeight="1" x14ac:dyDescent="0.2">
      <c r="A17" s="33">
        <v>7</v>
      </c>
      <c r="B17" s="9" t="s">
        <v>284</v>
      </c>
      <c r="C17" s="136" t="s">
        <v>287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3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35" customHeight="1" x14ac:dyDescent="0.2">
      <c r="A19" s="33">
        <v>8</v>
      </c>
      <c r="B19" s="9"/>
      <c r="C19" s="9" t="s">
        <v>288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289</v>
      </c>
      <c r="C20" s="9" t="s">
        <v>159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35" customHeight="1" x14ac:dyDescent="0.2">
      <c r="A21" s="33">
        <v>10</v>
      </c>
      <c r="B21" s="9"/>
      <c r="C21" s="9" t="s">
        <v>290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3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291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292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293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294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42578125" defaultRowHeight="15" outlineLevelRow="1" outlineLevelCol="1" x14ac:dyDescent="0.25"/>
  <cols>
    <col min="1" max="2" width="6.5703125" style="49" customWidth="1"/>
    <col min="3" max="3" width="66.42578125" style="49" customWidth="1"/>
    <col min="4" max="4" width="12.5703125" style="49" customWidth="1" outlineLevel="1"/>
    <col min="5" max="5" width="13.5703125" style="49" customWidth="1" outlineLevel="1"/>
    <col min="6" max="6" width="12.42578125" style="49" customWidth="1" outlineLevel="1"/>
    <col min="7" max="7" width="14.42578125" style="50" customWidth="1" outlineLevel="1"/>
    <col min="8" max="8" width="12.5703125" style="50" customWidth="1" outlineLevel="1"/>
    <col min="9" max="9" width="17.42578125" style="50" customWidth="1"/>
    <col min="10" max="10" width="12.5703125" style="49" customWidth="1"/>
    <col min="11" max="13" width="14.42578125" style="49" customWidth="1"/>
    <col min="14" max="14" width="12.5703125" style="49" customWidth="1"/>
    <col min="15" max="15" width="26.140625" style="49" customWidth="1"/>
    <col min="16" max="16" width="15.5703125" style="51" customWidth="1"/>
    <col min="17" max="17" width="9.42578125" style="51"/>
  </cols>
  <sheetData>
    <row r="2" spans="1:16" x14ac:dyDescent="0.25">
      <c r="N2" s="364" t="s">
        <v>295</v>
      </c>
      <c r="O2" s="364"/>
    </row>
    <row r="3" spans="1:16" x14ac:dyDescent="0.25">
      <c r="A3" s="365" t="s">
        <v>296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</row>
    <row r="5" spans="1:16" s="49" customFormat="1" ht="37.5" customHeight="1" x14ac:dyDescent="0.25">
      <c r="A5" s="366" t="s">
        <v>297</v>
      </c>
      <c r="B5" s="369" t="s">
        <v>298</v>
      </c>
      <c r="C5" s="372" t="s">
        <v>299</v>
      </c>
      <c r="D5" s="375" t="s">
        <v>300</v>
      </c>
      <c r="E5" s="376"/>
      <c r="F5" s="376"/>
      <c r="G5" s="376"/>
      <c r="H5" s="376"/>
      <c r="I5" s="375" t="s">
        <v>301</v>
      </c>
      <c r="J5" s="376"/>
      <c r="K5" s="376"/>
      <c r="L5" s="376"/>
      <c r="M5" s="376"/>
      <c r="N5" s="376"/>
      <c r="O5" s="52" t="s">
        <v>302</v>
      </c>
    </row>
    <row r="6" spans="1:16" s="55" customFormat="1" ht="150" customHeight="1" x14ac:dyDescent="0.25">
      <c r="A6" s="367"/>
      <c r="B6" s="370"/>
      <c r="C6" s="373"/>
      <c r="D6" s="372" t="s">
        <v>303</v>
      </c>
      <c r="E6" s="377" t="s">
        <v>304</v>
      </c>
      <c r="F6" s="378"/>
      <c r="G6" s="379"/>
      <c r="H6" s="53" t="s">
        <v>305</v>
      </c>
      <c r="I6" s="380" t="s">
        <v>306</v>
      </c>
      <c r="J6" s="380" t="s">
        <v>303</v>
      </c>
      <c r="K6" s="381" t="s">
        <v>304</v>
      </c>
      <c r="L6" s="381"/>
      <c r="M6" s="381"/>
      <c r="N6" s="53" t="s">
        <v>305</v>
      </c>
      <c r="O6" s="54" t="s">
        <v>307</v>
      </c>
    </row>
    <row r="7" spans="1:16" s="55" customFormat="1" ht="30.75" customHeight="1" x14ac:dyDescent="0.25">
      <c r="A7" s="368"/>
      <c r="B7" s="371"/>
      <c r="C7" s="374"/>
      <c r="D7" s="374"/>
      <c r="E7" s="52" t="s">
        <v>86</v>
      </c>
      <c r="F7" s="52" t="s">
        <v>87</v>
      </c>
      <c r="G7" s="52" t="s">
        <v>43</v>
      </c>
      <c r="H7" s="56" t="s">
        <v>308</v>
      </c>
      <c r="I7" s="380"/>
      <c r="J7" s="380"/>
      <c r="K7" s="52" t="s">
        <v>86</v>
      </c>
      <c r="L7" s="52" t="s">
        <v>87</v>
      </c>
      <c r="M7" s="52" t="s">
        <v>43</v>
      </c>
      <c r="N7" s="56" t="s">
        <v>308</v>
      </c>
      <c r="O7" s="52" t="s">
        <v>309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6" t="s">
        <v>310</v>
      </c>
      <c r="C9" s="58" t="s">
        <v>311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68"/>
      <c r="C10" s="62" t="s">
        <v>312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6" t="s">
        <v>313</v>
      </c>
      <c r="C11" s="62" t="s">
        <v>314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68"/>
      <c r="C12" s="62" t="s">
        <v>315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6" t="s">
        <v>316</v>
      </c>
      <c r="C13" s="58" t="s">
        <v>317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68"/>
      <c r="C14" s="62" t="s">
        <v>318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319</v>
      </c>
      <c r="C15" s="62" t="s">
        <v>320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321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.2" customHeight="1" x14ac:dyDescent="0.25">
      <c r="C18" s="73" t="s">
        <v>322</v>
      </c>
    </row>
    <row r="19" spans="1:15" ht="30.75" customHeight="1" x14ac:dyDescent="0.25">
      <c r="L19" s="74"/>
    </row>
    <row r="20" spans="1:15" ht="15" customHeight="1" outlineLevel="1" x14ac:dyDescent="0.25">
      <c r="G20" s="363" t="s">
        <v>323</v>
      </c>
      <c r="H20" s="363"/>
      <c r="I20" s="363"/>
      <c r="J20" s="363"/>
      <c r="K20" s="363"/>
      <c r="L20" s="363"/>
      <c r="M20" s="363"/>
      <c r="N20" s="363"/>
      <c r="O20" s="51"/>
    </row>
    <row r="21" spans="1:15" ht="15.75" customHeight="1" outlineLevel="1" x14ac:dyDescent="0.25">
      <c r="G21" s="75"/>
      <c r="H21" s="75" t="s">
        <v>324</v>
      </c>
      <c r="I21" s="75" t="s">
        <v>325</v>
      </c>
      <c r="J21" s="76" t="s">
        <v>326</v>
      </c>
      <c r="K21" s="77" t="s">
        <v>327</v>
      </c>
      <c r="L21" s="75" t="s">
        <v>328</v>
      </c>
      <c r="M21" s="75" t="s">
        <v>329</v>
      </c>
      <c r="N21" s="76" t="s">
        <v>330</v>
      </c>
      <c r="O21" s="78"/>
    </row>
    <row r="22" spans="1:15" ht="15.75" customHeight="1" outlineLevel="1" x14ac:dyDescent="0.25">
      <c r="G22" s="383" t="s">
        <v>331</v>
      </c>
      <c r="H22" s="382">
        <v>6.09</v>
      </c>
      <c r="I22" s="384">
        <v>6.44</v>
      </c>
      <c r="J22" s="382">
        <v>5.77</v>
      </c>
      <c r="K22" s="384">
        <v>5.77</v>
      </c>
      <c r="L22" s="382">
        <v>5.23</v>
      </c>
      <c r="M22" s="382">
        <v>5.77</v>
      </c>
      <c r="N22" s="79">
        <v>6.29</v>
      </c>
      <c r="O22" s="50" t="s">
        <v>332</v>
      </c>
    </row>
    <row r="23" spans="1:15" ht="15.75" customHeight="1" outlineLevel="1" x14ac:dyDescent="0.25">
      <c r="G23" s="383"/>
      <c r="H23" s="382"/>
      <c r="I23" s="384"/>
      <c r="J23" s="382"/>
      <c r="K23" s="384"/>
      <c r="L23" s="382"/>
      <c r="M23" s="382"/>
      <c r="N23" s="79">
        <v>6.56</v>
      </c>
      <c r="O23" s="50" t="s">
        <v>333</v>
      </c>
    </row>
    <row r="24" spans="1:15" ht="15.75" customHeight="1" outlineLevel="1" x14ac:dyDescent="0.25">
      <c r="G24" s="80" t="s">
        <v>334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308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7" customHeight="1" outlineLevel="1" x14ac:dyDescent="0.25">
      <c r="G26" s="80" t="s">
        <v>335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7" customHeight="1" outlineLevel="1" x14ac:dyDescent="0.25">
      <c r="G27" s="80" t="s">
        <v>336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275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425781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5703125" style="86" customWidth="1"/>
    <col min="5" max="5" width="17.5703125" style="86" customWidth="1"/>
    <col min="6" max="6" width="12.5703125" style="86" customWidth="1"/>
    <col min="7" max="7" width="14.425781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5703125" style="86" customWidth="1"/>
    <col min="13" max="13" width="15.5703125" style="86" customWidth="1"/>
    <col min="14" max="14" width="18.42578125" style="86" customWidth="1"/>
    <col min="15" max="15" width="18.5703125" style="86" customWidth="1"/>
    <col min="16" max="16" width="18" style="86" customWidth="1"/>
    <col min="17" max="17" width="17" style="86" customWidth="1"/>
    <col min="18" max="18" width="16.42578125" style="87" customWidth="1"/>
    <col min="19" max="19" width="9.42578125" style="51"/>
  </cols>
  <sheetData>
    <row r="2" spans="1:18" ht="18.75" customHeight="1" x14ac:dyDescent="0.25">
      <c r="A2" s="400" t="s">
        <v>337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4" spans="1:18" ht="36.75" customHeight="1" x14ac:dyDescent="0.25">
      <c r="A4" s="366" t="s">
        <v>297</v>
      </c>
      <c r="B4" s="369" t="s">
        <v>298</v>
      </c>
      <c r="C4" s="372" t="s">
        <v>338</v>
      </c>
      <c r="D4" s="372" t="s">
        <v>339</v>
      </c>
      <c r="E4" s="375" t="s">
        <v>340</v>
      </c>
      <c r="F4" s="376"/>
      <c r="G4" s="376"/>
      <c r="H4" s="376"/>
      <c r="I4" s="376"/>
      <c r="J4" s="376"/>
      <c r="K4" s="376"/>
      <c r="L4" s="376"/>
      <c r="M4" s="376"/>
      <c r="N4" s="401" t="s">
        <v>341</v>
      </c>
      <c r="O4" s="402"/>
      <c r="P4" s="402"/>
      <c r="Q4" s="402"/>
      <c r="R4" s="403"/>
    </row>
    <row r="5" spans="1:18" ht="60" customHeight="1" x14ac:dyDescent="0.25">
      <c r="A5" s="367"/>
      <c r="B5" s="370"/>
      <c r="C5" s="373"/>
      <c r="D5" s="373"/>
      <c r="E5" s="380" t="s">
        <v>342</v>
      </c>
      <c r="F5" s="380" t="s">
        <v>343</v>
      </c>
      <c r="G5" s="377" t="s">
        <v>304</v>
      </c>
      <c r="H5" s="378"/>
      <c r="I5" s="378"/>
      <c r="J5" s="379"/>
      <c r="K5" s="380" t="s">
        <v>344</v>
      </c>
      <c r="L5" s="380"/>
      <c r="M5" s="380"/>
      <c r="N5" s="88" t="s">
        <v>345</v>
      </c>
      <c r="O5" s="88" t="s">
        <v>346</v>
      </c>
      <c r="P5" s="89" t="s">
        <v>347</v>
      </c>
      <c r="Q5" s="90" t="s">
        <v>348</v>
      </c>
      <c r="R5" s="89" t="s">
        <v>349</v>
      </c>
    </row>
    <row r="6" spans="1:18" ht="49.7" customHeight="1" x14ac:dyDescent="0.25">
      <c r="A6" s="368"/>
      <c r="B6" s="371"/>
      <c r="C6" s="374"/>
      <c r="D6" s="374"/>
      <c r="E6" s="380"/>
      <c r="F6" s="380"/>
      <c r="G6" s="52" t="s">
        <v>86</v>
      </c>
      <c r="H6" s="52" t="s">
        <v>87</v>
      </c>
      <c r="I6" s="91" t="s">
        <v>43</v>
      </c>
      <c r="J6" s="91" t="s">
        <v>275</v>
      </c>
      <c r="K6" s="52" t="s">
        <v>345</v>
      </c>
      <c r="L6" s="52" t="s">
        <v>346</v>
      </c>
      <c r="M6" s="52" t="s">
        <v>347</v>
      </c>
      <c r="N6" s="91" t="s">
        <v>350</v>
      </c>
      <c r="O6" s="91" t="s">
        <v>351</v>
      </c>
      <c r="P6" s="91" t="s">
        <v>352</v>
      </c>
      <c r="Q6" s="92" t="s">
        <v>353</v>
      </c>
      <c r="R6" s="93" t="s">
        <v>354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6">
        <v>1</v>
      </c>
      <c r="B9" s="366" t="s">
        <v>355</v>
      </c>
      <c r="C9" s="393" t="s">
        <v>311</v>
      </c>
      <c r="D9" s="98" t="s">
        <v>356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75" hidden="1" customHeight="1" x14ac:dyDescent="0.25">
      <c r="A10" s="368"/>
      <c r="B10" s="367"/>
      <c r="C10" s="394"/>
      <c r="D10" s="98" t="s">
        <v>357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66">
        <v>2</v>
      </c>
      <c r="B11" s="367"/>
      <c r="C11" s="393" t="s">
        <v>358</v>
      </c>
      <c r="D11" s="103" t="s">
        <v>356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68"/>
      <c r="B12" s="368"/>
      <c r="C12" s="394"/>
      <c r="D12" s="103" t="s">
        <v>357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35" customHeight="1" x14ac:dyDescent="0.25">
      <c r="A13" s="366">
        <v>3</v>
      </c>
      <c r="B13" s="366" t="s">
        <v>313</v>
      </c>
      <c r="C13" s="396" t="s">
        <v>314</v>
      </c>
      <c r="D13" s="98" t="s">
        <v>359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.2" hidden="1" customHeight="1" x14ac:dyDescent="0.25">
      <c r="A14" s="368"/>
      <c r="B14" s="367"/>
      <c r="C14" s="397"/>
      <c r="D14" s="98" t="s">
        <v>357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66">
        <v>4</v>
      </c>
      <c r="B15" s="367"/>
      <c r="C15" s="398" t="s">
        <v>315</v>
      </c>
      <c r="D15" s="104" t="s">
        <v>359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68"/>
      <c r="B16" s="368"/>
      <c r="C16" s="399"/>
      <c r="D16" s="104" t="s">
        <v>357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66">
        <v>5</v>
      </c>
      <c r="B17" s="381" t="s">
        <v>316</v>
      </c>
      <c r="C17" s="393" t="s">
        <v>360</v>
      </c>
      <c r="D17" s="98" t="s">
        <v>361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68"/>
      <c r="B18" s="381"/>
      <c r="C18" s="394"/>
      <c r="D18" s="98" t="s">
        <v>357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66">
        <v>6</v>
      </c>
      <c r="B19" s="381"/>
      <c r="C19" s="393" t="s">
        <v>318</v>
      </c>
      <c r="D19" s="104" t="s">
        <v>359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68"/>
      <c r="B20" s="381"/>
      <c r="C20" s="394"/>
      <c r="D20" s="104" t="s">
        <v>357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66">
        <v>7</v>
      </c>
      <c r="B21" s="366" t="s">
        <v>319</v>
      </c>
      <c r="C21" s="393" t="s">
        <v>320</v>
      </c>
      <c r="D21" s="104" t="s">
        <v>362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68"/>
      <c r="B22" s="368"/>
      <c r="C22" s="394"/>
      <c r="D22" s="105" t="s">
        <v>357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363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5" t="s">
        <v>364</v>
      </c>
      <c r="E26" s="395"/>
      <c r="F26" s="395"/>
      <c r="G26" s="395"/>
      <c r="H26" s="395"/>
      <c r="I26" s="395"/>
      <c r="J26" s="395"/>
      <c r="K26" s="395"/>
      <c r="L26" s="120"/>
      <c r="R26" s="121"/>
    </row>
    <row r="27" spans="1:18" outlineLevel="1" x14ac:dyDescent="0.25">
      <c r="D27" s="122"/>
      <c r="E27" s="122" t="s">
        <v>324</v>
      </c>
      <c r="F27" s="122" t="s">
        <v>325</v>
      </c>
      <c r="G27" s="122" t="s">
        <v>326</v>
      </c>
      <c r="H27" s="123" t="s">
        <v>327</v>
      </c>
      <c r="I27" s="123" t="s">
        <v>328</v>
      </c>
      <c r="J27" s="123" t="s">
        <v>329</v>
      </c>
      <c r="K27" s="110" t="s">
        <v>330</v>
      </c>
      <c r="L27" s="51"/>
    </row>
    <row r="28" spans="1:18" outlineLevel="1" x14ac:dyDescent="0.25">
      <c r="D28" s="389" t="s">
        <v>331</v>
      </c>
      <c r="E28" s="387">
        <v>6.09</v>
      </c>
      <c r="F28" s="391">
        <v>6.63</v>
      </c>
      <c r="G28" s="387">
        <v>5.77</v>
      </c>
      <c r="H28" s="385">
        <v>5.77</v>
      </c>
      <c r="I28" s="385">
        <v>6.35</v>
      </c>
      <c r="J28" s="387">
        <v>5.77</v>
      </c>
      <c r="K28" s="124">
        <v>6.29</v>
      </c>
      <c r="L28" s="86" t="s">
        <v>332</v>
      </c>
      <c r="M28" s="51"/>
    </row>
    <row r="29" spans="1:18" outlineLevel="1" x14ac:dyDescent="0.25">
      <c r="D29" s="390"/>
      <c r="E29" s="388"/>
      <c r="F29" s="392"/>
      <c r="G29" s="388"/>
      <c r="H29" s="386"/>
      <c r="I29" s="386"/>
      <c r="J29" s="388"/>
      <c r="K29" s="124">
        <v>6.56</v>
      </c>
      <c r="L29" s="86" t="s">
        <v>333</v>
      </c>
      <c r="M29" s="51"/>
    </row>
    <row r="30" spans="1:18" outlineLevel="1" x14ac:dyDescent="0.25">
      <c r="D30" s="125" t="s">
        <v>334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89" t="s">
        <v>308</v>
      </c>
      <c r="E31" s="387">
        <v>11.37</v>
      </c>
      <c r="F31" s="391">
        <v>13.56</v>
      </c>
      <c r="G31" s="387">
        <v>15.91</v>
      </c>
      <c r="H31" s="385">
        <v>15.91</v>
      </c>
      <c r="I31" s="385">
        <v>14.03</v>
      </c>
      <c r="J31" s="387">
        <v>15.91</v>
      </c>
      <c r="K31" s="124">
        <v>8.2899999999999991</v>
      </c>
      <c r="L31" s="86" t="s">
        <v>332</v>
      </c>
      <c r="R31" s="115"/>
    </row>
    <row r="32" spans="1:18" s="86" customFormat="1" outlineLevel="1" x14ac:dyDescent="0.25">
      <c r="D32" s="390"/>
      <c r="E32" s="388"/>
      <c r="F32" s="392"/>
      <c r="G32" s="388"/>
      <c r="H32" s="386"/>
      <c r="I32" s="386"/>
      <c r="J32" s="388"/>
      <c r="K32" s="124">
        <v>11.84</v>
      </c>
      <c r="L32" s="86" t="s">
        <v>333</v>
      </c>
      <c r="R32" s="115"/>
    </row>
    <row r="33" spans="4:18" s="86" customFormat="1" ht="15" customHeight="1" outlineLevel="1" x14ac:dyDescent="0.25">
      <c r="D33" s="128" t="s">
        <v>335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365</v>
      </c>
      <c r="R33" s="115"/>
    </row>
    <row r="34" spans="4:18" s="86" customFormat="1" outlineLevel="1" x14ac:dyDescent="0.25">
      <c r="D34" s="128" t="s">
        <v>336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365</v>
      </c>
      <c r="R34" s="115"/>
    </row>
    <row r="35" spans="4:18" s="86" customFormat="1" outlineLevel="1" x14ac:dyDescent="0.25">
      <c r="D35" s="125" t="s">
        <v>275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5703125" style="4" customWidth="1"/>
    <col min="2" max="2" width="32.42578125" style="4" customWidth="1"/>
    <col min="3" max="3" width="37.42578125" style="4" customWidth="1"/>
    <col min="4" max="4" width="25.5703125" style="4" customWidth="1"/>
    <col min="5" max="5" width="9.140625" style="4"/>
    <col min="6" max="6" width="9.140625" style="5"/>
  </cols>
  <sheetData>
    <row r="2" spans="1:4" x14ac:dyDescent="0.25">
      <c r="A2" s="309" t="s">
        <v>10</v>
      </c>
      <c r="B2" s="309"/>
      <c r="C2" s="309"/>
      <c r="D2" s="309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2"/>
    </row>
    <row r="5" spans="1:4" x14ac:dyDescent="0.25">
      <c r="A5" s="6"/>
      <c r="B5" s="1"/>
      <c r="C5" s="1"/>
    </row>
    <row r="6" spans="1:4" x14ac:dyDescent="0.25">
      <c r="A6" s="309" t="s">
        <v>12</v>
      </c>
      <c r="B6" s="309"/>
      <c r="C6" s="309"/>
      <c r="D6" s="30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3" t="s">
        <v>5</v>
      </c>
      <c r="B15" s="314" t="s">
        <v>15</v>
      </c>
      <c r="C15" s="314"/>
      <c r="D15" s="314"/>
    </row>
    <row r="16" spans="1:4" x14ac:dyDescent="0.25">
      <c r="A16" s="313"/>
      <c r="B16" s="313" t="s">
        <v>17</v>
      </c>
      <c r="C16" s="314" t="s">
        <v>28</v>
      </c>
      <c r="D16" s="314"/>
    </row>
    <row r="17" spans="1:4" ht="39.200000000000003" customHeight="1" x14ac:dyDescent="0.25">
      <c r="A17" s="313"/>
      <c r="B17" s="313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42578125" style="4" customWidth="1"/>
    <col min="2" max="2" width="40.5703125" style="4" customWidth="1"/>
    <col min="3" max="3" width="47" style="4" customWidth="1"/>
    <col min="4" max="4" width="20.5703125" style="4" customWidth="1"/>
    <col min="5" max="5" width="9.140625" style="4"/>
    <col min="6" max="6" width="12.85546875" style="13" customWidth="1"/>
    <col min="7" max="7" width="11.140625" style="13" customWidth="1"/>
    <col min="8" max="8" width="9.42578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5" t="s">
        <v>29</v>
      </c>
      <c r="B2" s="315"/>
      <c r="C2" s="315"/>
      <c r="D2" s="315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.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8" zoomScale="55" zoomScaleNormal="55" workbookViewId="0">
      <selection activeCell="E31" sqref="E31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42578125" style="159" customWidth="1"/>
    <col min="5" max="5" width="17.42578125" style="159" customWidth="1"/>
    <col min="6" max="6" width="18.5703125" style="159" customWidth="1"/>
    <col min="7" max="7" width="9.140625" style="159"/>
  </cols>
  <sheetData>
    <row r="3" spans="1:14" x14ac:dyDescent="0.25">
      <c r="B3" s="316" t="s">
        <v>45</v>
      </c>
      <c r="C3" s="316"/>
      <c r="D3" s="316"/>
    </row>
    <row r="4" spans="1:14" x14ac:dyDescent="0.25">
      <c r="B4" s="317" t="s">
        <v>46</v>
      </c>
      <c r="C4" s="317"/>
      <c r="D4" s="317"/>
    </row>
    <row r="5" spans="1:14" x14ac:dyDescent="0.25">
      <c r="B5" s="160"/>
      <c r="C5" s="160"/>
      <c r="D5" s="160"/>
    </row>
    <row r="6" spans="1:14" x14ac:dyDescent="0.25">
      <c r="B6" s="160"/>
      <c r="C6" s="160"/>
      <c r="D6" s="160"/>
    </row>
    <row r="7" spans="1:14" ht="45.75" customHeight="1" x14ac:dyDescent="0.25">
      <c r="B7" s="318" t="s">
        <v>47</v>
      </c>
      <c r="C7" s="319"/>
      <c r="D7" s="319"/>
    </row>
    <row r="8" spans="1:14" s="292" customFormat="1" ht="31.7" customHeight="1" x14ac:dyDescent="0.25">
      <c r="A8" s="291"/>
      <c r="B8" s="319" t="s">
        <v>48</v>
      </c>
      <c r="C8" s="319"/>
      <c r="D8" s="319"/>
      <c r="E8" s="319"/>
      <c r="F8" s="319"/>
      <c r="G8" s="291"/>
      <c r="H8" s="291"/>
      <c r="I8" s="291"/>
      <c r="J8" s="291"/>
      <c r="K8" s="291"/>
      <c r="L8" s="291"/>
      <c r="M8" s="291"/>
      <c r="N8" s="291"/>
    </row>
    <row r="9" spans="1:14" x14ac:dyDescent="0.25">
      <c r="B9" s="319" t="s">
        <v>49</v>
      </c>
      <c r="C9" s="319"/>
      <c r="D9" s="319"/>
    </row>
    <row r="10" spans="1:14" x14ac:dyDescent="0.25">
      <c r="B10" s="263"/>
    </row>
    <row r="11" spans="1:14" x14ac:dyDescent="0.25">
      <c r="B11" s="264" t="s">
        <v>33</v>
      </c>
      <c r="C11" s="264" t="s">
        <v>50</v>
      </c>
      <c r="D11" s="161" t="s">
        <v>51</v>
      </c>
    </row>
    <row r="12" spans="1:14" ht="157.69999999999999" customHeight="1" x14ac:dyDescent="0.25">
      <c r="B12" s="264">
        <v>1</v>
      </c>
      <c r="C12" s="161" t="s">
        <v>52</v>
      </c>
      <c r="D12" s="303" t="s">
        <v>53</v>
      </c>
    </row>
    <row r="13" spans="1:14" ht="31.7" customHeight="1" x14ac:dyDescent="0.25">
      <c r="B13" s="264">
        <v>2</v>
      </c>
      <c r="C13" s="161" t="s">
        <v>54</v>
      </c>
      <c r="D13" s="303" t="s">
        <v>55</v>
      </c>
    </row>
    <row r="14" spans="1:14" x14ac:dyDescent="0.25">
      <c r="B14" s="264">
        <v>3</v>
      </c>
      <c r="C14" s="161" t="s">
        <v>56</v>
      </c>
      <c r="D14" s="303" t="s">
        <v>57</v>
      </c>
    </row>
    <row r="15" spans="1:14" x14ac:dyDescent="0.25">
      <c r="B15" s="264">
        <v>4</v>
      </c>
      <c r="C15" s="161" t="s">
        <v>58</v>
      </c>
      <c r="D15" s="303">
        <v>1</v>
      </c>
    </row>
    <row r="16" spans="1:14" ht="94.7" customHeight="1" x14ac:dyDescent="0.25">
      <c r="B16" s="264">
        <v>5</v>
      </c>
      <c r="C16" s="163" t="s">
        <v>59</v>
      </c>
      <c r="D16" s="161" t="s">
        <v>60</v>
      </c>
    </row>
    <row r="17" spans="2:6" ht="78.75" customHeight="1" x14ac:dyDescent="0.25">
      <c r="B17" s="264">
        <v>6</v>
      </c>
      <c r="C17" s="163" t="s">
        <v>61</v>
      </c>
      <c r="D17" s="304">
        <f>D18+D19</f>
        <v>3295.1860474</v>
      </c>
    </row>
    <row r="18" spans="2:6" x14ac:dyDescent="0.25">
      <c r="B18" s="164" t="s">
        <v>62</v>
      </c>
      <c r="C18" s="161" t="s">
        <v>63</v>
      </c>
      <c r="D18" s="305">
        <f>'Прил.2 Расч стоим'!F14/1000</f>
        <v>43.704632799999999</v>
      </c>
    </row>
    <row r="19" spans="2:6" ht="15.75" customHeight="1" x14ac:dyDescent="0.25">
      <c r="B19" s="164" t="s">
        <v>64</v>
      </c>
      <c r="C19" s="161" t="s">
        <v>65</v>
      </c>
      <c r="D19" s="305">
        <f>'Прил.2 Расч стоим'!H14/1000</f>
        <v>3251.4814145999999</v>
      </c>
    </row>
    <row r="20" spans="2:6" ht="16.5" customHeight="1" x14ac:dyDescent="0.25">
      <c r="B20" s="164" t="s">
        <v>66</v>
      </c>
      <c r="C20" s="161" t="s">
        <v>67</v>
      </c>
      <c r="D20" s="305"/>
      <c r="F20" s="165"/>
    </row>
    <row r="21" spans="2:6" ht="35.450000000000003" customHeight="1" x14ac:dyDescent="0.25">
      <c r="B21" s="164" t="s">
        <v>68</v>
      </c>
      <c r="C21" s="166" t="s">
        <v>69</v>
      </c>
      <c r="D21" s="305"/>
    </row>
    <row r="22" spans="2:6" x14ac:dyDescent="0.25">
      <c r="B22" s="264">
        <v>7</v>
      </c>
      <c r="C22" s="166" t="s">
        <v>70</v>
      </c>
      <c r="D22" s="306" t="s">
        <v>71</v>
      </c>
    </row>
    <row r="23" spans="2:6" ht="123" customHeight="1" x14ac:dyDescent="0.25">
      <c r="B23" s="264">
        <v>8</v>
      </c>
      <c r="C23" s="167" t="s">
        <v>72</v>
      </c>
      <c r="D23" s="304">
        <f>D17</f>
        <v>3295.1860474</v>
      </c>
    </row>
    <row r="24" spans="2:6" ht="60.75" customHeight="1" x14ac:dyDescent="0.25">
      <c r="B24" s="264">
        <v>9</v>
      </c>
      <c r="C24" s="163" t="s">
        <v>73</v>
      </c>
      <c r="D24" s="305">
        <f>D23/D15</f>
        <v>3295.1860474</v>
      </c>
    </row>
    <row r="25" spans="2:6" ht="118.5" customHeight="1" x14ac:dyDescent="0.25">
      <c r="B25" s="264">
        <v>10</v>
      </c>
      <c r="C25" s="161" t="s">
        <v>74</v>
      </c>
      <c r="D25" s="258"/>
    </row>
    <row r="26" spans="2:6" x14ac:dyDescent="0.25">
      <c r="B26" s="168"/>
      <c r="C26" s="169"/>
      <c r="D26" s="169"/>
    </row>
    <row r="27" spans="2:6" ht="37.5" customHeight="1" x14ac:dyDescent="0.25">
      <c r="B27" s="170"/>
    </row>
    <row r="28" spans="2:6" x14ac:dyDescent="0.25">
      <c r="B28" s="159" t="s">
        <v>75</v>
      </c>
    </row>
    <row r="29" spans="2:6" x14ac:dyDescent="0.25">
      <c r="B29" s="170" t="s">
        <v>76</v>
      </c>
    </row>
    <row r="31" spans="2:6" x14ac:dyDescent="0.25">
      <c r="B31" s="159" t="s">
        <v>77</v>
      </c>
    </row>
    <row r="32" spans="2:6" x14ac:dyDescent="0.25">
      <c r="B32" s="170" t="s">
        <v>78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19" sqref="E19"/>
    </sheetView>
  </sheetViews>
  <sheetFormatPr defaultColWidth="9.140625" defaultRowHeight="15.75" x14ac:dyDescent="0.25"/>
  <cols>
    <col min="1" max="1" width="5.42578125" style="159" customWidth="1"/>
    <col min="2" max="2" width="9.140625" style="159"/>
    <col min="3" max="3" width="35.42578125" style="159" customWidth="1"/>
    <col min="4" max="4" width="13.85546875" style="159" customWidth="1"/>
    <col min="5" max="5" width="24.85546875" style="159" customWidth="1"/>
    <col min="6" max="6" width="15.42578125" style="159" customWidth="1"/>
    <col min="7" max="7" width="14.85546875" style="159" customWidth="1"/>
    <col min="8" max="8" width="16.5703125" style="159" customWidth="1"/>
    <col min="9" max="10" width="13" style="159" customWidth="1"/>
    <col min="11" max="11" width="18" style="159" customWidth="1"/>
    <col min="12" max="12" width="9.140625" style="159"/>
  </cols>
  <sheetData>
    <row r="3" spans="1:12" x14ac:dyDescent="0.25">
      <c r="B3" s="316" t="s">
        <v>79</v>
      </c>
      <c r="C3" s="316"/>
      <c r="D3" s="316"/>
      <c r="E3" s="316"/>
      <c r="F3" s="316"/>
      <c r="G3" s="316"/>
      <c r="H3" s="316"/>
      <c r="I3" s="316"/>
      <c r="J3" s="316"/>
      <c r="K3" s="170"/>
    </row>
    <row r="4" spans="1:12" x14ac:dyDescent="0.25">
      <c r="B4" s="317" t="s">
        <v>80</v>
      </c>
      <c r="C4" s="317"/>
      <c r="D4" s="317"/>
      <c r="E4" s="317"/>
      <c r="F4" s="317"/>
      <c r="G4" s="317"/>
      <c r="H4" s="317"/>
      <c r="I4" s="317"/>
      <c r="J4" s="317"/>
      <c r="K4" s="317"/>
    </row>
    <row r="5" spans="1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1:12" ht="33" customHeight="1" x14ac:dyDescent="0.25">
      <c r="B6" s="321" t="s">
        <v>81</v>
      </c>
      <c r="C6" s="321"/>
      <c r="D6" s="321"/>
      <c r="E6" s="321"/>
      <c r="F6" s="321"/>
      <c r="G6" s="321"/>
      <c r="H6" s="321"/>
      <c r="I6" s="321"/>
      <c r="J6" s="321"/>
      <c r="K6" s="170"/>
      <c r="L6" s="171"/>
    </row>
    <row r="7" spans="1:12" x14ac:dyDescent="0.25">
      <c r="B7" s="319" t="s">
        <v>49</v>
      </c>
      <c r="C7" s="319"/>
      <c r="D7" s="319"/>
      <c r="E7" s="319"/>
      <c r="F7" s="319"/>
      <c r="G7" s="319"/>
      <c r="H7" s="319"/>
      <c r="I7" s="319"/>
      <c r="J7" s="319"/>
      <c r="K7" s="319"/>
      <c r="L7" s="171"/>
    </row>
    <row r="8" spans="1:12" x14ac:dyDescent="0.25">
      <c r="B8" s="263"/>
    </row>
    <row r="9" spans="1:12" ht="15.75" customHeight="1" x14ac:dyDescent="0.25">
      <c r="B9" s="322" t="s">
        <v>33</v>
      </c>
      <c r="C9" s="322" t="s">
        <v>82</v>
      </c>
      <c r="D9" s="322" t="s">
        <v>51</v>
      </c>
      <c r="E9" s="322"/>
      <c r="F9" s="322"/>
      <c r="G9" s="322"/>
      <c r="H9" s="322"/>
      <c r="I9" s="322"/>
      <c r="J9" s="322"/>
    </row>
    <row r="10" spans="1:12" ht="15.75" customHeight="1" x14ac:dyDescent="0.25">
      <c r="B10" s="322"/>
      <c r="C10" s="322"/>
      <c r="D10" s="322" t="s">
        <v>83</v>
      </c>
      <c r="E10" s="322" t="s">
        <v>84</v>
      </c>
      <c r="F10" s="322" t="s">
        <v>85</v>
      </c>
      <c r="G10" s="322"/>
      <c r="H10" s="322"/>
      <c r="I10" s="322"/>
      <c r="J10" s="322"/>
    </row>
    <row r="11" spans="1:12" ht="31.7" customHeight="1" x14ac:dyDescent="0.25">
      <c r="B11" s="322"/>
      <c r="C11" s="322"/>
      <c r="D11" s="322"/>
      <c r="E11" s="322"/>
      <c r="F11" s="264" t="s">
        <v>86</v>
      </c>
      <c r="G11" s="264" t="s">
        <v>87</v>
      </c>
      <c r="H11" s="264" t="s">
        <v>43</v>
      </c>
      <c r="I11" s="264" t="s">
        <v>88</v>
      </c>
      <c r="J11" s="264" t="s">
        <v>89</v>
      </c>
    </row>
    <row r="12" spans="1:12" ht="47.25" customHeight="1" x14ac:dyDescent="0.25">
      <c r="B12" s="265">
        <v>1</v>
      </c>
      <c r="C12" s="282" t="s">
        <v>60</v>
      </c>
      <c r="D12" s="172"/>
      <c r="E12" s="162" t="s">
        <v>90</v>
      </c>
      <c r="F12" s="325">
        <v>43704.632799999999</v>
      </c>
      <c r="G12" s="326"/>
      <c r="H12" s="173">
        <v>3251481.4145999998</v>
      </c>
      <c r="I12" s="174"/>
      <c r="J12" s="175">
        <f>SUM(F12:I12)</f>
        <v>3295186.0474</v>
      </c>
    </row>
    <row r="13" spans="1:12" s="292" customFormat="1" ht="15.75" customHeight="1" x14ac:dyDescent="0.25">
      <c r="A13" s="291"/>
      <c r="B13" s="320" t="s">
        <v>91</v>
      </c>
      <c r="C13" s="320"/>
      <c r="D13" s="320"/>
      <c r="E13" s="320"/>
      <c r="F13" s="323">
        <f>F12</f>
        <v>43704.632799999999</v>
      </c>
      <c r="G13" s="324"/>
      <c r="H13" s="176">
        <f>SUM(H12:H12)</f>
        <v>3251481.4145999998</v>
      </c>
      <c r="I13" s="307"/>
      <c r="J13" s="177">
        <f>SUM(F13:I13)</f>
        <v>3295186.0474</v>
      </c>
      <c r="K13" s="291"/>
      <c r="L13" s="291"/>
    </row>
    <row r="14" spans="1:12" s="292" customFormat="1" ht="15.6" customHeight="1" x14ac:dyDescent="0.25">
      <c r="A14" s="291"/>
      <c r="B14" s="320" t="s">
        <v>92</v>
      </c>
      <c r="C14" s="320"/>
      <c r="D14" s="320"/>
      <c r="E14" s="320"/>
      <c r="F14" s="323">
        <f>F13</f>
        <v>43704.632799999999</v>
      </c>
      <c r="G14" s="324"/>
      <c r="H14" s="176">
        <f>H13</f>
        <v>3251481.4145999998</v>
      </c>
      <c r="I14" s="308"/>
      <c r="J14" s="177">
        <f>SUM(F14:I14)</f>
        <v>3295186.0474</v>
      </c>
      <c r="K14" s="291"/>
      <c r="L14" s="291"/>
    </row>
    <row r="15" spans="1:12" x14ac:dyDescent="0.25">
      <c r="B15" s="263"/>
    </row>
    <row r="19" spans="2:2" x14ac:dyDescent="0.25">
      <c r="B19" s="159" t="s">
        <v>75</v>
      </c>
    </row>
    <row r="20" spans="2:2" x14ac:dyDescent="0.25">
      <c r="B20" s="170" t="s">
        <v>76</v>
      </c>
    </row>
    <row r="22" spans="2:2" x14ac:dyDescent="0.25">
      <c r="B22" s="159" t="s">
        <v>77</v>
      </c>
    </row>
    <row r="23" spans="2:2" x14ac:dyDescent="0.25">
      <c r="B23" s="170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28"/>
  <sheetViews>
    <sheetView view="pageBreakPreview" zoomScale="55" zoomScaleSheetLayoutView="55" workbookViewId="0">
      <selection activeCell="D27" sqref="D27"/>
    </sheetView>
  </sheetViews>
  <sheetFormatPr defaultColWidth="9.140625" defaultRowHeight="15.75" x14ac:dyDescent="0.25"/>
  <cols>
    <col min="1" max="1" width="9.140625" style="159"/>
    <col min="2" max="2" width="12.42578125" style="159" customWidth="1"/>
    <col min="3" max="3" width="22.42578125" style="159" customWidth="1"/>
    <col min="4" max="4" width="49.5703125" style="159" customWidth="1"/>
    <col min="5" max="5" width="10.140625" style="178" customWidth="1"/>
    <col min="6" max="6" width="20.5703125" style="159" customWidth="1"/>
    <col min="7" max="7" width="16.140625" style="159" customWidth="1"/>
    <col min="8" max="8" width="16.5703125" style="159" customWidth="1"/>
    <col min="9" max="9" width="9.140625" style="159"/>
    <col min="10" max="10" width="10.42578125" style="159" customWidth="1"/>
    <col min="11" max="11" width="9.140625" style="159"/>
  </cols>
  <sheetData>
    <row r="2" spans="1:13" s="292" customFormat="1" x14ac:dyDescent="0.25">
      <c r="A2" s="291"/>
      <c r="B2" s="291"/>
      <c r="C2" s="291"/>
      <c r="D2" s="291"/>
      <c r="E2" s="178"/>
      <c r="F2" s="291"/>
      <c r="G2" s="291"/>
      <c r="H2" s="291"/>
      <c r="I2" s="291"/>
      <c r="J2" s="291"/>
      <c r="K2" s="291"/>
    </row>
    <row r="3" spans="1:13" s="292" customFormat="1" x14ac:dyDescent="0.25">
      <c r="A3" s="291"/>
      <c r="B3" s="291"/>
      <c r="C3" s="291"/>
      <c r="D3" s="291"/>
      <c r="E3" s="178"/>
      <c r="F3" s="291"/>
      <c r="G3" s="291"/>
      <c r="H3" s="291"/>
      <c r="I3" s="291"/>
      <c r="J3" s="291"/>
      <c r="K3" s="291"/>
    </row>
    <row r="4" spans="1:13" x14ac:dyDescent="0.25">
      <c r="A4" s="316" t="s">
        <v>93</v>
      </c>
      <c r="B4" s="316"/>
      <c r="C4" s="316"/>
      <c r="D4" s="316"/>
      <c r="E4" s="316"/>
      <c r="F4" s="316"/>
      <c r="G4" s="316"/>
      <c r="H4" s="316"/>
    </row>
    <row r="5" spans="1:13" x14ac:dyDescent="0.25">
      <c r="A5" s="317" t="s">
        <v>94</v>
      </c>
      <c r="B5" s="317"/>
      <c r="C5" s="317"/>
      <c r="D5" s="317"/>
      <c r="E5" s="317"/>
      <c r="F5" s="317"/>
      <c r="G5" s="317"/>
      <c r="H5" s="317"/>
    </row>
    <row r="6" spans="1:13" x14ac:dyDescent="0.25">
      <c r="A6" s="263"/>
    </row>
    <row r="7" spans="1:13" ht="30.75" customHeight="1" x14ac:dyDescent="0.25">
      <c r="A7" s="321" t="s">
        <v>95</v>
      </c>
      <c r="B7" s="321"/>
      <c r="C7" s="321"/>
      <c r="D7" s="321"/>
      <c r="E7" s="321"/>
      <c r="F7" s="321"/>
      <c r="G7" s="321"/>
      <c r="H7" s="321"/>
    </row>
    <row r="8" spans="1:13" x14ac:dyDescent="0.25">
      <c r="A8" s="179"/>
      <c r="B8" s="179"/>
      <c r="C8" s="179"/>
      <c r="D8" s="179"/>
      <c r="E8" s="160"/>
      <c r="F8" s="179"/>
      <c r="G8" s="179"/>
      <c r="H8" s="179"/>
    </row>
    <row r="9" spans="1:13" ht="38.25" customHeight="1" x14ac:dyDescent="0.25">
      <c r="A9" s="322" t="s">
        <v>96</v>
      </c>
      <c r="B9" s="322" t="s">
        <v>97</v>
      </c>
      <c r="C9" s="322" t="s">
        <v>98</v>
      </c>
      <c r="D9" s="322" t="s">
        <v>99</v>
      </c>
      <c r="E9" s="322" t="s">
        <v>100</v>
      </c>
      <c r="F9" s="322" t="s">
        <v>101</v>
      </c>
      <c r="G9" s="322" t="s">
        <v>102</v>
      </c>
      <c r="H9" s="322"/>
    </row>
    <row r="10" spans="1:13" ht="40.700000000000003" customHeight="1" x14ac:dyDescent="0.25">
      <c r="A10" s="322"/>
      <c r="B10" s="322"/>
      <c r="C10" s="322"/>
      <c r="D10" s="322"/>
      <c r="E10" s="322"/>
      <c r="F10" s="322"/>
      <c r="G10" s="264" t="s">
        <v>103</v>
      </c>
      <c r="H10" s="264" t="s">
        <v>104</v>
      </c>
    </row>
    <row r="11" spans="1:13" x14ac:dyDescent="0.25">
      <c r="A11" s="180">
        <v>1</v>
      </c>
      <c r="B11" s="180"/>
      <c r="C11" s="180">
        <v>2</v>
      </c>
      <c r="D11" s="180" t="s">
        <v>105</v>
      </c>
      <c r="E11" s="180">
        <v>4</v>
      </c>
      <c r="F11" s="180">
        <v>5</v>
      </c>
      <c r="G11" s="180">
        <v>6</v>
      </c>
      <c r="H11" s="180">
        <v>7</v>
      </c>
    </row>
    <row r="12" spans="1:13" s="182" customFormat="1" x14ac:dyDescent="0.25">
      <c r="A12" s="327" t="s">
        <v>106</v>
      </c>
      <c r="B12" s="328"/>
      <c r="C12" s="329"/>
      <c r="D12" s="329"/>
      <c r="E12" s="328"/>
      <c r="F12" s="181">
        <f>SUM(F13:F13)</f>
        <v>64.065531487087995</v>
      </c>
      <c r="G12" s="181"/>
      <c r="H12" s="181">
        <f>SUM(H13:H13)</f>
        <v>700.88</v>
      </c>
      <c r="I12" s="159"/>
      <c r="J12" s="159"/>
      <c r="K12" s="159"/>
      <c r="L12" s="159"/>
      <c r="M12" s="159"/>
    </row>
    <row r="13" spans="1:13" x14ac:dyDescent="0.25">
      <c r="A13" s="183">
        <v>1</v>
      </c>
      <c r="B13" s="184" t="s">
        <v>107</v>
      </c>
      <c r="C13" s="185" t="s">
        <v>108</v>
      </c>
      <c r="D13" s="186" t="s">
        <v>109</v>
      </c>
      <c r="E13" s="187" t="s">
        <v>110</v>
      </c>
      <c r="F13" s="183">
        <v>64.065531487087995</v>
      </c>
      <c r="G13" s="188">
        <v>10.94</v>
      </c>
      <c r="H13" s="188">
        <f>ROUND(F13*G13,2)</f>
        <v>700.88</v>
      </c>
    </row>
    <row r="14" spans="1:13" x14ac:dyDescent="0.25">
      <c r="A14" s="327" t="s">
        <v>111</v>
      </c>
      <c r="B14" s="328"/>
      <c r="C14" s="329"/>
      <c r="D14" s="329"/>
      <c r="E14" s="328"/>
      <c r="F14" s="283"/>
      <c r="G14" s="181"/>
      <c r="H14" s="181">
        <v>0</v>
      </c>
    </row>
    <row r="15" spans="1:13" s="182" customFormat="1" x14ac:dyDescent="0.25">
      <c r="A15" s="327" t="s">
        <v>112</v>
      </c>
      <c r="B15" s="328"/>
      <c r="C15" s="329"/>
      <c r="D15" s="329"/>
      <c r="E15" s="328"/>
      <c r="F15" s="283"/>
      <c r="G15" s="181"/>
      <c r="H15" s="181">
        <v>0</v>
      </c>
      <c r="I15" s="159"/>
      <c r="J15" s="159"/>
      <c r="K15" s="159"/>
      <c r="L15" s="159"/>
      <c r="M15" s="159"/>
    </row>
    <row r="16" spans="1:13" x14ac:dyDescent="0.25">
      <c r="A16" s="327" t="s">
        <v>43</v>
      </c>
      <c r="B16" s="328"/>
      <c r="C16" s="329"/>
      <c r="D16" s="329"/>
      <c r="E16" s="328"/>
      <c r="F16" s="283"/>
      <c r="G16" s="181"/>
      <c r="H16" s="181">
        <f>SUM(H17:H18)</f>
        <v>825249.09</v>
      </c>
    </row>
    <row r="17" spans="1:13" s="182" customFormat="1" ht="47.25" customHeight="1" x14ac:dyDescent="0.25">
      <c r="A17" s="183">
        <v>2</v>
      </c>
      <c r="B17" s="183" t="s">
        <v>107</v>
      </c>
      <c r="C17" s="186" t="s">
        <v>113</v>
      </c>
      <c r="D17" s="186" t="s">
        <v>114</v>
      </c>
      <c r="E17" s="187" t="s">
        <v>115</v>
      </c>
      <c r="F17" s="183">
        <v>24</v>
      </c>
      <c r="G17" s="188">
        <v>34095.85</v>
      </c>
      <c r="H17" s="188">
        <f>ROUND(F17*G17,2)</f>
        <v>818300.4</v>
      </c>
      <c r="I17" s="159"/>
      <c r="J17" s="159"/>
      <c r="K17" s="159"/>
      <c r="L17" s="159"/>
      <c r="M17" s="159"/>
    </row>
    <row r="18" spans="1:13" s="182" customFormat="1" x14ac:dyDescent="0.25">
      <c r="A18" s="183">
        <v>3</v>
      </c>
      <c r="B18" s="183" t="s">
        <v>107</v>
      </c>
      <c r="C18" s="186" t="s">
        <v>116</v>
      </c>
      <c r="D18" s="186" t="s">
        <v>117</v>
      </c>
      <c r="E18" s="187" t="s">
        <v>118</v>
      </c>
      <c r="F18" s="183">
        <v>0.68571428571429005</v>
      </c>
      <c r="G18" s="188">
        <v>10133.5</v>
      </c>
      <c r="H18" s="188">
        <f>ROUND(F18*G18,2)</f>
        <v>6948.69</v>
      </c>
      <c r="I18" s="159"/>
      <c r="J18" s="159"/>
      <c r="K18" s="159"/>
      <c r="L18" s="159"/>
      <c r="M18" s="159"/>
    </row>
    <row r="19" spans="1:13" x14ac:dyDescent="0.25">
      <c r="A19" s="327" t="s">
        <v>119</v>
      </c>
      <c r="B19" s="328"/>
      <c r="C19" s="329"/>
      <c r="D19" s="329"/>
      <c r="E19" s="328"/>
      <c r="F19" s="283"/>
      <c r="G19" s="181"/>
      <c r="H19" s="181">
        <f>SUM(H20:H21)</f>
        <v>6782.79</v>
      </c>
    </row>
    <row r="20" spans="1:13" ht="31.7" customHeight="1" x14ac:dyDescent="0.25">
      <c r="A20" s="183">
        <v>4</v>
      </c>
      <c r="B20" s="183" t="s">
        <v>107</v>
      </c>
      <c r="C20" s="186" t="s">
        <v>120</v>
      </c>
      <c r="D20" s="186" t="s">
        <v>121</v>
      </c>
      <c r="E20" s="187" t="s">
        <v>115</v>
      </c>
      <c r="F20" s="183">
        <v>17.138982626649</v>
      </c>
      <c r="G20" s="188">
        <v>394.94</v>
      </c>
      <c r="H20" s="188">
        <f>ROUND(F20*G20,2)</f>
        <v>6768.87</v>
      </c>
    </row>
    <row r="21" spans="1:13" ht="31.7" customHeight="1" x14ac:dyDescent="0.25">
      <c r="A21" s="183">
        <v>5</v>
      </c>
      <c r="B21" s="183" t="s">
        <v>107</v>
      </c>
      <c r="C21" s="186" t="s">
        <v>122</v>
      </c>
      <c r="D21" s="186" t="s">
        <v>123</v>
      </c>
      <c r="E21" s="187" t="s">
        <v>124</v>
      </c>
      <c r="F21" s="183">
        <v>13.920219870498</v>
      </c>
      <c r="G21" s="188">
        <v>1</v>
      </c>
      <c r="H21" s="188">
        <f>ROUND(F21*G21,2)</f>
        <v>13.92</v>
      </c>
    </row>
    <row r="24" spans="1:13" x14ac:dyDescent="0.25">
      <c r="B24" s="159" t="s">
        <v>75</v>
      </c>
    </row>
    <row r="25" spans="1:13" x14ac:dyDescent="0.25">
      <c r="B25" s="170" t="s">
        <v>76</v>
      </c>
    </row>
    <row r="27" spans="1:13" x14ac:dyDescent="0.25">
      <c r="B27" s="159" t="s">
        <v>77</v>
      </c>
    </row>
    <row r="28" spans="1:13" x14ac:dyDescent="0.25">
      <c r="B28" s="170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0"/>
  <sheetViews>
    <sheetView view="pageBreakPreview" topLeftCell="A34" workbookViewId="0">
      <selection activeCell="E63" sqref="E63"/>
    </sheetView>
  </sheetViews>
  <sheetFormatPr defaultRowHeight="15" x14ac:dyDescent="0.25"/>
  <cols>
    <col min="1" max="1" width="4.140625" style="51" customWidth="1"/>
    <col min="2" max="2" width="36.42578125" style="51" customWidth="1"/>
    <col min="3" max="3" width="18.85546875" style="51" customWidth="1"/>
    <col min="4" max="4" width="18.425781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125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9" t="s">
        <v>126</v>
      </c>
      <c r="C5" s="309"/>
      <c r="D5" s="309"/>
      <c r="E5" s="309"/>
    </row>
    <row r="6" spans="2:5" x14ac:dyDescent="0.25">
      <c r="B6" s="190"/>
      <c r="C6" s="153"/>
      <c r="D6" s="153"/>
      <c r="E6" s="153"/>
    </row>
    <row r="7" spans="2:5" ht="25.5" customHeight="1" x14ac:dyDescent="0.25">
      <c r="B7" s="330" t="s">
        <v>47</v>
      </c>
      <c r="C7" s="330"/>
      <c r="D7" s="330"/>
      <c r="E7" s="330"/>
    </row>
    <row r="8" spans="2:5" x14ac:dyDescent="0.25">
      <c r="B8" s="331" t="s">
        <v>49</v>
      </c>
      <c r="C8" s="331"/>
      <c r="D8" s="331"/>
      <c r="E8" s="331"/>
    </row>
    <row r="9" spans="2:5" x14ac:dyDescent="0.25">
      <c r="B9" s="190"/>
      <c r="C9" s="153"/>
      <c r="D9" s="153"/>
      <c r="E9" s="153"/>
    </row>
    <row r="10" spans="2:5" ht="51" customHeight="1" x14ac:dyDescent="0.25">
      <c r="B10" s="191" t="s">
        <v>127</v>
      </c>
      <c r="C10" s="191" t="s">
        <v>128</v>
      </c>
      <c r="D10" s="191" t="s">
        <v>129</v>
      </c>
      <c r="E10" s="191" t="s">
        <v>130</v>
      </c>
    </row>
    <row r="11" spans="2:5" x14ac:dyDescent="0.25">
      <c r="B11" s="154" t="s">
        <v>131</v>
      </c>
      <c r="C11" s="155">
        <f>'Прил.5 Расчет СМР и ОБ'!J14</f>
        <v>32337.55</v>
      </c>
      <c r="D11" s="156">
        <f t="shared" ref="D11:D18" si="0">C11/$C$24</f>
        <v>0.24713395744098082</v>
      </c>
      <c r="E11" s="156">
        <f t="shared" ref="E11:E18" si="1">C11/$C$40</f>
        <v>5.5342516740984893E-3</v>
      </c>
    </row>
    <row r="12" spans="2:5" x14ac:dyDescent="0.25">
      <c r="B12" s="154" t="s">
        <v>132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133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134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135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136</v>
      </c>
      <c r="C16" s="155">
        <f>'Прил.5 Расчет СМР и ОБ'!J31</f>
        <v>54421.75</v>
      </c>
      <c r="D16" s="156">
        <f t="shared" si="0"/>
        <v>0.41590851651914562</v>
      </c>
      <c r="E16" s="156">
        <f t="shared" si="1"/>
        <v>9.3137439615824155E-3</v>
      </c>
    </row>
    <row r="17" spans="2:5" x14ac:dyDescent="0.25">
      <c r="B17" s="154" t="s">
        <v>137</v>
      </c>
      <c r="C17" s="155">
        <f>'Прил.5 Расчет СМР и ОБ'!J33</f>
        <v>111.92</v>
      </c>
      <c r="D17" s="156">
        <f t="shared" si="0"/>
        <v>8.5532863549633701E-4</v>
      </c>
      <c r="E17" s="156">
        <f t="shared" si="1"/>
        <v>1.9154000453500742E-5</v>
      </c>
    </row>
    <row r="18" spans="2:5" x14ac:dyDescent="0.25">
      <c r="B18" s="154" t="s">
        <v>138</v>
      </c>
      <c r="C18" s="155">
        <f>C17+C16</f>
        <v>54533.67</v>
      </c>
      <c r="D18" s="156">
        <f t="shared" si="0"/>
        <v>0.41676384515464193</v>
      </c>
      <c r="E18" s="156">
        <f t="shared" si="1"/>
        <v>9.3328979620359159E-3</v>
      </c>
    </row>
    <row r="19" spans="2:5" x14ac:dyDescent="0.25">
      <c r="B19" s="154" t="s">
        <v>139</v>
      </c>
      <c r="C19" s="155">
        <f>C18+C14+C11</f>
        <v>86871.22</v>
      </c>
      <c r="D19" s="156"/>
      <c r="E19" s="154"/>
    </row>
    <row r="20" spans="2:5" x14ac:dyDescent="0.25">
      <c r="B20" s="154" t="s">
        <v>140</v>
      </c>
      <c r="C20" s="155">
        <f>ROUND(C21*(C11+C15),2)</f>
        <v>14875.27</v>
      </c>
      <c r="D20" s="156">
        <f>C20/$C$24</f>
        <v>0.11368159749588633</v>
      </c>
      <c r="E20" s="156">
        <f>C20/$C$40</f>
        <v>2.5457552566649929E-3</v>
      </c>
    </row>
    <row r="21" spans="2:5" x14ac:dyDescent="0.25">
      <c r="B21" s="154" t="s">
        <v>141</v>
      </c>
      <c r="C21" s="281">
        <v>0.46</v>
      </c>
      <c r="D21" s="156"/>
      <c r="E21" s="154"/>
    </row>
    <row r="22" spans="2:5" x14ac:dyDescent="0.25">
      <c r="B22" s="154" t="s">
        <v>142</v>
      </c>
      <c r="C22" s="155">
        <f>ROUND(C23*(C11+C15),2)</f>
        <v>29103.8</v>
      </c>
      <c r="D22" s="156">
        <f>C22/$C$24</f>
        <v>0.22242059990849083</v>
      </c>
      <c r="E22" s="156">
        <f>C22/$C$40</f>
        <v>4.9808273623891605E-3</v>
      </c>
    </row>
    <row r="23" spans="2:5" x14ac:dyDescent="0.25">
      <c r="B23" s="154" t="s">
        <v>143</v>
      </c>
      <c r="C23" s="281">
        <v>0.9</v>
      </c>
      <c r="D23" s="156"/>
      <c r="E23" s="154"/>
    </row>
    <row r="24" spans="2:5" x14ac:dyDescent="0.25">
      <c r="B24" s="154" t="s">
        <v>144</v>
      </c>
      <c r="C24" s="155">
        <f>C19+C20+C22</f>
        <v>130850.29000000001</v>
      </c>
      <c r="D24" s="156">
        <f>C24/$C$24</f>
        <v>1</v>
      </c>
      <c r="E24" s="156">
        <f>C24/$C$40</f>
        <v>2.2393732255188561E-2</v>
      </c>
    </row>
    <row r="25" spans="2:5" ht="25.5" customHeight="1" x14ac:dyDescent="0.25">
      <c r="B25" s="154" t="s">
        <v>145</v>
      </c>
      <c r="C25" s="155">
        <f>'Прил.5 Расчет СМР и ОБ'!J26</f>
        <v>5166058.7699999996</v>
      </c>
      <c r="D25" s="156"/>
      <c r="E25" s="156">
        <f>C25/$C$40</f>
        <v>0.88411983580585662</v>
      </c>
    </row>
    <row r="26" spans="2:5" ht="25.5" customHeight="1" x14ac:dyDescent="0.25">
      <c r="B26" s="154" t="s">
        <v>146</v>
      </c>
      <c r="C26" s="155">
        <f>'Прил.5 Расчет СМР и ОБ'!J27</f>
        <v>5166059.3</v>
      </c>
      <c r="D26" s="156"/>
      <c r="E26" s="156">
        <f>C26/$C$40</f>
        <v>0.88411992651011184</v>
      </c>
    </row>
    <row r="27" spans="2:5" x14ac:dyDescent="0.25">
      <c r="B27" s="154" t="s">
        <v>147</v>
      </c>
      <c r="C27" s="189">
        <f>C24+C25</f>
        <v>5296909.0599999996</v>
      </c>
      <c r="D27" s="156"/>
      <c r="E27" s="156">
        <f>C27/$C$40</f>
        <v>0.90651356806104522</v>
      </c>
    </row>
    <row r="28" spans="2:5" ht="33" customHeight="1" x14ac:dyDescent="0.25">
      <c r="B28" s="154" t="s">
        <v>148</v>
      </c>
      <c r="C28" s="154"/>
      <c r="D28" s="154"/>
      <c r="E28" s="154"/>
    </row>
    <row r="29" spans="2:5" ht="25.5" customHeight="1" x14ac:dyDescent="0.25">
      <c r="B29" s="154" t="s">
        <v>149</v>
      </c>
      <c r="C29" s="189">
        <f>ROUND(C24*3.9%,2)</f>
        <v>5103.16</v>
      </c>
      <c r="D29" s="154"/>
      <c r="E29" s="156">
        <f t="shared" ref="E29:E38" si="2">C29/$C$40</f>
        <v>8.7335533375881738E-4</v>
      </c>
    </row>
    <row r="30" spans="2:5" ht="38.25" customHeight="1" x14ac:dyDescent="0.25">
      <c r="B30" s="289" t="s">
        <v>150</v>
      </c>
      <c r="C30" s="290">
        <f>ROUND((C24+C29)*2.1%,2)</f>
        <v>2855.02</v>
      </c>
      <c r="D30" s="289"/>
      <c r="E30" s="156">
        <f t="shared" si="2"/>
        <v>4.8860842007463975E-4</v>
      </c>
    </row>
    <row r="31" spans="2:5" x14ac:dyDescent="0.25">
      <c r="B31" s="289" t="s">
        <v>151</v>
      </c>
      <c r="C31" s="290">
        <v>261240</v>
      </c>
      <c r="D31" s="289"/>
      <c r="E31" s="156">
        <f t="shared" si="2"/>
        <v>4.4708640801219925E-2</v>
      </c>
    </row>
    <row r="32" spans="2:5" ht="25.5" customHeight="1" x14ac:dyDescent="0.25">
      <c r="B32" s="289" t="s">
        <v>152</v>
      </c>
      <c r="C32" s="290">
        <v>0</v>
      </c>
      <c r="D32" s="289"/>
      <c r="E32" s="156">
        <f t="shared" si="2"/>
        <v>0</v>
      </c>
    </row>
    <row r="33" spans="2:5" ht="25.5" customHeight="1" x14ac:dyDescent="0.25">
      <c r="B33" s="154" t="s">
        <v>153</v>
      </c>
      <c r="C33" s="189">
        <v>0</v>
      </c>
      <c r="D33" s="154"/>
      <c r="E33" s="156">
        <f t="shared" si="2"/>
        <v>0</v>
      </c>
    </row>
    <row r="34" spans="2:5" ht="51" customHeight="1" x14ac:dyDescent="0.25">
      <c r="B34" s="154" t="s">
        <v>154</v>
      </c>
      <c r="C34" s="189">
        <v>0</v>
      </c>
      <c r="D34" s="154"/>
      <c r="E34" s="156">
        <f t="shared" si="2"/>
        <v>0</v>
      </c>
    </row>
    <row r="35" spans="2:5" ht="76.7" customHeight="1" x14ac:dyDescent="0.25">
      <c r="B35" s="154" t="s">
        <v>155</v>
      </c>
      <c r="C35" s="189">
        <v>0</v>
      </c>
      <c r="D35" s="154"/>
      <c r="E35" s="156">
        <f t="shared" si="2"/>
        <v>0</v>
      </c>
    </row>
    <row r="36" spans="2:5" ht="25.5" customHeight="1" x14ac:dyDescent="0.25">
      <c r="B36" s="154" t="s">
        <v>156</v>
      </c>
      <c r="C36" s="189">
        <f>ROUND((C27+C32+C33+C34+C35+C29+C31+C30)*1.72%,2)</f>
        <v>95737.04</v>
      </c>
      <c r="D36" s="154"/>
      <c r="E36" s="156">
        <f t="shared" si="2"/>
        <v>1.6384446994074504E-2</v>
      </c>
    </row>
    <row r="37" spans="2:5" x14ac:dyDescent="0.25">
      <c r="B37" s="154" t="s">
        <v>157</v>
      </c>
      <c r="C37" s="189">
        <f>ROUND((C27+C32+C33+C34+C35+C29+C31+C30)*0.2%,2)</f>
        <v>11132.21</v>
      </c>
      <c r="D37" s="154"/>
      <c r="E37" s="156">
        <f t="shared" si="2"/>
        <v>1.9051675785245307E-3</v>
      </c>
    </row>
    <row r="38" spans="2:5" ht="38.25" customHeight="1" x14ac:dyDescent="0.25">
      <c r="B38" s="154" t="s">
        <v>158</v>
      </c>
      <c r="C38" s="155">
        <f>C27+C32+C33+C34+C35+C29+C31+C30+C36+C37</f>
        <v>5672976.4899999993</v>
      </c>
      <c r="D38" s="154"/>
      <c r="E38" s="156">
        <f t="shared" si="2"/>
        <v>0.97087378718869755</v>
      </c>
    </row>
    <row r="39" spans="2:5" ht="13.7" customHeight="1" x14ac:dyDescent="0.25">
      <c r="B39" s="154" t="s">
        <v>159</v>
      </c>
      <c r="C39" s="155">
        <f>ROUND(C38*3%,2)</f>
        <v>170189.29</v>
      </c>
      <c r="D39" s="154"/>
      <c r="E39" s="156">
        <f>C39/$C$38</f>
        <v>2.9999999171510763E-2</v>
      </c>
    </row>
    <row r="40" spans="2:5" x14ac:dyDescent="0.25">
      <c r="B40" s="154" t="s">
        <v>160</v>
      </c>
      <c r="C40" s="155">
        <f>C39+C38</f>
        <v>5843165.7799999993</v>
      </c>
      <c r="D40" s="154"/>
      <c r="E40" s="156">
        <f>C40/$C$40</f>
        <v>1</v>
      </c>
    </row>
    <row r="41" spans="2:5" x14ac:dyDescent="0.25">
      <c r="B41" s="154" t="s">
        <v>161</v>
      </c>
      <c r="C41" s="155">
        <f>C40/'Прил.5 Расчет СМР и ОБ'!E40</f>
        <v>5843165.7799999993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162</v>
      </c>
      <c r="C43" s="153"/>
      <c r="D43" s="153"/>
      <c r="E43" s="153"/>
    </row>
    <row r="44" spans="2:5" x14ac:dyDescent="0.25">
      <c r="B44" s="158" t="s">
        <v>163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164</v>
      </c>
      <c r="C46" s="153"/>
      <c r="D46" s="153"/>
      <c r="E46" s="153"/>
    </row>
    <row r="47" spans="2:5" x14ac:dyDescent="0.25">
      <c r="B47" s="331" t="s">
        <v>165</v>
      </c>
      <c r="C47" s="33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6"/>
  <sheetViews>
    <sheetView tabSelected="1" view="pageBreakPreview" zoomScale="55" zoomScaleSheetLayoutView="55" workbookViewId="0">
      <selection activeCell="AB27" sqref="AB27"/>
    </sheetView>
  </sheetViews>
  <sheetFormatPr defaultColWidth="9.140625" defaultRowHeight="15" outlineLevelRow="1" x14ac:dyDescent="0.25"/>
  <cols>
    <col min="1" max="1" width="5.5703125" style="14" customWidth="1"/>
    <col min="2" max="2" width="22.42578125" style="14" customWidth="1"/>
    <col min="3" max="3" width="39.140625" style="14" customWidth="1"/>
    <col min="4" max="4" width="15.5703125" style="14" customWidth="1"/>
    <col min="5" max="5" width="12.5703125" style="14" customWidth="1"/>
    <col min="6" max="6" width="15" style="14" customWidth="1"/>
    <col min="7" max="7" width="13.42578125" style="14" customWidth="1"/>
    <col min="8" max="8" width="12.5703125" style="14" customWidth="1"/>
    <col min="9" max="9" width="13.85546875" style="14" customWidth="1"/>
    <col min="10" max="10" width="17.42578125" style="14" customWidth="1"/>
  </cols>
  <sheetData>
    <row r="1" spans="1:10" s="193" customFormat="1" x14ac:dyDescent="0.25">
      <c r="A1" s="192"/>
      <c r="B1" s="192"/>
      <c r="C1" s="192"/>
      <c r="D1" s="192"/>
      <c r="E1" s="192"/>
      <c r="F1" s="192"/>
      <c r="G1" s="192"/>
      <c r="H1" s="192"/>
      <c r="I1" s="192"/>
      <c r="J1" s="192"/>
    </row>
    <row r="2" spans="1:10" s="193" customFormat="1" ht="15.75" customHeight="1" x14ac:dyDescent="0.25">
      <c r="A2" s="192"/>
      <c r="B2" s="192"/>
      <c r="C2" s="192"/>
      <c r="D2" s="192"/>
      <c r="E2" s="192"/>
      <c r="F2" s="192"/>
      <c r="G2" s="192"/>
      <c r="H2" s="347" t="s">
        <v>166</v>
      </c>
      <c r="I2" s="347"/>
      <c r="J2" s="347"/>
    </row>
    <row r="3" spans="1:10" s="193" customFormat="1" x14ac:dyDescent="0.25">
      <c r="A3" s="192"/>
      <c r="B3" s="192"/>
      <c r="C3" s="192"/>
      <c r="D3" s="192"/>
      <c r="E3" s="192"/>
      <c r="F3" s="192"/>
      <c r="G3" s="192"/>
      <c r="H3" s="192"/>
      <c r="I3" s="192"/>
      <c r="J3" s="192"/>
    </row>
    <row r="4" spans="1:10" s="194" customFormat="1" ht="12.75" customHeight="1" x14ac:dyDescent="0.2">
      <c r="A4" s="309" t="s">
        <v>167</v>
      </c>
      <c r="B4" s="309"/>
      <c r="C4" s="309"/>
      <c r="D4" s="309"/>
      <c r="E4" s="309"/>
      <c r="F4" s="309"/>
      <c r="G4" s="309"/>
      <c r="H4" s="309"/>
      <c r="I4" s="309"/>
      <c r="J4" s="309"/>
    </row>
    <row r="5" spans="1:10" s="194" customFormat="1" ht="12.75" customHeight="1" x14ac:dyDescent="0.2">
      <c r="A5" s="276"/>
      <c r="B5" s="276"/>
      <c r="C5" s="195"/>
      <c r="D5" s="276"/>
      <c r="E5" s="276"/>
      <c r="F5" s="276"/>
      <c r="G5" s="276"/>
      <c r="H5" s="276"/>
      <c r="I5" s="276"/>
      <c r="J5" s="276"/>
    </row>
    <row r="6" spans="1:10" s="194" customFormat="1" ht="22.7" customHeight="1" x14ac:dyDescent="0.2">
      <c r="A6" s="196" t="s">
        <v>168</v>
      </c>
      <c r="B6" s="197"/>
      <c r="C6" s="197"/>
      <c r="D6" s="351" t="s">
        <v>169</v>
      </c>
      <c r="E6" s="351"/>
      <c r="F6" s="351"/>
      <c r="G6" s="351"/>
      <c r="H6" s="351"/>
      <c r="I6" s="351"/>
      <c r="J6" s="351"/>
    </row>
    <row r="7" spans="1:10" s="194" customFormat="1" ht="12.75" customHeight="1" x14ac:dyDescent="0.2">
      <c r="A7" s="312" t="s">
        <v>49</v>
      </c>
      <c r="B7" s="330"/>
      <c r="C7" s="330"/>
      <c r="D7" s="330"/>
      <c r="E7" s="330"/>
      <c r="F7" s="330"/>
      <c r="G7" s="330"/>
      <c r="H7" s="330"/>
      <c r="I7" s="198"/>
      <c r="J7" s="198"/>
    </row>
    <row r="8" spans="1:10" s="4" customFormat="1" ht="13.7" customHeight="1" x14ac:dyDescent="0.2">
      <c r="A8" s="312"/>
      <c r="B8" s="330"/>
      <c r="C8" s="330"/>
      <c r="D8" s="330"/>
      <c r="E8" s="330"/>
      <c r="F8" s="330"/>
      <c r="G8" s="330"/>
      <c r="H8" s="330"/>
    </row>
    <row r="9" spans="1:10" s="193" customFormat="1" ht="27" customHeight="1" x14ac:dyDescent="0.25">
      <c r="A9" s="339" t="s">
        <v>13</v>
      </c>
      <c r="B9" s="339" t="s">
        <v>98</v>
      </c>
      <c r="C9" s="339" t="s">
        <v>127</v>
      </c>
      <c r="D9" s="339" t="s">
        <v>100</v>
      </c>
      <c r="E9" s="333" t="s">
        <v>170</v>
      </c>
      <c r="F9" s="348" t="s">
        <v>102</v>
      </c>
      <c r="G9" s="349"/>
      <c r="H9" s="333" t="s">
        <v>171</v>
      </c>
      <c r="I9" s="348" t="s">
        <v>172</v>
      </c>
      <c r="J9" s="349"/>
    </row>
    <row r="10" spans="1:10" s="193" customFormat="1" ht="28.5" customHeight="1" x14ac:dyDescent="0.25">
      <c r="A10" s="339"/>
      <c r="B10" s="339"/>
      <c r="C10" s="339"/>
      <c r="D10" s="339"/>
      <c r="E10" s="350"/>
      <c r="F10" s="144" t="s">
        <v>173</v>
      </c>
      <c r="G10" s="144" t="s">
        <v>104</v>
      </c>
      <c r="H10" s="350"/>
      <c r="I10" s="144" t="s">
        <v>173</v>
      </c>
      <c r="J10" s="144" t="s">
        <v>104</v>
      </c>
    </row>
    <row r="11" spans="1:10" s="193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5">
        <v>9</v>
      </c>
      <c r="J11" s="275">
        <v>10</v>
      </c>
    </row>
    <row r="12" spans="1:10" x14ac:dyDescent="0.25">
      <c r="A12" s="2"/>
      <c r="B12" s="337" t="s">
        <v>174</v>
      </c>
      <c r="C12" s="338"/>
      <c r="D12" s="339"/>
      <c r="E12" s="340"/>
      <c r="F12" s="341"/>
      <c r="G12" s="341"/>
      <c r="H12" s="342"/>
      <c r="I12" s="199"/>
      <c r="J12" s="199"/>
    </row>
    <row r="13" spans="1:10" ht="25.5" customHeight="1" x14ac:dyDescent="0.25">
      <c r="A13" s="2">
        <v>1</v>
      </c>
      <c r="B13" s="200" t="s">
        <v>108</v>
      </c>
      <c r="C13" s="201" t="s">
        <v>175</v>
      </c>
      <c r="D13" s="144" t="s">
        <v>176</v>
      </c>
      <c r="E13" s="202">
        <v>64.065531487087995</v>
      </c>
      <c r="F13" s="203">
        <v>10.94</v>
      </c>
      <c r="G13" s="203">
        <f>Прил.3!H12</f>
        <v>700.88</v>
      </c>
      <c r="H13" s="204">
        <f>G13/$G$14</f>
        <v>1</v>
      </c>
      <c r="I13" s="205">
        <f>ФОТр.тек.!E13</f>
        <v>504.75733271476997</v>
      </c>
      <c r="J13" s="205">
        <f>ROUND(I13*E13,2)</f>
        <v>32337.55</v>
      </c>
    </row>
    <row r="14" spans="1:10" s="14" customFormat="1" ht="25.5" customHeight="1" x14ac:dyDescent="0.2">
      <c r="A14" s="2"/>
      <c r="B14" s="2"/>
      <c r="C14" s="267" t="s">
        <v>177</v>
      </c>
      <c r="D14" s="2" t="s">
        <v>176</v>
      </c>
      <c r="E14" s="206">
        <f>SUM(E13:E13)</f>
        <v>64.065531487087995</v>
      </c>
      <c r="F14" s="28"/>
      <c r="G14" s="28">
        <f>SUM(G13:G13)</f>
        <v>700.88</v>
      </c>
      <c r="H14" s="270">
        <v>1</v>
      </c>
      <c r="I14" s="199"/>
      <c r="J14" s="203">
        <f>SUM(J13:J13)</f>
        <v>32337.55</v>
      </c>
    </row>
    <row r="15" spans="1:10" s="14" customFormat="1" ht="14.25" customHeight="1" x14ac:dyDescent="0.2">
      <c r="A15" s="2"/>
      <c r="B15" s="338" t="s">
        <v>111</v>
      </c>
      <c r="C15" s="338"/>
      <c r="D15" s="339"/>
      <c r="E15" s="340"/>
      <c r="F15" s="341"/>
      <c r="G15" s="341"/>
      <c r="H15" s="342"/>
      <c r="I15" s="199"/>
      <c r="J15" s="199"/>
    </row>
    <row r="16" spans="1:10" s="14" customFormat="1" ht="14.25" customHeight="1" x14ac:dyDescent="0.2">
      <c r="A16" s="2"/>
      <c r="B16" s="337" t="s">
        <v>112</v>
      </c>
      <c r="C16" s="338"/>
      <c r="D16" s="339"/>
      <c r="E16" s="340"/>
      <c r="F16" s="341"/>
      <c r="G16" s="341"/>
      <c r="H16" s="342"/>
      <c r="I16" s="199"/>
      <c r="J16" s="199"/>
    </row>
    <row r="17" spans="1:10" s="14" customFormat="1" ht="14.25" customHeight="1" x14ac:dyDescent="0.2">
      <c r="A17" s="2"/>
      <c r="B17" s="2"/>
      <c r="C17" s="9" t="s">
        <v>178</v>
      </c>
      <c r="D17" s="2"/>
      <c r="E17" s="206"/>
      <c r="F17" s="28"/>
      <c r="G17" s="28">
        <v>0</v>
      </c>
      <c r="H17" s="270">
        <v>0</v>
      </c>
      <c r="I17" s="210"/>
      <c r="J17" s="28">
        <v>0</v>
      </c>
    </row>
    <row r="18" spans="1:10" s="14" customFormat="1" ht="14.25" customHeight="1" x14ac:dyDescent="0.2">
      <c r="A18" s="2"/>
      <c r="B18" s="2"/>
      <c r="C18" s="9" t="s">
        <v>179</v>
      </c>
      <c r="D18" s="2"/>
      <c r="E18" s="268"/>
      <c r="F18" s="28"/>
      <c r="G18" s="210">
        <v>0</v>
      </c>
      <c r="H18" s="211">
        <v>0</v>
      </c>
      <c r="I18" s="212"/>
      <c r="J18" s="212">
        <v>0</v>
      </c>
    </row>
    <row r="19" spans="1:10" s="14" customFormat="1" ht="25.5" customHeight="1" x14ac:dyDescent="0.2">
      <c r="A19" s="2"/>
      <c r="B19" s="2"/>
      <c r="C19" s="267" t="s">
        <v>180</v>
      </c>
      <c r="D19" s="2"/>
      <c r="E19" s="268"/>
      <c r="F19" s="28"/>
      <c r="G19" s="28">
        <f>G18+G17</f>
        <v>0</v>
      </c>
      <c r="H19" s="213">
        <v>1</v>
      </c>
      <c r="I19" s="214"/>
      <c r="J19" s="215">
        <f>J18+J17</f>
        <v>0</v>
      </c>
    </row>
    <row r="20" spans="1:10" s="14" customFormat="1" ht="14.25" customHeight="1" x14ac:dyDescent="0.2">
      <c r="A20" s="2"/>
      <c r="B20" s="337" t="s">
        <v>43</v>
      </c>
      <c r="C20" s="337"/>
      <c r="D20" s="343"/>
      <c r="E20" s="344"/>
      <c r="F20" s="345"/>
      <c r="G20" s="345"/>
      <c r="H20" s="346"/>
      <c r="I20" s="199"/>
      <c r="J20" s="199"/>
    </row>
    <row r="21" spans="1:10" x14ac:dyDescent="0.25">
      <c r="A21" s="271"/>
      <c r="B21" s="338" t="s">
        <v>181</v>
      </c>
      <c r="C21" s="338"/>
      <c r="D21" s="339"/>
      <c r="E21" s="340"/>
      <c r="F21" s="341"/>
      <c r="G21" s="341"/>
      <c r="H21" s="342"/>
      <c r="I21" s="216"/>
      <c r="J21" s="216"/>
    </row>
    <row r="22" spans="1:10" s="14" customFormat="1" ht="38.25" customHeight="1" x14ac:dyDescent="0.2">
      <c r="A22" s="2">
        <v>2</v>
      </c>
      <c r="B22" s="284" t="s">
        <v>182</v>
      </c>
      <c r="C22" s="285" t="s">
        <v>114</v>
      </c>
      <c r="D22" s="217" t="s">
        <v>115</v>
      </c>
      <c r="E22" s="218">
        <v>24</v>
      </c>
      <c r="F22" s="219">
        <f>ROUND(I22/Прил.10!$D$14,2)</f>
        <v>34095.85</v>
      </c>
      <c r="G22" s="209">
        <f>ROUND(E22*F22,2)</f>
        <v>818300.4</v>
      </c>
      <c r="H22" s="211">
        <f>G22/$G$26</f>
        <v>0.99157988771608341</v>
      </c>
      <c r="I22" s="203">
        <v>213440</v>
      </c>
      <c r="J22" s="203">
        <f>ROUND(I22*E22,2)</f>
        <v>5122560</v>
      </c>
    </row>
    <row r="23" spans="1:10" x14ac:dyDescent="0.25">
      <c r="A23" s="2"/>
      <c r="B23" s="286"/>
      <c r="C23" s="287" t="s">
        <v>183</v>
      </c>
      <c r="D23" s="207"/>
      <c r="E23" s="206"/>
      <c r="F23" s="273"/>
      <c r="G23" s="220">
        <f>SUM(G22)</f>
        <v>818300.4</v>
      </c>
      <c r="H23" s="211">
        <f>G22/$G$26</f>
        <v>0.99157988771608341</v>
      </c>
      <c r="I23" s="221"/>
      <c r="J23" s="220">
        <f>SUM(J22)</f>
        <v>5122560</v>
      </c>
    </row>
    <row r="24" spans="1:10" s="14" customFormat="1" ht="14.25" customHeight="1" outlineLevel="1" x14ac:dyDescent="0.2">
      <c r="A24" s="2">
        <v>3</v>
      </c>
      <c r="B24" s="284" t="s">
        <v>116</v>
      </c>
      <c r="C24" s="285" t="s">
        <v>117</v>
      </c>
      <c r="D24" s="217" t="s">
        <v>118</v>
      </c>
      <c r="E24" s="218">
        <v>0.68571428571429005</v>
      </c>
      <c r="F24" s="219">
        <v>10133.5</v>
      </c>
      <c r="G24" s="209">
        <f>ROUND(E24*F24,2)</f>
        <v>6948.69</v>
      </c>
      <c r="H24" s="211">
        <f>G24/$G$26</f>
        <v>8.4201122839166042E-3</v>
      </c>
      <c r="I24" s="203">
        <f>ROUND(F24*Прил.10!$D$14,2)</f>
        <v>63435.71</v>
      </c>
      <c r="J24" s="203">
        <f>ROUND(I24*E24,2)</f>
        <v>43498.77</v>
      </c>
    </row>
    <row r="25" spans="1:10" x14ac:dyDescent="0.25">
      <c r="A25" s="2"/>
      <c r="B25" s="286"/>
      <c r="C25" s="287" t="s">
        <v>184</v>
      </c>
      <c r="D25" s="271"/>
      <c r="E25" s="206"/>
      <c r="F25" s="273"/>
      <c r="G25" s="220">
        <f>SUM(G24)</f>
        <v>6948.69</v>
      </c>
      <c r="H25" s="211">
        <f>G25/$G$26</f>
        <v>8.4201122839166042E-3</v>
      </c>
      <c r="I25" s="221"/>
      <c r="J25" s="220">
        <f>SUM(J24)</f>
        <v>43498.77</v>
      </c>
    </row>
    <row r="26" spans="1:10" x14ac:dyDescent="0.25">
      <c r="A26" s="271"/>
      <c r="B26" s="286"/>
      <c r="C26" s="288" t="s">
        <v>185</v>
      </c>
      <c r="D26" s="271"/>
      <c r="E26" s="272"/>
      <c r="F26" s="273"/>
      <c r="G26" s="220">
        <f>G23+G25</f>
        <v>825249.09</v>
      </c>
      <c r="H26" s="270">
        <v>1</v>
      </c>
      <c r="I26" s="221"/>
      <c r="J26" s="220">
        <f>J25+J23</f>
        <v>5166058.7699999996</v>
      </c>
    </row>
    <row r="27" spans="1:10" ht="25.5" customHeight="1" x14ac:dyDescent="0.25">
      <c r="A27" s="271"/>
      <c r="B27" s="286"/>
      <c r="C27" s="287" t="s">
        <v>186</v>
      </c>
      <c r="D27" s="271"/>
      <c r="E27" s="223"/>
      <c r="F27" s="273"/>
      <c r="G27" s="220">
        <f>'Прил.6 Расчет ОБ'!G14</f>
        <v>825249.09</v>
      </c>
      <c r="H27" s="274"/>
      <c r="I27" s="221"/>
      <c r="J27" s="220">
        <f>ROUND(G27*Прил.10!D14,2)</f>
        <v>5166059.3</v>
      </c>
    </row>
    <row r="28" spans="1:10" s="14" customFormat="1" ht="14.25" customHeight="1" x14ac:dyDescent="0.2">
      <c r="A28" s="2"/>
      <c r="B28" s="337" t="s">
        <v>119</v>
      </c>
      <c r="C28" s="337"/>
      <c r="D28" s="343"/>
      <c r="E28" s="344"/>
      <c r="F28" s="345"/>
      <c r="G28" s="345"/>
      <c r="H28" s="346"/>
      <c r="I28" s="199"/>
      <c r="J28" s="199"/>
    </row>
    <row r="29" spans="1:10" s="14" customFormat="1" ht="14.25" customHeight="1" x14ac:dyDescent="0.2">
      <c r="A29" s="266"/>
      <c r="B29" s="332" t="s">
        <v>187</v>
      </c>
      <c r="C29" s="332"/>
      <c r="D29" s="333"/>
      <c r="E29" s="334"/>
      <c r="F29" s="335"/>
      <c r="G29" s="335"/>
      <c r="H29" s="336"/>
      <c r="I29" s="224"/>
      <c r="J29" s="224"/>
    </row>
    <row r="30" spans="1:10" s="14" customFormat="1" ht="25.5" customHeight="1" x14ac:dyDescent="0.2">
      <c r="A30" s="217">
        <v>4</v>
      </c>
      <c r="B30" s="217" t="s">
        <v>120</v>
      </c>
      <c r="C30" s="150" t="s">
        <v>121</v>
      </c>
      <c r="D30" s="217" t="s">
        <v>115</v>
      </c>
      <c r="E30" s="218">
        <v>17.138982626649</v>
      </c>
      <c r="F30" s="219">
        <v>394.94</v>
      </c>
      <c r="G30" s="209">
        <f>ROUND(E30*F30,2)</f>
        <v>6768.87</v>
      </c>
      <c r="H30" s="211">
        <f>G30/$G$34</f>
        <v>0.99794774716598922</v>
      </c>
      <c r="I30" s="203">
        <f>ROUND(F30*Прил.10!$D$13,2)</f>
        <v>3175.32</v>
      </c>
      <c r="J30" s="203">
        <f>ROUND(I30*E30,2)</f>
        <v>54421.75</v>
      </c>
    </row>
    <row r="31" spans="1:10" s="14" customFormat="1" ht="14.25" customHeight="1" x14ac:dyDescent="0.2">
      <c r="A31" s="225"/>
      <c r="B31" s="226"/>
      <c r="C31" s="227" t="s">
        <v>188</v>
      </c>
      <c r="D31" s="228"/>
      <c r="E31" s="229"/>
      <c r="F31" s="230"/>
      <c r="G31" s="231">
        <f>SUM(G30)</f>
        <v>6768.87</v>
      </c>
      <c r="H31" s="211">
        <f>G31/$G$34</f>
        <v>0.99794774716598922</v>
      </c>
      <c r="I31" s="203"/>
      <c r="J31" s="231">
        <f>SUM(J30)</f>
        <v>54421.75</v>
      </c>
    </row>
    <row r="32" spans="1:10" s="14" customFormat="1" ht="25.5" customHeight="1" outlineLevel="1" x14ac:dyDescent="0.2">
      <c r="A32" s="217">
        <v>5</v>
      </c>
      <c r="B32" s="217" t="s">
        <v>122</v>
      </c>
      <c r="C32" s="150" t="s">
        <v>123</v>
      </c>
      <c r="D32" s="217" t="s">
        <v>124</v>
      </c>
      <c r="E32" s="218">
        <v>13.920219870498</v>
      </c>
      <c r="F32" s="219">
        <v>1</v>
      </c>
      <c r="G32" s="209">
        <f>ROUND(E32*F32,2)</f>
        <v>13.92</v>
      </c>
      <c r="H32" s="211">
        <f>G32/$G$34</f>
        <v>2.0522528340107832E-3</v>
      </c>
      <c r="I32" s="203">
        <f>ROUND(F32*Прил.10!$D$13,2)</f>
        <v>8.0399999999999991</v>
      </c>
      <c r="J32" s="203">
        <f>ROUND(I32*E32,2)</f>
        <v>111.92</v>
      </c>
    </row>
    <row r="33" spans="1:10" s="14" customFormat="1" ht="14.25" customHeight="1" x14ac:dyDescent="0.2">
      <c r="A33" s="2"/>
      <c r="B33" s="2"/>
      <c r="C33" s="9" t="s">
        <v>189</v>
      </c>
      <c r="D33" s="2"/>
      <c r="E33" s="268"/>
      <c r="F33" s="269"/>
      <c r="G33" s="28">
        <f>SUM(G32:G32)</f>
        <v>13.92</v>
      </c>
      <c r="H33" s="211">
        <f>G33/$G$34</f>
        <v>2.0522528340107832E-3</v>
      </c>
      <c r="I33" s="28"/>
      <c r="J33" s="28">
        <f>SUM(J32:J32)</f>
        <v>111.92</v>
      </c>
    </row>
    <row r="34" spans="1:10" s="14" customFormat="1" ht="14.25" customHeight="1" x14ac:dyDescent="0.2">
      <c r="A34" s="2"/>
      <c r="B34" s="2"/>
      <c r="C34" s="267" t="s">
        <v>190</v>
      </c>
      <c r="D34" s="2"/>
      <c r="E34" s="268"/>
      <c r="F34" s="269"/>
      <c r="G34" s="28">
        <f>G31+G33</f>
        <v>6782.79</v>
      </c>
      <c r="H34" s="270">
        <f>G34/$G$34</f>
        <v>1</v>
      </c>
      <c r="I34" s="28"/>
      <c r="J34" s="28">
        <f>J31+J33</f>
        <v>54533.67</v>
      </c>
    </row>
    <row r="35" spans="1:10" s="14" customFormat="1" ht="14.25" customHeight="1" x14ac:dyDescent="0.2">
      <c r="A35" s="2"/>
      <c r="B35" s="2"/>
      <c r="C35" s="9" t="s">
        <v>191</v>
      </c>
      <c r="D35" s="2"/>
      <c r="E35" s="268"/>
      <c r="F35" s="269"/>
      <c r="G35" s="28">
        <f>G14+G19+G34</f>
        <v>7483.67</v>
      </c>
      <c r="H35" s="270"/>
      <c r="I35" s="28"/>
      <c r="J35" s="28">
        <f>J14+J19+J34</f>
        <v>86871.22</v>
      </c>
    </row>
    <row r="36" spans="1:10" s="14" customFormat="1" ht="14.25" customHeight="1" x14ac:dyDescent="0.2">
      <c r="A36" s="2"/>
      <c r="B36" s="2"/>
      <c r="C36" s="9" t="s">
        <v>192</v>
      </c>
      <c r="D36" s="232">
        <f>ROUND(G36/(0+$G$14),2)</f>
        <v>0.26</v>
      </c>
      <c r="E36" s="268"/>
      <c r="F36" s="269"/>
      <c r="G36" s="28">
        <v>184.03</v>
      </c>
      <c r="H36" s="270"/>
      <c r="I36" s="28"/>
      <c r="J36" s="203">
        <f>ROUND(D36*(J14+0),2)</f>
        <v>8407.76</v>
      </c>
    </row>
    <row r="37" spans="1:10" s="14" customFormat="1" ht="14.25" customHeight="1" x14ac:dyDescent="0.2">
      <c r="A37" s="2"/>
      <c r="B37" s="2"/>
      <c r="C37" s="9" t="s">
        <v>193</v>
      </c>
      <c r="D37" s="232">
        <f>ROUND(G37/(G$14+0),2)</f>
        <v>0.13</v>
      </c>
      <c r="E37" s="268"/>
      <c r="F37" s="269"/>
      <c r="G37" s="28">
        <v>94.05</v>
      </c>
      <c r="H37" s="270"/>
      <c r="I37" s="28"/>
      <c r="J37" s="203">
        <f>ROUND(D37*(J14+0),2)</f>
        <v>4203.88</v>
      </c>
    </row>
    <row r="38" spans="1:10" s="14" customFormat="1" ht="14.25" customHeight="1" x14ac:dyDescent="0.2">
      <c r="A38" s="2"/>
      <c r="B38" s="2"/>
      <c r="C38" s="9" t="s">
        <v>194</v>
      </c>
      <c r="D38" s="2"/>
      <c r="E38" s="268"/>
      <c r="F38" s="269"/>
      <c r="G38" s="28">
        <f>G14+G19+G34+G36+G37</f>
        <v>7761.75</v>
      </c>
      <c r="H38" s="270"/>
      <c r="I38" s="28"/>
      <c r="J38" s="28">
        <f>J14+J19+J34+J36+J37</f>
        <v>99482.86</v>
      </c>
    </row>
    <row r="39" spans="1:10" s="14" customFormat="1" ht="14.25" customHeight="1" x14ac:dyDescent="0.2">
      <c r="A39" s="2"/>
      <c r="B39" s="2"/>
      <c r="C39" s="9" t="s">
        <v>195</v>
      </c>
      <c r="D39" s="2"/>
      <c r="E39" s="268"/>
      <c r="F39" s="269"/>
      <c r="G39" s="28">
        <f>G38+G26</f>
        <v>833010.84</v>
      </c>
      <c r="H39" s="270"/>
      <c r="I39" s="28"/>
      <c r="J39" s="28">
        <f>J38+J26</f>
        <v>5265541.63</v>
      </c>
    </row>
    <row r="40" spans="1:10" s="14" customFormat="1" ht="34.5" customHeight="1" x14ac:dyDescent="0.2">
      <c r="A40" s="2"/>
      <c r="B40" s="2"/>
      <c r="C40" s="9" t="s">
        <v>161</v>
      </c>
      <c r="D40" s="2" t="s">
        <v>196</v>
      </c>
      <c r="E40" s="280">
        <v>1</v>
      </c>
      <c r="F40" s="269"/>
      <c r="G40" s="28">
        <f>G39/E40</f>
        <v>833010.84</v>
      </c>
      <c r="H40" s="270"/>
      <c r="I40" s="28"/>
      <c r="J40" s="28">
        <f>J39/E40</f>
        <v>5265541.63</v>
      </c>
    </row>
    <row r="42" spans="1:10" s="14" customFormat="1" ht="14.25" customHeight="1" x14ac:dyDescent="0.2">
      <c r="A42" s="4" t="s">
        <v>197</v>
      </c>
    </row>
    <row r="43" spans="1:10" s="14" customFormat="1" ht="14.25" customHeight="1" x14ac:dyDescent="0.2">
      <c r="A43" s="233" t="s">
        <v>76</v>
      </c>
    </row>
    <row r="44" spans="1:10" s="14" customFormat="1" ht="14.25" customHeight="1" x14ac:dyDescent="0.2">
      <c r="A44" s="4"/>
    </row>
    <row r="45" spans="1:10" s="14" customFormat="1" ht="14.25" customHeight="1" x14ac:dyDescent="0.2">
      <c r="A45" s="4" t="s">
        <v>198</v>
      </c>
    </row>
    <row r="46" spans="1:10" s="14" customFormat="1" ht="14.25" customHeight="1" x14ac:dyDescent="0.2">
      <c r="A46" s="23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9:H29"/>
    <mergeCell ref="B12:H12"/>
    <mergeCell ref="B15:H15"/>
    <mergeCell ref="B16:H16"/>
    <mergeCell ref="B21:H21"/>
    <mergeCell ref="B20:H20"/>
    <mergeCell ref="B28:H28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rowBreaks count="1" manualBreakCount="1">
    <brk id="2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10" workbookViewId="0">
      <selection activeCell="C17" sqref="C17"/>
    </sheetView>
  </sheetViews>
  <sheetFormatPr defaultRowHeight="15" x14ac:dyDescent="0.25"/>
  <cols>
    <col min="1" max="1" width="5.5703125" customWidth="1"/>
    <col min="2" max="2" width="17.42578125" customWidth="1"/>
    <col min="3" max="3" width="39.140625" customWidth="1"/>
    <col min="4" max="4" width="10.5703125" customWidth="1"/>
    <col min="5" max="5" width="13.85546875" customWidth="1"/>
    <col min="6" max="6" width="13.42578125" customWidth="1"/>
    <col min="7" max="7" width="14.140625" customWidth="1"/>
  </cols>
  <sheetData>
    <row r="1" spans="1:7" x14ac:dyDescent="0.25">
      <c r="A1" s="352" t="s">
        <v>199</v>
      </c>
      <c r="B1" s="352"/>
      <c r="C1" s="352"/>
      <c r="D1" s="352"/>
      <c r="E1" s="352"/>
      <c r="F1" s="352"/>
      <c r="G1" s="352"/>
    </row>
    <row r="2" spans="1:7" ht="21.75" customHeight="1" x14ac:dyDescent="0.25">
      <c r="A2" s="277"/>
      <c r="B2" s="277"/>
      <c r="C2" s="277"/>
      <c r="D2" s="277"/>
      <c r="E2" s="277"/>
      <c r="F2" s="277"/>
      <c r="G2" s="277"/>
    </row>
    <row r="3" spans="1:7" x14ac:dyDescent="0.25">
      <c r="A3" s="309" t="s">
        <v>200</v>
      </c>
      <c r="B3" s="309"/>
      <c r="C3" s="309"/>
      <c r="D3" s="309"/>
      <c r="E3" s="309"/>
      <c r="F3" s="309"/>
      <c r="G3" s="309"/>
    </row>
    <row r="4" spans="1:7" ht="25.5" customHeight="1" x14ac:dyDescent="0.25">
      <c r="A4" s="312" t="s">
        <v>47</v>
      </c>
      <c r="B4" s="312"/>
      <c r="C4" s="312"/>
      <c r="D4" s="312"/>
      <c r="E4" s="312"/>
      <c r="F4" s="312"/>
      <c r="G4" s="312"/>
    </row>
    <row r="5" spans="1:7" x14ac:dyDescent="0.25">
      <c r="A5" s="234"/>
      <c r="B5" s="234"/>
      <c r="C5" s="234"/>
      <c r="D5" s="234"/>
      <c r="E5" s="234"/>
      <c r="F5" s="234"/>
      <c r="G5" s="234"/>
    </row>
    <row r="6" spans="1:7" ht="30.2" customHeight="1" x14ac:dyDescent="0.25">
      <c r="A6" s="357" t="s">
        <v>13</v>
      </c>
      <c r="B6" s="357" t="s">
        <v>98</v>
      </c>
      <c r="C6" s="357" t="s">
        <v>127</v>
      </c>
      <c r="D6" s="357" t="s">
        <v>100</v>
      </c>
      <c r="E6" s="333" t="s">
        <v>170</v>
      </c>
      <c r="F6" s="357" t="s">
        <v>102</v>
      </c>
      <c r="G6" s="357"/>
    </row>
    <row r="7" spans="1:7" x14ac:dyDescent="0.25">
      <c r="A7" s="357"/>
      <c r="B7" s="357"/>
      <c r="C7" s="357"/>
      <c r="D7" s="357"/>
      <c r="E7" s="350"/>
      <c r="F7" s="271" t="s">
        <v>173</v>
      </c>
      <c r="G7" s="271" t="s">
        <v>104</v>
      </c>
    </row>
    <row r="8" spans="1:7" x14ac:dyDescent="0.25">
      <c r="A8" s="271">
        <v>1</v>
      </c>
      <c r="B8" s="271">
        <v>2</v>
      </c>
      <c r="C8" s="271">
        <v>3</v>
      </c>
      <c r="D8" s="271">
        <v>4</v>
      </c>
      <c r="E8" s="271">
        <v>5</v>
      </c>
      <c r="F8" s="271">
        <v>6</v>
      </c>
      <c r="G8" s="271">
        <v>7</v>
      </c>
    </row>
    <row r="9" spans="1:7" ht="15" customHeight="1" x14ac:dyDescent="0.25">
      <c r="A9" s="235"/>
      <c r="B9" s="353" t="s">
        <v>201</v>
      </c>
      <c r="C9" s="354"/>
      <c r="D9" s="354"/>
      <c r="E9" s="354"/>
      <c r="F9" s="354"/>
      <c r="G9" s="355"/>
    </row>
    <row r="10" spans="1:7" ht="27" customHeight="1" x14ac:dyDescent="0.25">
      <c r="A10" s="271"/>
      <c r="B10" s="222"/>
      <c r="C10" s="135" t="s">
        <v>202</v>
      </c>
      <c r="D10" s="222"/>
      <c r="E10" s="236"/>
      <c r="F10" s="273"/>
      <c r="G10" s="220">
        <v>0</v>
      </c>
    </row>
    <row r="11" spans="1:7" x14ac:dyDescent="0.25">
      <c r="A11" s="271"/>
      <c r="B11" s="338" t="s">
        <v>203</v>
      </c>
      <c r="C11" s="338"/>
      <c r="D11" s="338"/>
      <c r="E11" s="356"/>
      <c r="F11" s="341"/>
      <c r="G11" s="341"/>
    </row>
    <row r="12" spans="1:7" s="159" customFormat="1" ht="38.25" customHeight="1" x14ac:dyDescent="0.25">
      <c r="A12" s="271">
        <v>1</v>
      </c>
      <c r="B12" s="135" t="str">
        <f>'Прил.5 Расчет СМР и ОБ'!B22</f>
        <v>БЦ.54.14</v>
      </c>
      <c r="C12" s="237" t="str">
        <f>'Прил.5 Расчет СМР и ОБ'!C22</f>
        <v>Сетевая стационарная IP- камера В5650 и кронштейн крепления для подвесных купольных и стационарных видеокамер</v>
      </c>
      <c r="D12" s="238" t="str">
        <f>'Прил.5 Расчет СМР и ОБ'!D22</f>
        <v>шт</v>
      </c>
      <c r="E12" s="239">
        <f>'Прил.5 Расчет СМР и ОБ'!E22</f>
        <v>24</v>
      </c>
      <c r="F12" s="208">
        <f>'Прил.5 Расчет СМР и ОБ'!F22</f>
        <v>34095.85</v>
      </c>
      <c r="G12" s="220">
        <f>ROUND(E12*F12,2)</f>
        <v>818300.4</v>
      </c>
    </row>
    <row r="13" spans="1:7" s="159" customFormat="1" ht="15.75" customHeight="1" x14ac:dyDescent="0.25">
      <c r="A13" s="271">
        <v>2</v>
      </c>
      <c r="B13" s="135" t="str">
        <f>'Прил.5 Расчет СМР и ОБ'!B24</f>
        <v>61.3.01.02-0071</v>
      </c>
      <c r="C13" s="237" t="str">
        <f>'Прил.5 Расчет СМР и ОБ'!C24</f>
        <v>Объектив вариофокальный LTC3364/50</v>
      </c>
      <c r="D13" s="238" t="str">
        <f>'Прил.5 Расчет СМР и ОБ'!D24</f>
        <v>10 шт</v>
      </c>
      <c r="E13" s="239">
        <f>'Прил.5 Расчет СМР и ОБ'!E24</f>
        <v>0.68571428571429005</v>
      </c>
      <c r="F13" s="208">
        <f>'Прил.5 Расчет СМР и ОБ'!F24</f>
        <v>10133.5</v>
      </c>
      <c r="G13" s="220">
        <f>ROUND(E13*F13,2)</f>
        <v>6948.69</v>
      </c>
    </row>
    <row r="14" spans="1:7" ht="25.5" customHeight="1" x14ac:dyDescent="0.25">
      <c r="A14" s="271"/>
      <c r="B14" s="135"/>
      <c r="C14" s="135" t="s">
        <v>204</v>
      </c>
      <c r="D14" s="135"/>
      <c r="E14" s="278"/>
      <c r="F14" s="273"/>
      <c r="G14" s="220">
        <f>SUM(G12:G13)</f>
        <v>825249.09</v>
      </c>
    </row>
    <row r="15" spans="1:7" ht="19.5" customHeight="1" x14ac:dyDescent="0.25">
      <c r="A15" s="271"/>
      <c r="B15" s="135"/>
      <c r="C15" s="135" t="s">
        <v>205</v>
      </c>
      <c r="D15" s="135"/>
      <c r="E15" s="278"/>
      <c r="F15" s="273"/>
      <c r="G15" s="220">
        <f>G10+G14</f>
        <v>825249.09</v>
      </c>
    </row>
    <row r="16" spans="1:7" x14ac:dyDescent="0.25">
      <c r="A16" s="240"/>
      <c r="B16" s="241"/>
      <c r="C16" s="240"/>
      <c r="D16" s="240"/>
      <c r="E16" s="240"/>
      <c r="F16" s="240"/>
      <c r="G16" s="240"/>
    </row>
    <row r="17" spans="1:7" x14ac:dyDescent="0.25">
      <c r="A17" s="4" t="s">
        <v>197</v>
      </c>
      <c r="B17" s="14"/>
      <c r="C17" s="14"/>
      <c r="D17" s="240"/>
      <c r="E17" s="240"/>
      <c r="F17" s="240"/>
      <c r="G17" s="240"/>
    </row>
    <row r="18" spans="1:7" x14ac:dyDescent="0.25">
      <c r="A18" s="233" t="s">
        <v>76</v>
      </c>
      <c r="B18" s="14"/>
      <c r="C18" s="14"/>
      <c r="D18" s="240"/>
      <c r="E18" s="240"/>
      <c r="F18" s="240"/>
      <c r="G18" s="240"/>
    </row>
    <row r="19" spans="1:7" x14ac:dyDescent="0.25">
      <c r="A19" s="4"/>
      <c r="B19" s="14"/>
      <c r="C19" s="14"/>
      <c r="D19" s="240"/>
      <c r="E19" s="240"/>
      <c r="F19" s="240"/>
      <c r="G19" s="240"/>
    </row>
    <row r="20" spans="1:7" x14ac:dyDescent="0.25">
      <c r="A20" s="4" t="s">
        <v>198</v>
      </c>
      <c r="B20" s="14"/>
      <c r="C20" s="14"/>
      <c r="D20" s="240"/>
      <c r="E20" s="240"/>
      <c r="F20" s="240"/>
      <c r="G20" s="240"/>
    </row>
    <row r="21" spans="1:7" x14ac:dyDescent="0.25">
      <c r="A21" s="233" t="s">
        <v>78</v>
      </c>
      <c r="B21" s="14"/>
      <c r="C21" s="14"/>
      <c r="D21" s="240"/>
      <c r="E21" s="240"/>
      <c r="F21" s="240"/>
      <c r="G21" s="24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2023-11-27T06:42:17Z</cp:lastPrinted>
  <dcterms:created xsi:type="dcterms:W3CDTF">2020-09-30T08:50:27Z</dcterms:created>
  <dcterms:modified xsi:type="dcterms:W3CDTF">2023-11-27T06:42:28Z</dcterms:modified>
  <cp:category/>
</cp:coreProperties>
</file>